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K:\direzione-amministrativa\Direzione di Ragioneria\BachecaG\Trasparenza anticorruzione e obblighi di pubblicazione\Pubblicazione Bilanci\Pubblicazione sul sito internet\2020\"/>
    </mc:Choice>
  </mc:AlternateContent>
  <xr:revisionPtr revIDLastSave="0" documentId="8_{FBAE83E4-44E8-4093-A3C0-1371421F31DC}" xr6:coauthVersionLast="47" xr6:coauthVersionMax="47" xr10:uidLastSave="{00000000-0000-0000-0000-000000000000}"/>
  <bookViews>
    <workbookView xWindow="-108" yWindow="-108" windowWidth="23256" windowHeight="12576" firstSheet="3" activeTab="9"/>
  </bookViews>
  <sheets>
    <sheet name="riepilogo_RF_RC_5x1000 prev2020" sheetId="22" state="hidden" r:id="rId1"/>
    <sheet name="Schema SP" sheetId="29" r:id="rId2"/>
    <sheet name="Alimentazione SP A" sheetId="31" r:id="rId3"/>
    <sheet name="Alimentazione SP P" sheetId="32" r:id="rId4"/>
    <sheet name="ripogrammazione_RF_RC_5x1000 " sheetId="23" state="hidden" r:id="rId5"/>
    <sheet name="Schema CE" sheetId="1" r:id="rId6"/>
    <sheet name="Alimentazione CE Costi" sheetId="3" r:id="rId7"/>
    <sheet name="Alimentazione CE Ricavi" sheetId="2" r:id="rId8"/>
    <sheet name="Alimentazione Rag" sheetId="18" state="hidden" r:id="rId9"/>
    <sheet name="Rendiconto finanziario" sheetId="33" r:id="rId10"/>
    <sheet name="CE Min" sheetId="4" r:id="rId11"/>
    <sheet name="SP Min" sheetId="30" r:id="rId12"/>
    <sheet name="1 Contr." sheetId="19" state="hidden" r:id="rId13"/>
    <sheet name="16. VOCI CALCOLO TETTO 18 E 20" sheetId="27" state="hidden" r:id="rId14"/>
    <sheet name="16.b Assunzioni Covid" sheetId="28" state="hidden" r:id="rId15"/>
    <sheet name="ce art. 44" sheetId="17" state="hidden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</externalReferences>
  <definedNames>
    <definedName name="_" localSheetId="12">#REF!</definedName>
    <definedName name="_" localSheetId="13">#REF!</definedName>
    <definedName name="_" localSheetId="14">#REF!</definedName>
    <definedName name="_">#REF!</definedName>
    <definedName name="_________________">#N/A</definedName>
    <definedName name="______________________bo1">#N/A</definedName>
    <definedName name="______________________db1">#N/A</definedName>
    <definedName name="____________________bo1">#N/A</definedName>
    <definedName name="____________________db1">#N/A</definedName>
    <definedName name="__________________bo1">#N/A</definedName>
    <definedName name="__________________db1">#N/A</definedName>
    <definedName name="_________________bo1">#N/A</definedName>
    <definedName name="_________________db1">#N/A</definedName>
    <definedName name="_______________bo1">#N/A</definedName>
    <definedName name="_______________db1">#N/A</definedName>
    <definedName name="_____________bo1">#N/A</definedName>
    <definedName name="_____________db1">#N/A</definedName>
    <definedName name="___________bo1">#N/A</definedName>
    <definedName name="___________db1">#N/A</definedName>
    <definedName name="__________bo1">#N/A</definedName>
    <definedName name="__________bo2" localSheetId="14">'[1]Alim S.P.'!#REF!</definedName>
    <definedName name="__________bo2">'[1]Alim S.P.'!#REF!</definedName>
    <definedName name="__________bo3" localSheetId="14">'[1]Alim S.P.'!#REF!</definedName>
    <definedName name="__________bo3">'[1]Alim S.P.'!#REF!</definedName>
    <definedName name="__________db1">#N/A</definedName>
    <definedName name="_________bo1">#N/A</definedName>
    <definedName name="_________bo2">'[1]Alim S.P.'!#REF!</definedName>
    <definedName name="_________bo3">'[1]Alim S.P.'!#REF!</definedName>
    <definedName name="_________db1">#N/A</definedName>
    <definedName name="________bo1">#N/A</definedName>
    <definedName name="________bo2">'[1]Alim S.P.'!#REF!</definedName>
    <definedName name="________bo3">'[1]Alim S.P.'!#REF!</definedName>
    <definedName name="________db1">#N/A</definedName>
    <definedName name="________db2" localSheetId="14">#REF!</definedName>
    <definedName name="________db2">#REF!</definedName>
    <definedName name="_______bo1" localSheetId="14">'[2]Alim S.P.'!#REF!</definedName>
    <definedName name="_______bo1">'[2]Alim S.P.'!#REF!</definedName>
    <definedName name="_______bo2">'[1]Alim S.P.'!#REF!</definedName>
    <definedName name="_______bo3">'[1]Alim S.P.'!#REF!</definedName>
    <definedName name="_______db1">'[3]Alim S.P.'!#REF!</definedName>
    <definedName name="_______db2" localSheetId="14">#REF!</definedName>
    <definedName name="_______db2">#REF!</definedName>
    <definedName name="______bo1">#N/A</definedName>
    <definedName name="______bo2" localSheetId="14">'[4]Alim S.P.'!#REF!</definedName>
    <definedName name="______bo2">'[4]Alim S.P.'!#REF!</definedName>
    <definedName name="______bo3">'[4]Alim S.P.'!#REF!</definedName>
    <definedName name="______db1">#N/A</definedName>
    <definedName name="______db2" localSheetId="14">#REF!</definedName>
    <definedName name="______db2">#REF!</definedName>
    <definedName name="_____bo1" localSheetId="13">'[5]Alim S.P.'!#REF!</definedName>
    <definedName name="_____bo1" localSheetId="14">'[5]Alim S.P.'!#REF!</definedName>
    <definedName name="_____bo1">'[6]Alim S.P.'!#REF!</definedName>
    <definedName name="_____bo2">'[5]Alim S.P.'!#REF!</definedName>
    <definedName name="_____bo3">'[5]Alim S.P.'!#REF!</definedName>
    <definedName name="_____db1" localSheetId="13">'[7]Alim S.P.'!#REF!</definedName>
    <definedName name="_____db1" localSheetId="14">'[7]Alim S.P.'!#REF!</definedName>
    <definedName name="_____db1">'[8]Alim S.P.'!#REF!</definedName>
    <definedName name="_____db2" localSheetId="14">#REF!</definedName>
    <definedName name="_____db2">#REF!</definedName>
    <definedName name="____bo1" localSheetId="12">'[9]Alim S.P.'!#REF!</definedName>
    <definedName name="____bo1" localSheetId="13">'[5]Alim S.P.'!#REF!</definedName>
    <definedName name="____bo1" localSheetId="14">'[5]Alim S.P.'!#REF!</definedName>
    <definedName name="____bo1">'[9]Alim S.P.'!#REF!</definedName>
    <definedName name="____bo2" localSheetId="13">'[5]Alim S.P.'!#REF!</definedName>
    <definedName name="____bo2" localSheetId="14">'[5]Alim S.P.'!#REF!</definedName>
    <definedName name="____bo2">'[1]Alim S.P.'!#REF!</definedName>
    <definedName name="____bo3" localSheetId="13">'[5]Alim S.P.'!#REF!</definedName>
    <definedName name="____bo3" localSheetId="14">'[5]Alim S.P.'!#REF!</definedName>
    <definedName name="____bo3">'[1]Alim S.P.'!#REF!</definedName>
    <definedName name="____db1" localSheetId="12">'[10]Alim S.P.'!#REF!</definedName>
    <definedName name="____db1" localSheetId="13">'[7]Alim S.P.'!#REF!</definedName>
    <definedName name="____db1" localSheetId="14">'[7]Alim S.P.'!#REF!</definedName>
    <definedName name="____db1">'[10]Alim S.P.'!#REF!</definedName>
    <definedName name="____db2" localSheetId="14">#REF!</definedName>
    <definedName name="____db2">#REF!</definedName>
    <definedName name="___bo1" localSheetId="12">'[9]Alim S.P.'!#REF!</definedName>
    <definedName name="___bo1" localSheetId="13">'[6]Alim S.P.'!#REF!</definedName>
    <definedName name="___bo1" localSheetId="14">'[6]Alim S.P.'!#REF!</definedName>
    <definedName name="___bo1">'[9]Alim S.P.'!#REF!</definedName>
    <definedName name="___bo2" localSheetId="12">'[4]Alim S.P.'!#REF!</definedName>
    <definedName name="___bo2">'[4]Alim S.P.'!#REF!</definedName>
    <definedName name="___bo3" localSheetId="12">'[4]Alim S.P.'!#REF!</definedName>
    <definedName name="___bo3">'[4]Alim S.P.'!#REF!</definedName>
    <definedName name="___db1" localSheetId="12">'[10]Alim S.P.'!#REF!</definedName>
    <definedName name="___db1" localSheetId="13">'[8]Alim S.P.'!#REF!</definedName>
    <definedName name="___db1" localSheetId="14">'[8]Alim S.P.'!#REF!</definedName>
    <definedName name="___db1">'[10]Alim S.P.'!#REF!</definedName>
    <definedName name="___db2" localSheetId="14">#REF!</definedName>
    <definedName name="___db2">#REF!</definedName>
    <definedName name="__bo1" localSheetId="12">'[11]Alim S.P.'!#REF!</definedName>
    <definedName name="__bo1" localSheetId="13">'[6]Alim S.P.'!#REF!</definedName>
    <definedName name="__bo1" localSheetId="14">'[6]Alim S.P.'!#REF!</definedName>
    <definedName name="__bo1">'[9]Alim S.P.'!#REF!</definedName>
    <definedName name="__bo2" localSheetId="12">'[4]Alim S.P.'!#REF!</definedName>
    <definedName name="__bo2" localSheetId="13">'[1]Alim S.P.'!#REF!</definedName>
    <definedName name="__bo2" localSheetId="14">'[1]Alim S.P.'!#REF!</definedName>
    <definedName name="__bo2">'[4]Alim S.P.'!#REF!</definedName>
    <definedName name="__bo3" localSheetId="12">'[4]Alim S.P.'!#REF!</definedName>
    <definedName name="__bo3" localSheetId="13">'[1]Alim S.P.'!#REF!</definedName>
    <definedName name="__bo3" localSheetId="14">'[1]Alim S.P.'!#REF!</definedName>
    <definedName name="__bo3">'[4]Alim S.P.'!#REF!</definedName>
    <definedName name="__db1" localSheetId="12">'[12]Alim S.P.'!#REF!</definedName>
    <definedName name="__db1" localSheetId="13">'[8]Alim S.P.'!#REF!</definedName>
    <definedName name="__db1" localSheetId="14">'[8]Alim S.P.'!#REF!</definedName>
    <definedName name="__db1">'[10]Alim S.P.'!#REF!</definedName>
    <definedName name="__db2" localSheetId="13">#REF!</definedName>
    <definedName name="__db2" localSheetId="14">#REF!</definedName>
    <definedName name="__db2" localSheetId="0">#REF!</definedName>
    <definedName name="__db2" localSheetId="4">#REF!</definedName>
    <definedName name="__db2">#REF!</definedName>
    <definedName name="__xlnm.Database">#N/A</definedName>
    <definedName name="__xlnm.Database_1">#N/A</definedName>
    <definedName name="__xlnm.Print_Area_1">"#REF!"</definedName>
    <definedName name="_013_12_31">"#REF!"</definedName>
    <definedName name="_ass5">"#REF!"</definedName>
    <definedName name="_bo1" localSheetId="12">'[13]Alim S.P.'!#REF!</definedName>
    <definedName name="_bo1" localSheetId="13">'[14]Alim S.P.'!#REF!</definedName>
    <definedName name="_bo1" localSheetId="14">'[14]Alim S.P.'!#REF!</definedName>
    <definedName name="_bo1" localSheetId="0">'[1]Alim S.P.'!#REF!</definedName>
    <definedName name="_bo1" localSheetId="4">'[1]Alim S.P.'!#REF!</definedName>
    <definedName name="_bo1">'[13]Alim S.P.'!#REF!</definedName>
    <definedName name="_bo1_1">#N/A</definedName>
    <definedName name="_bo2" localSheetId="12">'[4]Alim S.P.'!#REF!</definedName>
    <definedName name="_bo2" localSheetId="13">'[15]Alim S.P.'!#REF!</definedName>
    <definedName name="_bo2" localSheetId="14">'[15]Alim S.P.'!#REF!</definedName>
    <definedName name="_bo2">'[4]Alim S.P.'!#REF!</definedName>
    <definedName name="_bo3" localSheetId="12">'[4]Alim S.P.'!#REF!</definedName>
    <definedName name="_bo3" localSheetId="13">'[15]Alim S.P.'!#REF!</definedName>
    <definedName name="_bo3" localSheetId="14">'[15]Alim S.P.'!#REF!</definedName>
    <definedName name="_bo3">'[4]Alim S.P.'!#REF!</definedName>
    <definedName name="_db1" localSheetId="13">'[16]Alim S.P.'!#REF!</definedName>
    <definedName name="_db1" localSheetId="14">'[16]Alim S.P.'!#REF!</definedName>
    <definedName name="_db1" localSheetId="0">'[18]Alim S.P.'!#REF!</definedName>
    <definedName name="_db1" localSheetId="4">'[18]Alim S.P.'!#REF!</definedName>
    <definedName name="_db1">'[17]Alim S.P.'!#REF!</definedName>
    <definedName name="_db1_1">#N/A</definedName>
    <definedName name="_db2" localSheetId="12">#REF!</definedName>
    <definedName name="_db2" localSheetId="13">#REF!</definedName>
    <definedName name="_db2" localSheetId="14">#REF!</definedName>
    <definedName name="_db2" localSheetId="0">#REF!</definedName>
    <definedName name="_db2" localSheetId="4">#REF!</definedName>
    <definedName name="_db2">#REF!</definedName>
    <definedName name="_xlnm._FilterDatabase" localSheetId="11" hidden="1">'SP Min'!$K$1:$K$678</definedName>
    <definedName name="a" localSheetId="12">#REF!</definedName>
    <definedName name="a" localSheetId="13">'[19]Alim C.E.'!$D$29:$D$34</definedName>
    <definedName name="a" localSheetId="14">'[19]Alim C.E.'!$D$29:$D$34</definedName>
    <definedName name="a">'[20]Alim C.E.'!$D$29:$D$34</definedName>
    <definedName name="A__Totale_interventi_edili_impiantistici" localSheetId="12">#REF!</definedName>
    <definedName name="A__Totale_interventi_edili_impiantistici" localSheetId="13">#REF!</definedName>
    <definedName name="A__Totale_interventi_edili_impiantistici" localSheetId="14">#REF!</definedName>
    <definedName name="A__Totale_interventi_edili_impiantistici" localSheetId="0">#REF!</definedName>
    <definedName name="A__Totale_interventi_edili_impiantistici" localSheetId="4">#REF!</definedName>
    <definedName name="A__Totale_interventi_edili_impiantistici">#REF!</definedName>
    <definedName name="ales" localSheetId="12">#REF!</definedName>
    <definedName name="ales" localSheetId="13">#REF!</definedName>
    <definedName name="ales" localSheetId="0">#REF!</definedName>
    <definedName name="ales" localSheetId="4">#REF!</definedName>
    <definedName name="ales">#REF!</definedName>
    <definedName name="alex" localSheetId="12">#REF!</definedName>
    <definedName name="alex" localSheetId="13">#REF!</definedName>
    <definedName name="alex" localSheetId="0">#REF!</definedName>
    <definedName name="alex" localSheetId="4">#REF!</definedName>
    <definedName name="alex">#REF!</definedName>
    <definedName name="ALIMCE" localSheetId="12">#REF!</definedName>
    <definedName name="ALIMCE">#REF!</definedName>
    <definedName name="and.liquidità" localSheetId="12">'[21]Alim S.P.'!#REF!</definedName>
    <definedName name="and.liquidità">'[21]Alim S.P.'!#REF!</definedName>
    <definedName name="and.liquidità_1">#N/A</definedName>
    <definedName name="and_liquidità">#N/A</definedName>
    <definedName name="AOPN" localSheetId="14">#REF!</definedName>
    <definedName name="AOPN">#REF!</definedName>
    <definedName name="AOUD" localSheetId="14">#REF!</definedName>
    <definedName name="AOUD">#REF!</definedName>
    <definedName name="_xlnm.Print_Area" localSheetId="12">'1 Contr.'!$A$1:$N$39</definedName>
    <definedName name="_xlnm.Print_Area" localSheetId="13">'16. VOCI CALCOLO TETTO 18 E 20'!$A$1:$E$62</definedName>
    <definedName name="_xlnm.Print_Area" localSheetId="14">#REF!</definedName>
    <definedName name="_xlnm.Print_Area" localSheetId="6">'Alimentazione CE Costi'!$A$1:$J$896</definedName>
    <definedName name="_xlnm.Print_Area" localSheetId="2">'Alimentazione SP A'!$A$1:$J$262</definedName>
    <definedName name="_xlnm.Print_Area" localSheetId="3">'Alimentazione SP P'!$A$1:$J$318</definedName>
    <definedName name="_xlnm.Print_Area" localSheetId="15">'ce art. 44'!$A$3:$C$58</definedName>
    <definedName name="_xlnm.Print_Area" localSheetId="10">'CE Min'!$A$1:$K$652</definedName>
    <definedName name="_xlnm.Print_Area" localSheetId="9">'Rendiconto finanziario'!$A$1:$D$115</definedName>
    <definedName name="_xlnm.Print_Area" localSheetId="0">'riepilogo_RF_RC_5x1000 prev2020'!$A$1:$W$77</definedName>
    <definedName name="_xlnm.Print_Area" localSheetId="4">'ripogrammazione_RF_RC_5x1000 '!$A$1:$X$79</definedName>
    <definedName name="_xlnm.Print_Area" localSheetId="11">'SP Min'!$A$29:$E$346</definedName>
    <definedName name="_xlnm.Print_Area">#REF!</definedName>
    <definedName name="AS3S" localSheetId="14">#REF!</definedName>
    <definedName name="AS3S">#REF!</definedName>
    <definedName name="AS4S" localSheetId="14">#REF!</definedName>
    <definedName name="AS4S">#REF!</definedName>
    <definedName name="AS5S">#REF!</definedName>
    <definedName name="AS6S">#REF!</definedName>
    <definedName name="ASCOT">[22]Codifiche!$V$2:$V$15</definedName>
    <definedName name="b" localSheetId="12">#REF!</definedName>
    <definedName name="b" localSheetId="13">'[19]Alim C.E.'!$D$29:$D$34</definedName>
    <definedName name="b" localSheetId="14">'[19]Alim C.E.'!$D$29:$D$34</definedName>
    <definedName name="b">'[20]Alim C.E.'!$D$29:$D$34</definedName>
    <definedName name="B__Totale_acquisto_di_beni_mobili_e_tecnologie" localSheetId="12">#REF!</definedName>
    <definedName name="B__Totale_acquisto_di_beni_mobili_e_tecnologie" localSheetId="13">#REF!</definedName>
    <definedName name="B__Totale_acquisto_di_beni_mobili_e_tecnologie" localSheetId="14">#REF!</definedName>
    <definedName name="B__Totale_acquisto_di_beni_mobili_e_tecnologie" localSheetId="0">#REF!</definedName>
    <definedName name="B__Totale_acquisto_di_beni_mobili_e_tecnologie" localSheetId="4">#REF!</definedName>
    <definedName name="B__Totale_acquisto_di_beni_mobili_e_tecnologie">#REF!</definedName>
    <definedName name="basedati" localSheetId="12">#REF!</definedName>
    <definedName name="basedati" localSheetId="13">#REF!</definedName>
    <definedName name="basedati" localSheetId="0">#REF!</definedName>
    <definedName name="basedati" localSheetId="4">#REF!</definedName>
    <definedName name="basedati">#REF!</definedName>
    <definedName name="batab" localSheetId="12">#REF!</definedName>
    <definedName name="batab" localSheetId="13">#REF!</definedName>
    <definedName name="batab" localSheetId="0">#REF!</definedName>
    <definedName name="batab" localSheetId="4">#REF!</definedName>
    <definedName name="batab">#REF!</definedName>
    <definedName name="batab1" localSheetId="12">'[23]Alimentazione CE01'!$E$30:$E$35</definedName>
    <definedName name="batab1" localSheetId="13">'[24]Alimentazione CE01'!$E$30:$E$35</definedName>
    <definedName name="batab1" localSheetId="14">'[24]Alimentazione CE01'!$E$30:$E$35</definedName>
    <definedName name="batab1" localSheetId="0">'[25]Alimentazione CE01'!$E$30:$E$35</definedName>
    <definedName name="batab1" localSheetId="4">'[25]Alimentazione CE01'!$E$30:$E$35</definedName>
    <definedName name="batab1">'[26]Alimentazione CE01'!$E$30:$E$35</definedName>
    <definedName name="batab2" localSheetId="12">'[27]Alimentazione CE01'!$E$30:$E$35</definedName>
    <definedName name="batab2" localSheetId="13">'[24]Alimentazione CE01'!$E$30:$E$35</definedName>
    <definedName name="batab2" localSheetId="14">'[24]Alimentazione CE01'!$E$30:$E$35</definedName>
    <definedName name="batab2">'[25]Alimentazione CE01'!$E$30:$E$35</definedName>
    <definedName name="batac" localSheetId="12">#REF!</definedName>
    <definedName name="batac" localSheetId="13">#REF!</definedName>
    <definedName name="batac" localSheetId="14">#REF!</definedName>
    <definedName name="batac" localSheetId="0">#REF!</definedName>
    <definedName name="batac" localSheetId="4">#REF!</definedName>
    <definedName name="batac">#REF!</definedName>
    <definedName name="bo" localSheetId="12">'[11]Alim S.P.'!#REF!</definedName>
    <definedName name="bo" localSheetId="13">'[6]Alim S.P.'!#REF!</definedName>
    <definedName name="bo" localSheetId="14">'[6]Alim S.P.'!#REF!</definedName>
    <definedName name="bo" localSheetId="0">'[1]Alim S.P.'!#REF!</definedName>
    <definedName name="bo" localSheetId="4">'[1]Alim S.P.'!#REF!</definedName>
    <definedName name="bo">'[6]Alim S.P.'!#REF!</definedName>
    <definedName name="boic" localSheetId="12">'[11]Alim S.P.'!#REF!</definedName>
    <definedName name="boic" localSheetId="13">'[6]Alim S.P.'!#REF!</definedName>
    <definedName name="boic" localSheetId="14">'[6]Alim S.P.'!#REF!</definedName>
    <definedName name="boic" localSheetId="0">'[1]Alim S.P.'!#REF!</definedName>
    <definedName name="boic" localSheetId="4">'[1]Alim S.P.'!#REF!</definedName>
    <definedName name="boic">'[6]Alim S.P.'!#REF!</definedName>
    <definedName name="boic_1">#N/A</definedName>
    <definedName name="CATEGORIA">[22]Codifiche!$G$2:$G$15</definedName>
    <definedName name="cc">#N/A</definedName>
    <definedName name="ce_tot_regionale" localSheetId="12">#REF!</definedName>
    <definedName name="ce_tot_regionale" localSheetId="13">#REF!</definedName>
    <definedName name="ce_tot_regionale" localSheetId="14">#REF!</definedName>
    <definedName name="ce_tot_regionale" localSheetId="0">#REF!</definedName>
    <definedName name="ce_tot_regionale" localSheetId="4">#REF!</definedName>
    <definedName name="ce_tot_regionale">#REF!</definedName>
    <definedName name="ciao" localSheetId="13">[28]Alimentazione!$E$29:$E$34</definedName>
    <definedName name="ciao" localSheetId="14">[28]Alimentazione!$E$29:$E$34</definedName>
    <definedName name="ciao" localSheetId="0">[29]Alimentazione!$E$29:$E$34</definedName>
    <definedName name="ciao" localSheetId="4">[29]Alimentazione!$E$29:$E$34</definedName>
    <definedName name="ciao">[30]Alimentazione!$E$29:$E$34</definedName>
    <definedName name="cons" localSheetId="12">#REF!</definedName>
    <definedName name="cons" localSheetId="13">#REF!</definedName>
    <definedName name="cons" localSheetId="14">#REF!</definedName>
    <definedName name="cons" localSheetId="0">#REF!</definedName>
    <definedName name="cons" localSheetId="4">#REF!</definedName>
    <definedName name="cons">#REF!</definedName>
    <definedName name="Consolidatorettificato">'[31]BILANCIO DEL SSR'!$A$1:$F$77,'[31]BILANCIO DEL SSR'!$G$77,'[31]BILANCIO DEL SSR'!$G$1:$G$77</definedName>
    <definedName name="cont" localSheetId="12">#REF!</definedName>
    <definedName name="cont" localSheetId="13">#REF!</definedName>
    <definedName name="cont" localSheetId="14">#REF!</definedName>
    <definedName name="cont" localSheetId="0">#REF!</definedName>
    <definedName name="cont" localSheetId="4">#REF!</definedName>
    <definedName name="cont">#REF!</definedName>
    <definedName name="cont_1">"#REF!"</definedName>
    <definedName name="cont1" localSheetId="12">[32]Alimentazione!$E$29:$E$34</definedName>
    <definedName name="cont1" localSheetId="13">[33]Alimentazione!$E$29:$E$34</definedName>
    <definedName name="cont1" localSheetId="14">[33]Alimentazione!$E$29:$E$34</definedName>
    <definedName name="cont1" localSheetId="0">[34]Alimentazione!$E$29:$E$34</definedName>
    <definedName name="cont1" localSheetId="4">[34]Alimentazione!$E$29:$E$34</definedName>
    <definedName name="cont1">[35]Alimentazione!$E$29:$E$34</definedName>
    <definedName name="CONTRATTO">[22]Codifiche!$C$2:$C$15</definedName>
    <definedName name="contrb.2" localSheetId="12">#REF!</definedName>
    <definedName name="contrb.2" localSheetId="13">#REF!</definedName>
    <definedName name="contrb.2" localSheetId="14">#REF!</definedName>
    <definedName name="contrb.2" localSheetId="0">#REF!</definedName>
    <definedName name="contrb.2" localSheetId="4">#REF!</definedName>
    <definedName name="contrb.2">#REF!</definedName>
    <definedName name="contrb.2_1">"#REF!"</definedName>
    <definedName name="contrb_2">"#REF!"</definedName>
    <definedName name="contributi" localSheetId="12">#REF!</definedName>
    <definedName name="contributi" localSheetId="13">#REF!</definedName>
    <definedName name="contributi" localSheetId="14">#REF!</definedName>
    <definedName name="contributi" localSheetId="0">#REF!</definedName>
    <definedName name="contributi" localSheetId="4">#REF!</definedName>
    <definedName name="contributi">#REF!</definedName>
    <definedName name="costi">#REF!</definedName>
    <definedName name="Counter">COUNTA(INDEX("[21]!valdata",,MATCH("'[22]2010'!xfd1",[36]Lists!$A$1:$IV$1,0)))</definedName>
    <definedName name="Counter2">COUNTA(INDEX("[21]!valdata2",,MATCH("'[23]2010'!xfd1",[37]profili!$A$1:$IV$1,0)))</definedName>
    <definedName name="CRO" localSheetId="14">#REF!</definedName>
    <definedName name="CRO">#REF!</definedName>
    <definedName name="d" localSheetId="12">#REF!</definedName>
    <definedName name="d" localSheetId="13">#REF!</definedName>
    <definedName name="d" localSheetId="0">#REF!</definedName>
    <definedName name="d" localSheetId="4">#REF!</definedName>
    <definedName name="d">#REF!</definedName>
    <definedName name="data">#N/A</definedName>
    <definedName name="data2" localSheetId="13">'[38]Alim C.E.'!$D$28:$D$33</definedName>
    <definedName name="data2" localSheetId="14">'[38]Alim C.E.'!$D$28:$D$33</definedName>
    <definedName name="data2">'[39]Alim C.E.'!$D$28:$D$33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0">#REF!</definedName>
    <definedName name="_xlnm.Database" localSheetId="4">#REF!</definedName>
    <definedName name="_xlnm.Database">#REF!</definedName>
    <definedName name="DATABASE1" localSheetId="12">'[40]Alim S.P.'!#REF!</definedName>
    <definedName name="DATABASE1" localSheetId="13">#REF!</definedName>
    <definedName name="DATABASE1" localSheetId="14">#REF!</definedName>
    <definedName name="DATABASE1" localSheetId="0">#REF!</definedName>
    <definedName name="DATABASE1" localSheetId="4">#REF!</definedName>
    <definedName name="DATABASE1">#REF!</definedName>
    <definedName name="DATABASE1_1">"#REF!"</definedName>
    <definedName name="database2" localSheetId="12">#REF!</definedName>
    <definedName name="database2" localSheetId="13">'[6]Alim S.P.'!#REF!</definedName>
    <definedName name="database2" localSheetId="14">'[6]Alim S.P.'!#REF!</definedName>
    <definedName name="database2" localSheetId="0">#REF!</definedName>
    <definedName name="database2" localSheetId="4">#REF!</definedName>
    <definedName name="database2">'[6]Alim S.P.'!#REF!</definedName>
    <definedName name="database2_1">"#REF!"</definedName>
    <definedName name="database3" localSheetId="12">'[41]Alim S.P.'!#REF!</definedName>
    <definedName name="database3" localSheetId="13">'[42]Alim S.P.'!#REF!</definedName>
    <definedName name="database3" localSheetId="14">'[42]Alim S.P.'!#REF!</definedName>
    <definedName name="database3" localSheetId="0">'[43]Alim S.P.'!#REF!</definedName>
    <definedName name="database3" localSheetId="4">'[43]Alim S.P.'!#REF!</definedName>
    <definedName name="database3">'[43]Alim S.P.'!#REF!</definedName>
    <definedName name="DBASS" localSheetId="14">#REF!</definedName>
    <definedName name="DBASS">#REF!</definedName>
    <definedName name="delta_ril_a0" localSheetId="12">#REF!</definedName>
    <definedName name="delta_ril_a0" localSheetId="13">#REF!</definedName>
    <definedName name="delta_ril_a0" localSheetId="0">#REF!</definedName>
    <definedName name="delta_ril_a0" localSheetId="4">#REF!</definedName>
    <definedName name="delta_ril_a0">#REF!</definedName>
    <definedName name="delta_ril_b0" localSheetId="12">#REF!</definedName>
    <definedName name="delta_ril_b0" localSheetId="13">#REF!</definedName>
    <definedName name="delta_ril_b0" localSheetId="0">#REF!</definedName>
    <definedName name="delta_ril_b0" localSheetId="4">#REF!</definedName>
    <definedName name="delta_ril_b0">#REF!</definedName>
    <definedName name="delta_ril_c0" localSheetId="12">#REF!</definedName>
    <definedName name="delta_ril_c0" localSheetId="0">#REF!</definedName>
    <definedName name="delta_ril_c0" localSheetId="4">#REF!</definedName>
    <definedName name="delta_ril_c0">#REF!</definedName>
    <definedName name="delta_ril_d0" localSheetId="12">#REF!</definedName>
    <definedName name="delta_ril_d0" localSheetId="0">#REF!</definedName>
    <definedName name="delta_ril_d0" localSheetId="4">#REF!</definedName>
    <definedName name="delta_ril_d0">#REF!</definedName>
    <definedName name="delta_ril_e0" localSheetId="12">#REF!</definedName>
    <definedName name="delta_ril_e0" localSheetId="0">#REF!</definedName>
    <definedName name="delta_ril_e0" localSheetId="4">#REF!</definedName>
    <definedName name="delta_ril_e0">#REF!</definedName>
    <definedName name="DISCIPLINA__MEDICI">[22]Codifiche!$H$2:$H$125</definedName>
    <definedName name="DSC" localSheetId="14">#REF!</definedName>
    <definedName name="DSC">#REF!</definedName>
    <definedName name="e" localSheetId="12">#REF!</definedName>
    <definedName name="e" localSheetId="13">#REF!</definedName>
    <definedName name="e" localSheetId="0">#REF!</definedName>
    <definedName name="e" localSheetId="4">#REF!</definedName>
    <definedName name="e">#REF!</definedName>
    <definedName name="ESITIXASS">#REF!</definedName>
    <definedName name="Excel_BuiltIn_Database">#N/A</definedName>
    <definedName name="Excel_BuiltIn_Print_Area">"#REF!"</definedName>
    <definedName name="exreg" localSheetId="12">#REF!</definedName>
    <definedName name="exreg" localSheetId="13">#REF!</definedName>
    <definedName name="exreg" localSheetId="14">#REF!</definedName>
    <definedName name="exreg">#REF!</definedName>
    <definedName name="fatto">[29]Alimentazione!$E$29:$E$34</definedName>
    <definedName name="FF" localSheetId="12">'[44]Alim C.E.'!$D$29:$D$34</definedName>
    <definedName name="FF" localSheetId="0">'[45]Alim C.E.'!$D$29:$D$34</definedName>
    <definedName name="FF" localSheetId="4">'[45]Alim C.E.'!$D$29:$D$34</definedName>
    <definedName name="FF">'[46]Alim C.E.'!$D$29:$D$34</definedName>
    <definedName name="fuga" localSheetId="12">#REF!</definedName>
    <definedName name="fuga" localSheetId="13">#REF!</definedName>
    <definedName name="fuga" localSheetId="14">#REF!</definedName>
    <definedName name="fuga" localSheetId="0">#REF!</definedName>
    <definedName name="fuga" localSheetId="4">#REF!</definedName>
    <definedName name="fuga">#REF!</definedName>
    <definedName name="FUGAXASSFVG">#REF!</definedName>
    <definedName name="Giriconto2010">#N/A</definedName>
    <definedName name="HannoASS">1420</definedName>
    <definedName name="HannoASSE">1720</definedName>
    <definedName name="hgf" localSheetId="12">#REF!</definedName>
    <definedName name="hgf" localSheetId="13">#REF!</definedName>
    <definedName name="hgf" localSheetId="14">#REF!</definedName>
    <definedName name="hgf" localSheetId="0">#REF!</definedName>
    <definedName name="hgf" localSheetId="4">#REF!</definedName>
    <definedName name="hgf">#REF!</definedName>
    <definedName name="IMPXAZ">#REF!</definedName>
    <definedName name="infra">#REF!</definedName>
    <definedName name="Li">"#REF!"</definedName>
    <definedName name="Lignano">"#REF!"</definedName>
    <definedName name="LIQUIDITA" localSheetId="12">#REF!</definedName>
    <definedName name="LIQUIDITA" localSheetId="13">#REF!</definedName>
    <definedName name="LIQUIDITA" localSheetId="14">#REF!</definedName>
    <definedName name="LIQUIDITA" localSheetId="0">#REF!</definedName>
    <definedName name="LIQUIDITA" localSheetId="4">#REF!</definedName>
    <definedName name="LIQUIDITA">#REF!</definedName>
    <definedName name="LIQUIDITA_1">"#REF!"</definedName>
    <definedName name="LK" localSheetId="12">#REF!</definedName>
    <definedName name="LK" localSheetId="13">#REF!</definedName>
    <definedName name="LK" localSheetId="14">#REF!</definedName>
    <definedName name="LK">#REF!</definedName>
    <definedName name="Manuela">#N/A</definedName>
    <definedName name="MAO" localSheetId="12">[47]Alimentazione!$E$29:$E$34</definedName>
    <definedName name="MAO" localSheetId="13">[48]Alimentazione!$E$29:$E$34</definedName>
    <definedName name="MAO" localSheetId="14">[48]Alimentazione!$E$29:$E$34</definedName>
    <definedName name="MAO">[29]Alimentazione!$E$29:$E$34</definedName>
    <definedName name="Master">#N/A</definedName>
    <definedName name="Master2">#N/A</definedName>
    <definedName name="MJ" localSheetId="12">'[9]Alim S.P.'!#REF!</definedName>
    <definedName name="MJ" localSheetId="13">'[6]Alim S.P.'!#REF!</definedName>
    <definedName name="MJ" localSheetId="14">'[6]Alim S.P.'!#REF!</definedName>
    <definedName name="MJ" localSheetId="0">'[6]Alim S.P.'!#REF!</definedName>
    <definedName name="MJ" localSheetId="4">'[6]Alim S.P.'!#REF!</definedName>
    <definedName name="MJ">'[6]Alim S.P.'!#REF!</definedName>
    <definedName name="mmmm">"#REF!"</definedName>
    <definedName name="MN" localSheetId="12">'[9]Alim S.P.'!#REF!</definedName>
    <definedName name="MN" localSheetId="13">'[6]Alim S.P.'!#REF!</definedName>
    <definedName name="MN" localSheetId="14">'[6]Alim S.P.'!#REF!</definedName>
    <definedName name="MN" localSheetId="0">'[6]Alim S.P.'!#REF!</definedName>
    <definedName name="MN" localSheetId="4">'[6]Alim S.P.'!#REF!</definedName>
    <definedName name="MN">'[6]Alim S.P.'!#REF!</definedName>
    <definedName name="mod_ass_rip" localSheetId="12">#REF!</definedName>
    <definedName name="mod_ass_rip" localSheetId="13">#REF!</definedName>
    <definedName name="mod_ass_rip" localSheetId="14">#REF!</definedName>
    <definedName name="mod_ass_rip" localSheetId="0">#REF!</definedName>
    <definedName name="mod_ass_rip" localSheetId="4">#REF!</definedName>
    <definedName name="mod_ass_rip">#REF!</definedName>
    <definedName name="MOTIVO_CESSAZIONE">[22]Codifiche!$P$2:$P$34</definedName>
    <definedName name="MOVIMENTO_IN">[22]Codifiche!$X$2:$X$6</definedName>
    <definedName name="ok" localSheetId="12">'[49]Alim S.P.'!#REF!</definedName>
    <definedName name="ok" localSheetId="13">'[50]Alim S.P.'!#REF!</definedName>
    <definedName name="ok" localSheetId="14">'[50]Alim S.P.'!#REF!</definedName>
    <definedName name="ok" localSheetId="0">'[51]Alim S.P.'!#REF!</definedName>
    <definedName name="ok" localSheetId="4">'[51]Alim S.P.'!#REF!</definedName>
    <definedName name="ok">'[52]Alim S.P.'!#REF!</definedName>
    <definedName name="ok_1">#N/A</definedName>
    <definedName name="Per_ass5" localSheetId="12">#REF!</definedName>
    <definedName name="Per_ass5" localSheetId="13">#REF!</definedName>
    <definedName name="Per_ass5" localSheetId="14">#REF!</definedName>
    <definedName name="Per_ass5" localSheetId="0">#REF!</definedName>
    <definedName name="Per_ass5" localSheetId="4">#REF!</definedName>
    <definedName name="Per_ass5">#REF!</definedName>
    <definedName name="perc_ass_a0102" localSheetId="12">#REF!</definedName>
    <definedName name="perc_ass_a0102" localSheetId="13">#REF!</definedName>
    <definedName name="perc_ass_a0102" localSheetId="0">#REF!</definedName>
    <definedName name="perc_ass_a0102" localSheetId="4">#REF!</definedName>
    <definedName name="perc_ass_a0102">#REF!</definedName>
    <definedName name="perc_ass_a0701" localSheetId="12">#REF!</definedName>
    <definedName name="perc_ass_a0701" localSheetId="13">#REF!</definedName>
    <definedName name="perc_ass_a0701" localSheetId="0">#REF!</definedName>
    <definedName name="perc_ass_a0701" localSheetId="4">#REF!</definedName>
    <definedName name="perc_ass_a0701">#REF!</definedName>
    <definedName name="perc_ass_b0011" localSheetId="12">#REF!</definedName>
    <definedName name="perc_ass_b0011" localSheetId="0">#REF!</definedName>
    <definedName name="perc_ass_b0011" localSheetId="4">#REF!</definedName>
    <definedName name="perc_ass_b0011">#REF!</definedName>
    <definedName name="perc_ass_b0012" localSheetId="12">#REF!</definedName>
    <definedName name="perc_ass_b0012" localSheetId="0">#REF!</definedName>
    <definedName name="perc_ass_b0012" localSheetId="4">#REF!</definedName>
    <definedName name="perc_ass_b0012">#REF!</definedName>
    <definedName name="perc_ass_b0013" localSheetId="12">'[53]B0-Er.Serv.San.-dettaglio'!#REF!</definedName>
    <definedName name="perc_ass_b0013" localSheetId="0">'[54]B0-Er.Serv.San.-dettaglio'!#REF!</definedName>
    <definedName name="perc_ass_b0013" localSheetId="4">'[54]B0-Er.Serv.San.-dettaglio'!#REF!</definedName>
    <definedName name="perc_ass_b0013">'[55]B0-Er.Serv.San.-dettaglio'!#REF!</definedName>
    <definedName name="perc_ass_b0014" localSheetId="12">#REF!</definedName>
    <definedName name="perc_ass_b0014" localSheetId="13">#REF!</definedName>
    <definedName name="perc_ass_b0014" localSheetId="14">#REF!</definedName>
    <definedName name="perc_ass_b0014" localSheetId="0">#REF!</definedName>
    <definedName name="perc_ass_b0014" localSheetId="4">#REF!</definedName>
    <definedName name="perc_ass_b0014">#REF!</definedName>
    <definedName name="perc_ass_b0015" localSheetId="12">#REF!</definedName>
    <definedName name="perc_ass_b0015" localSheetId="13">#REF!</definedName>
    <definedName name="perc_ass_b0015" localSheetId="0">#REF!</definedName>
    <definedName name="perc_ass_b0015" localSheetId="4">#REF!</definedName>
    <definedName name="perc_ass_b0015">#REF!</definedName>
    <definedName name="perc_ass_b0016" localSheetId="12">#REF!</definedName>
    <definedName name="perc_ass_b0016" localSheetId="13">#REF!</definedName>
    <definedName name="perc_ass_b0016" localSheetId="0">#REF!</definedName>
    <definedName name="perc_ass_b0016" localSheetId="4">#REF!</definedName>
    <definedName name="perc_ass_b0016">#REF!</definedName>
    <definedName name="perc_ass_b002" localSheetId="12">#REF!</definedName>
    <definedName name="perc_ass_b002" localSheetId="0">#REF!</definedName>
    <definedName name="perc_ass_b002" localSheetId="4">#REF!</definedName>
    <definedName name="perc_ass_b002">#REF!</definedName>
    <definedName name="perc_ass_b003" localSheetId="12">#REF!</definedName>
    <definedName name="perc_ass_b003" localSheetId="0">#REF!</definedName>
    <definedName name="perc_ass_b003" localSheetId="4">#REF!</definedName>
    <definedName name="perc_ass_b003">#REF!</definedName>
    <definedName name="perc_ass_b004" localSheetId="12">#REF!</definedName>
    <definedName name="perc_ass_b004" localSheetId="0">#REF!</definedName>
    <definedName name="perc_ass_b004" localSheetId="4">#REF!</definedName>
    <definedName name="perc_ass_b004">#REF!</definedName>
    <definedName name="perc_ass_b005" localSheetId="12">#REF!</definedName>
    <definedName name="perc_ass_b005" localSheetId="0">#REF!</definedName>
    <definedName name="perc_ass_b005" localSheetId="4">#REF!</definedName>
    <definedName name="perc_ass_b005">#REF!</definedName>
    <definedName name="perc_ass_b006" localSheetId="12">#REF!</definedName>
    <definedName name="perc_ass_b006" localSheetId="0">#REF!</definedName>
    <definedName name="perc_ass_b006" localSheetId="4">#REF!</definedName>
    <definedName name="perc_ass_b006">#REF!</definedName>
    <definedName name="perc_ass_b007" localSheetId="12">#REF!</definedName>
    <definedName name="perc_ass_b007" localSheetId="0">#REF!</definedName>
    <definedName name="perc_ass_b007" localSheetId="4">#REF!</definedName>
    <definedName name="perc_ass_b007">#REF!</definedName>
    <definedName name="perc_ass_b008" localSheetId="12">#REF!</definedName>
    <definedName name="perc_ass_b008" localSheetId="0">#REF!</definedName>
    <definedName name="perc_ass_b008" localSheetId="4">#REF!</definedName>
    <definedName name="perc_ass_b008">#REF!</definedName>
    <definedName name="perc_ass_b009" localSheetId="12">#REF!</definedName>
    <definedName name="perc_ass_b009" localSheetId="0">#REF!</definedName>
    <definedName name="perc_ass_b009" localSheetId="4">#REF!</definedName>
    <definedName name="perc_ass_b009">#REF!</definedName>
    <definedName name="perc_ass_c001" localSheetId="12">#REF!</definedName>
    <definedName name="perc_ass_c001" localSheetId="0">#REF!</definedName>
    <definedName name="perc_ass_c001" localSheetId="4">#REF!</definedName>
    <definedName name="perc_ass_c001">#REF!</definedName>
    <definedName name="perc_ass_c0012" localSheetId="12">#REF!</definedName>
    <definedName name="perc_ass_c0012" localSheetId="0">#REF!</definedName>
    <definedName name="perc_ass_c0012" localSheetId="4">#REF!</definedName>
    <definedName name="perc_ass_c0012">#REF!</definedName>
    <definedName name="perc_ass_c0013" localSheetId="12">#REF!</definedName>
    <definedName name="perc_ass_c0013" localSheetId="0">#REF!</definedName>
    <definedName name="perc_ass_c0013" localSheetId="4">#REF!</definedName>
    <definedName name="perc_ass_c0013">#REF!</definedName>
    <definedName name="perc_ass_c002" localSheetId="12">#REF!</definedName>
    <definedName name="perc_ass_c002" localSheetId="0">#REF!</definedName>
    <definedName name="perc_ass_c002" localSheetId="4">#REF!</definedName>
    <definedName name="perc_ass_c002">#REF!</definedName>
    <definedName name="perc_ass_c003" localSheetId="12">#REF!</definedName>
    <definedName name="perc_ass_c003" localSheetId="0">#REF!</definedName>
    <definedName name="perc_ass_c003" localSheetId="4">#REF!</definedName>
    <definedName name="perc_ass_c003">#REF!</definedName>
    <definedName name="perc_ass_c004" localSheetId="12">#REF!</definedName>
    <definedName name="perc_ass_c004" localSheetId="0">#REF!</definedName>
    <definedName name="perc_ass_c004" localSheetId="4">#REF!</definedName>
    <definedName name="perc_ass_c004">#REF!</definedName>
    <definedName name="perc_ass_c005" localSheetId="12">#REF!</definedName>
    <definedName name="perc_ass_c005" localSheetId="0">#REF!</definedName>
    <definedName name="perc_ass_c005" localSheetId="4">#REF!</definedName>
    <definedName name="perc_ass_c005">#REF!</definedName>
    <definedName name="perc_ass_c007" localSheetId="12">#REF!</definedName>
    <definedName name="perc_ass_c007" localSheetId="0">#REF!</definedName>
    <definedName name="perc_ass_c007" localSheetId="4">#REF!</definedName>
    <definedName name="perc_ass_c007">#REF!</definedName>
    <definedName name="perc_ass_c008" localSheetId="12">#REF!</definedName>
    <definedName name="perc_ass_c008" localSheetId="0">#REF!</definedName>
    <definedName name="perc_ass_c008" localSheetId="4">#REF!</definedName>
    <definedName name="perc_ass_c008">#REF!</definedName>
    <definedName name="perc_ass_d0101" localSheetId="12">#REF!</definedName>
    <definedName name="perc_ass_d0101" localSheetId="0">#REF!</definedName>
    <definedName name="perc_ass_d0101" localSheetId="4">#REF!</definedName>
    <definedName name="perc_ass_d0101">#REF!</definedName>
    <definedName name="perc_ass_d0102" localSheetId="12">#REF!</definedName>
    <definedName name="perc_ass_d0102" localSheetId="0">#REF!</definedName>
    <definedName name="perc_ass_d0102" localSheetId="4">#REF!</definedName>
    <definedName name="perc_ass_d0102">#REF!</definedName>
    <definedName name="perc_ass_D0103" localSheetId="12">#REF!</definedName>
    <definedName name="perc_ass_D0103" localSheetId="0">#REF!</definedName>
    <definedName name="perc_ass_D0103" localSheetId="4">#REF!</definedName>
    <definedName name="perc_ass_D0103">#REF!</definedName>
    <definedName name="perc_ass_d0105" localSheetId="12">#REF!</definedName>
    <definedName name="perc_ass_d0105" localSheetId="0">#REF!</definedName>
    <definedName name="perc_ass_d0105" localSheetId="4">#REF!</definedName>
    <definedName name="perc_ass_d0105">#REF!</definedName>
    <definedName name="perc_ass_d0201" localSheetId="12">#REF!</definedName>
    <definedName name="perc_ass_d0201" localSheetId="0">#REF!</definedName>
    <definedName name="perc_ass_d0201" localSheetId="4">#REF!</definedName>
    <definedName name="perc_ass_d0201">#REF!</definedName>
    <definedName name="perc_ass_e01" localSheetId="12">#REF!</definedName>
    <definedName name="perc_ass_e01" localSheetId="0">#REF!</definedName>
    <definedName name="perc_ass_e01" localSheetId="4">#REF!</definedName>
    <definedName name="perc_ass_e01">#REF!</definedName>
    <definedName name="perc_ass_e0102" localSheetId="12">#REF!</definedName>
    <definedName name="perc_ass_e0102" localSheetId="0">#REF!</definedName>
    <definedName name="perc_ass_e0102" localSheetId="4">#REF!</definedName>
    <definedName name="perc_ass_e0102">#REF!</definedName>
    <definedName name="perc_ass_e0103" localSheetId="12">#REF!</definedName>
    <definedName name="perc_ass_e0103" localSheetId="0">#REF!</definedName>
    <definedName name="perc_ass_e0103" localSheetId="4">#REF!</definedName>
    <definedName name="perc_ass_e0103">#REF!</definedName>
    <definedName name="perc_ass_e04" localSheetId="12">#REF!</definedName>
    <definedName name="perc_ass_e04" localSheetId="0">#REF!</definedName>
    <definedName name="perc_ass_e04" localSheetId="4">#REF!</definedName>
    <definedName name="perc_ass_e04">#REF!</definedName>
    <definedName name="perc_ass_e05" localSheetId="12">#REF!</definedName>
    <definedName name="perc_ass_e05" localSheetId="0">#REF!</definedName>
    <definedName name="perc_ass_e05" localSheetId="4">#REF!</definedName>
    <definedName name="perc_ass_e05">#REF!</definedName>
    <definedName name="perc_ass_g0201" localSheetId="12">#REF!</definedName>
    <definedName name="perc_ass_g0201" localSheetId="0">#REF!</definedName>
    <definedName name="perc_ass_g0201" localSheetId="4">#REF!</definedName>
    <definedName name="perc_ass_g0201">#REF!</definedName>
    <definedName name="perc_man_a0102" localSheetId="12">#REF!</definedName>
    <definedName name="perc_man_a0102" localSheetId="0">#REF!</definedName>
    <definedName name="perc_man_a0102" localSheetId="4">#REF!</definedName>
    <definedName name="perc_man_a0102">#REF!</definedName>
    <definedName name="perc_man_a0701" localSheetId="12">#REF!</definedName>
    <definedName name="perc_man_a0701" localSheetId="0">#REF!</definedName>
    <definedName name="perc_man_a0701" localSheetId="4">#REF!</definedName>
    <definedName name="perc_man_a0701">#REF!</definedName>
    <definedName name="perc_man_b0011" localSheetId="12">#REF!</definedName>
    <definedName name="perc_man_b0011" localSheetId="0">#REF!</definedName>
    <definedName name="perc_man_b0011" localSheetId="4">#REF!</definedName>
    <definedName name="perc_man_b0011">#REF!</definedName>
    <definedName name="perc_man_b0012" localSheetId="12">#REF!</definedName>
    <definedName name="perc_man_b0012" localSheetId="0">#REF!</definedName>
    <definedName name="perc_man_b0012" localSheetId="4">#REF!</definedName>
    <definedName name="perc_man_b0012">#REF!</definedName>
    <definedName name="perc_man_b0013" localSheetId="12">'[53]B0-Er.Serv.San.-dettaglio'!#REF!</definedName>
    <definedName name="perc_man_b0013" localSheetId="0">'[54]B0-Er.Serv.San.-dettaglio'!#REF!</definedName>
    <definedName name="perc_man_b0013" localSheetId="4">'[54]B0-Er.Serv.San.-dettaglio'!#REF!</definedName>
    <definedName name="perc_man_b0013">'[55]B0-Er.Serv.San.-dettaglio'!#REF!</definedName>
    <definedName name="perc_man_b0014" localSheetId="12">#REF!</definedName>
    <definedName name="perc_man_b0014" localSheetId="13">#REF!</definedName>
    <definedName name="perc_man_b0014" localSheetId="14">#REF!</definedName>
    <definedName name="perc_man_b0014" localSheetId="0">#REF!</definedName>
    <definedName name="perc_man_b0014" localSheetId="4">#REF!</definedName>
    <definedName name="perc_man_b0014">#REF!</definedName>
    <definedName name="perc_man_b0015" localSheetId="12">#REF!</definedName>
    <definedName name="perc_man_b0015" localSheetId="13">#REF!</definedName>
    <definedName name="perc_man_b0015" localSheetId="0">#REF!</definedName>
    <definedName name="perc_man_b0015" localSheetId="4">#REF!</definedName>
    <definedName name="perc_man_b0015">#REF!</definedName>
    <definedName name="perc_man_b0016" localSheetId="12">#REF!</definedName>
    <definedName name="perc_man_b0016" localSheetId="13">#REF!</definedName>
    <definedName name="perc_man_b0016" localSheetId="0">#REF!</definedName>
    <definedName name="perc_man_b0016" localSheetId="4">#REF!</definedName>
    <definedName name="perc_man_b0016">#REF!</definedName>
    <definedName name="perc_man_b002" localSheetId="12">#REF!</definedName>
    <definedName name="perc_man_b002" localSheetId="0">#REF!</definedName>
    <definedName name="perc_man_b002" localSheetId="4">#REF!</definedName>
    <definedName name="perc_man_b002">#REF!</definedName>
    <definedName name="perc_man_b003" localSheetId="12">#REF!</definedName>
    <definedName name="perc_man_b003" localSheetId="0">#REF!</definedName>
    <definedName name="perc_man_b003" localSheetId="4">#REF!</definedName>
    <definedName name="perc_man_b003">#REF!</definedName>
    <definedName name="perc_man_b004" localSheetId="12">#REF!</definedName>
    <definedName name="perc_man_b004" localSheetId="0">#REF!</definedName>
    <definedName name="perc_man_b004" localSheetId="4">#REF!</definedName>
    <definedName name="perc_man_b004">#REF!</definedName>
    <definedName name="perc_man_b005" localSheetId="12">#REF!</definedName>
    <definedName name="perc_man_b005" localSheetId="0">#REF!</definedName>
    <definedName name="perc_man_b005" localSheetId="4">#REF!</definedName>
    <definedName name="perc_man_b005">#REF!</definedName>
    <definedName name="perc_man_b006" localSheetId="12">#REF!</definedName>
    <definedName name="perc_man_b006" localSheetId="0">#REF!</definedName>
    <definedName name="perc_man_b006" localSheetId="4">#REF!</definedName>
    <definedName name="perc_man_b006">#REF!</definedName>
    <definedName name="perc_man_b007" localSheetId="12">#REF!</definedName>
    <definedName name="perc_man_b007" localSheetId="0">#REF!</definedName>
    <definedName name="perc_man_b007" localSheetId="4">#REF!</definedName>
    <definedName name="perc_man_b007">#REF!</definedName>
    <definedName name="perc_man_b008" localSheetId="12">#REF!</definedName>
    <definedName name="perc_man_b008" localSheetId="0">#REF!</definedName>
    <definedName name="perc_man_b008" localSheetId="4">#REF!</definedName>
    <definedName name="perc_man_b008">#REF!</definedName>
    <definedName name="perc_man_b009" localSheetId="12">#REF!</definedName>
    <definedName name="perc_man_b009" localSheetId="0">#REF!</definedName>
    <definedName name="perc_man_b009" localSheetId="4">#REF!</definedName>
    <definedName name="perc_man_b009">#REF!</definedName>
    <definedName name="perc_man_c001" localSheetId="12">#REF!</definedName>
    <definedName name="perc_man_c001" localSheetId="0">#REF!</definedName>
    <definedName name="perc_man_c001" localSheetId="4">#REF!</definedName>
    <definedName name="perc_man_c001">#REF!</definedName>
    <definedName name="perc_man_c0012" localSheetId="12">#REF!</definedName>
    <definedName name="perc_man_c0012" localSheetId="0">#REF!</definedName>
    <definedName name="perc_man_c0012" localSheetId="4">#REF!</definedName>
    <definedName name="perc_man_c0012">#REF!</definedName>
    <definedName name="perc_man_c0013" localSheetId="12">#REF!</definedName>
    <definedName name="perc_man_c0013" localSheetId="0">#REF!</definedName>
    <definedName name="perc_man_c0013" localSheetId="4">#REF!</definedName>
    <definedName name="perc_man_c0013">#REF!</definedName>
    <definedName name="perc_man_c002" localSheetId="12">#REF!</definedName>
    <definedName name="perc_man_c002" localSheetId="0">#REF!</definedName>
    <definedName name="perc_man_c002" localSheetId="4">#REF!</definedName>
    <definedName name="perc_man_c002">#REF!</definedName>
    <definedName name="perc_man_c003" localSheetId="12">#REF!</definedName>
    <definedName name="perc_man_c003" localSheetId="0">#REF!</definedName>
    <definedName name="perc_man_c003" localSheetId="4">#REF!</definedName>
    <definedName name="perc_man_c003">#REF!</definedName>
    <definedName name="perc_man_c004" localSheetId="12">#REF!</definedName>
    <definedName name="perc_man_c004" localSheetId="0">#REF!</definedName>
    <definedName name="perc_man_c004" localSheetId="4">#REF!</definedName>
    <definedName name="perc_man_c004">#REF!</definedName>
    <definedName name="perc_man_c005" localSheetId="12">#REF!</definedName>
    <definedName name="perc_man_c005" localSheetId="0">#REF!</definedName>
    <definedName name="perc_man_c005" localSheetId="4">#REF!</definedName>
    <definedName name="perc_man_c005">#REF!</definedName>
    <definedName name="perc_man_c007" localSheetId="12">#REF!</definedName>
    <definedName name="perc_man_c007" localSheetId="0">#REF!</definedName>
    <definedName name="perc_man_c007" localSheetId="4">#REF!</definedName>
    <definedName name="perc_man_c007">#REF!</definedName>
    <definedName name="perc_man_c008" localSheetId="12">#REF!</definedName>
    <definedName name="perc_man_c008" localSheetId="0">#REF!</definedName>
    <definedName name="perc_man_c008" localSheetId="4">#REF!</definedName>
    <definedName name="perc_man_c008">#REF!</definedName>
    <definedName name="perc_man_d0101" localSheetId="12">#REF!</definedName>
    <definedName name="perc_man_d0101" localSheetId="0">#REF!</definedName>
    <definedName name="perc_man_d0101" localSheetId="4">#REF!</definedName>
    <definedName name="perc_man_d0101">#REF!</definedName>
    <definedName name="perc_man_d0102" localSheetId="12">#REF!</definedName>
    <definedName name="perc_man_d0102" localSheetId="0">#REF!</definedName>
    <definedName name="perc_man_d0102" localSheetId="4">#REF!</definedName>
    <definedName name="perc_man_d0102">#REF!</definedName>
    <definedName name="perc_man_d0103" localSheetId="12">#REF!</definedName>
    <definedName name="perc_man_d0103" localSheetId="0">#REF!</definedName>
    <definedName name="perc_man_d0103" localSheetId="4">#REF!</definedName>
    <definedName name="perc_man_d0103">#REF!</definedName>
    <definedName name="perc_man_d0103m" localSheetId="12">#REF!</definedName>
    <definedName name="perc_man_d0103m" localSheetId="0">#REF!</definedName>
    <definedName name="perc_man_d0103m" localSheetId="4">#REF!</definedName>
    <definedName name="perc_man_d0103m">#REF!</definedName>
    <definedName name="perc_man_d0105" localSheetId="12">#REF!</definedName>
    <definedName name="perc_man_d0105" localSheetId="0">#REF!</definedName>
    <definedName name="perc_man_d0105" localSheetId="4">#REF!</definedName>
    <definedName name="perc_man_d0105">#REF!</definedName>
    <definedName name="perc_man_d0201" localSheetId="12">#REF!</definedName>
    <definedName name="perc_man_d0201" localSheetId="0">#REF!</definedName>
    <definedName name="perc_man_d0201" localSheetId="4">#REF!</definedName>
    <definedName name="perc_man_d0201">#REF!</definedName>
    <definedName name="perc_man_e01" localSheetId="12">#REF!</definedName>
    <definedName name="perc_man_e01" localSheetId="0">#REF!</definedName>
    <definedName name="perc_man_e01" localSheetId="4">#REF!</definedName>
    <definedName name="perc_man_e01">#REF!</definedName>
    <definedName name="perc_man_e0102" localSheetId="12">#REF!</definedName>
    <definedName name="perc_man_e0102" localSheetId="0">#REF!</definedName>
    <definedName name="perc_man_e0102" localSheetId="4">#REF!</definedName>
    <definedName name="perc_man_e0102">#REF!</definedName>
    <definedName name="perc_man_e0103" localSheetId="12">#REF!</definedName>
    <definedName name="perc_man_e0103" localSheetId="0">#REF!</definedName>
    <definedName name="perc_man_e0103" localSheetId="4">#REF!</definedName>
    <definedName name="perc_man_e0103">#REF!</definedName>
    <definedName name="perc_man_e04" localSheetId="12">#REF!</definedName>
    <definedName name="perc_man_e04" localSheetId="0">#REF!</definedName>
    <definedName name="perc_man_e04" localSheetId="4">#REF!</definedName>
    <definedName name="perc_man_e04">#REF!</definedName>
    <definedName name="perc_man_e05" localSheetId="12">#REF!</definedName>
    <definedName name="perc_man_e05" localSheetId="0">#REF!</definedName>
    <definedName name="perc_man_e05" localSheetId="4">#REF!</definedName>
    <definedName name="perc_man_e05">#REF!</definedName>
    <definedName name="perc_man_e202" localSheetId="12">'[56]E0-Sist.Governo-Cond.SISR-2004'!#REF!</definedName>
    <definedName name="perc_man_e202" localSheetId="0">'[57]E0-Sist.Governo-Cond.SISR-2004'!#REF!</definedName>
    <definedName name="perc_man_e202" localSheetId="4">'[57]E0-Sist.Governo-Cond.SISR-2004'!#REF!</definedName>
    <definedName name="perc_man_e202">'[58]E0-Sist.Governo-Cond.SISR-2004'!#REF!</definedName>
    <definedName name="perc_man_g0201" localSheetId="12">#REF!</definedName>
    <definedName name="perc_man_g0201" localSheetId="13">#REF!</definedName>
    <definedName name="perc_man_g0201" localSheetId="14">#REF!</definedName>
    <definedName name="perc_man_g0201" localSheetId="0">#REF!</definedName>
    <definedName name="perc_man_g0201" localSheetId="4">#REF!</definedName>
    <definedName name="perc_man_g0201">#REF!</definedName>
    <definedName name="perc_pass" localSheetId="12">#REF!</definedName>
    <definedName name="perc_pass" localSheetId="13">#REF!</definedName>
    <definedName name="perc_pass" localSheetId="0">#REF!</definedName>
    <definedName name="perc_pass" localSheetId="4">#REF!</definedName>
    <definedName name="perc_pass">#REF!</definedName>
    <definedName name="Pers_aopn" localSheetId="12">#REF!</definedName>
    <definedName name="Pers_aopn" localSheetId="13">#REF!</definedName>
    <definedName name="Pers_aopn" localSheetId="0">#REF!</definedName>
    <definedName name="Pers_aopn" localSheetId="4">#REF!</definedName>
    <definedName name="Pers_aopn">#REF!</definedName>
    <definedName name="Pers_aots" localSheetId="12">#REF!</definedName>
    <definedName name="Pers_aots" localSheetId="0">#REF!</definedName>
    <definedName name="Pers_aots" localSheetId="4">#REF!</definedName>
    <definedName name="Pers_aots">#REF!</definedName>
    <definedName name="Pers_aoud" localSheetId="12">#REF!</definedName>
    <definedName name="Pers_aoud" localSheetId="0">#REF!</definedName>
    <definedName name="Pers_aoud" localSheetId="4">#REF!</definedName>
    <definedName name="Pers_aoud">#REF!</definedName>
    <definedName name="Pers_ars" localSheetId="12">#REF!</definedName>
    <definedName name="Pers_ars" localSheetId="0">#REF!</definedName>
    <definedName name="Pers_ars" localSheetId="4">#REF!</definedName>
    <definedName name="Pers_ars">#REF!</definedName>
    <definedName name="Pers_ass1" localSheetId="12">#REF!</definedName>
    <definedName name="Pers_ass1" localSheetId="0">#REF!</definedName>
    <definedName name="Pers_ass1" localSheetId="4">#REF!</definedName>
    <definedName name="Pers_ass1">#REF!</definedName>
    <definedName name="Pers_ass2" localSheetId="12">#REF!</definedName>
    <definedName name="Pers_ass2" localSheetId="0">#REF!</definedName>
    <definedName name="Pers_ass2" localSheetId="4">#REF!</definedName>
    <definedName name="Pers_ass2">#REF!</definedName>
    <definedName name="Pers_ass4" localSheetId="12">#REF!</definedName>
    <definedName name="Pers_ass4" localSheetId="0">#REF!</definedName>
    <definedName name="Pers_ass4" localSheetId="4">#REF!</definedName>
    <definedName name="Pers_ass4">#REF!</definedName>
    <definedName name="Pers_ass6" localSheetId="12">#REF!</definedName>
    <definedName name="Pers_ass6" localSheetId="0">#REF!</definedName>
    <definedName name="Pers_ass6" localSheetId="4">#REF!</definedName>
    <definedName name="Pers_ass6">#REF!</definedName>
    <definedName name="Pers_burlo" localSheetId="12">#REF!</definedName>
    <definedName name="Pers_burlo" localSheetId="0">#REF!</definedName>
    <definedName name="Pers_burlo" localSheetId="4">#REF!</definedName>
    <definedName name="Pers_burlo">#REF!</definedName>
    <definedName name="Pers_cro" localSheetId="12">#REF!</definedName>
    <definedName name="Pers_cro" localSheetId="0">#REF!</definedName>
    <definedName name="Pers_cro" localSheetId="4">#REF!</definedName>
    <definedName name="Pers_cro">#REF!</definedName>
    <definedName name="Pers_policl" localSheetId="12">#REF!</definedName>
    <definedName name="Pers_policl" localSheetId="0">#REF!</definedName>
    <definedName name="Pers_policl" localSheetId="4">#REF!</definedName>
    <definedName name="Pers_policl">#REF!</definedName>
    <definedName name="Pesr_ass3" localSheetId="12">#REF!</definedName>
    <definedName name="Pesr_ass3" localSheetId="0">#REF!</definedName>
    <definedName name="Pesr_ass3" localSheetId="4">#REF!</definedName>
    <definedName name="Pesr_ass3">#REF!</definedName>
    <definedName name="pippo">'[59]Alim S.P.'!#REF!</definedName>
    <definedName name="pluto" localSheetId="13">#REF!</definedName>
    <definedName name="pluto" localSheetId="14">#REF!</definedName>
    <definedName name="pluto">#REF!</definedName>
    <definedName name="precons" localSheetId="12">#REF!</definedName>
    <definedName name="precons" localSheetId="13">#REF!</definedName>
    <definedName name="precons" localSheetId="0">#REF!</definedName>
    <definedName name="precons" localSheetId="4">#REF!</definedName>
    <definedName name="precons">#REF!</definedName>
    <definedName name="prova">'[1]Alim S.P.'!#REF!</definedName>
    <definedName name="QUOTA_40">[22]Codifiche!$Y$2:$Y$11</definedName>
    <definedName name="re" localSheetId="12">#REF!</definedName>
    <definedName name="re" localSheetId="13">#REF!</definedName>
    <definedName name="re" localSheetId="14">#REF!</definedName>
    <definedName name="re" localSheetId="0">#REF!</definedName>
    <definedName name="re" localSheetId="4">#REF!</definedName>
    <definedName name="re">#REF!</definedName>
    <definedName name="re_1">"#REF!"</definedName>
    <definedName name="rewe" localSheetId="12">[60]AOTS!$A:$IV</definedName>
    <definedName name="rewe" localSheetId="13">[61]AOTS!$A:$IV</definedName>
    <definedName name="rewe" localSheetId="14">[61]AOTS!$A:$IV</definedName>
    <definedName name="rewe" localSheetId="0">[62]AOTS!$A:$IV</definedName>
    <definedName name="rewe" localSheetId="4">[62]AOTS!$A:$IV</definedName>
    <definedName name="rewe">[63]AOTS!$A:$IV</definedName>
    <definedName name="Riassunto__Risorse_complessive" localSheetId="12">#REF!</definedName>
    <definedName name="Riassunto__Risorse_complessive" localSheetId="13">#REF!</definedName>
    <definedName name="Riassunto__Risorse_complessive" localSheetId="14">#REF!</definedName>
    <definedName name="Riassunto__Risorse_complessive" localSheetId="0">#REF!</definedName>
    <definedName name="Riassunto__Risorse_complessive" localSheetId="4">#REF!</definedName>
    <definedName name="Riassunto__Risorse_complessive">#REF!</definedName>
    <definedName name="ricavi">#REF!</definedName>
    <definedName name="sc_clipper" localSheetId="12">#REF!</definedName>
    <definedName name="sc_clipper" localSheetId="13">#REF!</definedName>
    <definedName name="sc_clipper" localSheetId="0">#REF!</definedName>
    <definedName name="sc_clipper" localSheetId="4">#REF!</definedName>
    <definedName name="sc_clipper">#REF!</definedName>
    <definedName name="sc_d00101" localSheetId="12">#REF!</definedName>
    <definedName name="sc_d00101" localSheetId="0">#REF!</definedName>
    <definedName name="sc_d00101" localSheetId="4">#REF!</definedName>
    <definedName name="sc_d00101">#REF!</definedName>
    <definedName name="sc_d00102" localSheetId="12">#REF!</definedName>
    <definedName name="sc_d00102" localSheetId="0">#REF!</definedName>
    <definedName name="sc_d00102" localSheetId="4">#REF!</definedName>
    <definedName name="sc_d00102">#REF!</definedName>
    <definedName name="sc_d00103" localSheetId="12">#REF!</definedName>
    <definedName name="sc_d00103" localSheetId="0">#REF!</definedName>
    <definedName name="sc_d00103" localSheetId="4">#REF!</definedName>
    <definedName name="sc_d00103">#REF!</definedName>
    <definedName name="sc_d00105" localSheetId="12">#REF!</definedName>
    <definedName name="sc_d00105" localSheetId="0">#REF!</definedName>
    <definedName name="sc_d00105" localSheetId="4">#REF!</definedName>
    <definedName name="sc_d00105">#REF!</definedName>
    <definedName name="sc_d00501" localSheetId="12">#REF!</definedName>
    <definedName name="sc_d00501" localSheetId="0">#REF!</definedName>
    <definedName name="sc_d00501" localSheetId="4">#REF!</definedName>
    <definedName name="sc_d00501">#REF!</definedName>
    <definedName name="sc_g00201" localSheetId="12">#REF!</definedName>
    <definedName name="sc_g00201" localSheetId="0">#REF!</definedName>
    <definedName name="sc_g00201" localSheetId="4">#REF!</definedName>
    <definedName name="sc_g00201">#REF!</definedName>
    <definedName name="selez">"#REF!"</definedName>
    <definedName name="SESSO">[22]Codifiche!$A$2:$A$6</definedName>
    <definedName name="SPSS" localSheetId="12">#REF!</definedName>
    <definedName name="SPSS" localSheetId="13">#REF!</definedName>
    <definedName name="SPSS" localSheetId="14">#REF!</definedName>
    <definedName name="SPSS" localSheetId="0">#REF!</definedName>
    <definedName name="SPSS" localSheetId="4">#REF!</definedName>
    <definedName name="SPSS">#REF!</definedName>
    <definedName name="stampa">[64]AOTS!$A:$IV</definedName>
    <definedName name="STATO">[22]Codifiche!$B$2:$B$15</definedName>
    <definedName name="TEMPO">[22]Codifiche!$R$2:$R$15</definedName>
    <definedName name="Term_agg_ASCOT" localSheetId="12">#REF!</definedName>
    <definedName name="Term_agg_ASCOT" localSheetId="13">#REF!</definedName>
    <definedName name="Term_agg_ASCOT" localSheetId="14">#REF!</definedName>
    <definedName name="Term_agg_ASCOT" localSheetId="0">#REF!</definedName>
    <definedName name="Term_agg_ASCOT" localSheetId="4">#REF!</definedName>
    <definedName name="Term_agg_ASCOT">#REF!</definedName>
    <definedName name="_xlnm.Print_Titles" localSheetId="2">'Alimentazione SP A'!$1:$2</definedName>
    <definedName name="_xlnm.Print_Titles" localSheetId="3">'Alimentazione SP P'!$1:$2</definedName>
    <definedName name="_xlnm.Print_Titles" localSheetId="10">'CE Min'!$21:$21</definedName>
    <definedName name="_xlnm.Print_Titles" localSheetId="11">'SP Min'!$29:$29</definedName>
    <definedName name="Tot_chemio_regione" localSheetId="12">#REF!</definedName>
    <definedName name="Tot_chemio_regione" localSheetId="13">#REF!</definedName>
    <definedName name="Tot_chemio_regione" localSheetId="0">#REF!</definedName>
    <definedName name="Tot_chemio_regione" localSheetId="4">#REF!</definedName>
    <definedName name="Tot_chemio_regione">#REF!</definedName>
    <definedName name="Tot_referti_G2RISregione" localSheetId="12">#REF!</definedName>
    <definedName name="Tot_referti_G2RISregione" localSheetId="13">#REF!</definedName>
    <definedName name="Tot_referti_G2RISregione" localSheetId="0">#REF!</definedName>
    <definedName name="Tot_referti_G2RISregione" localSheetId="4">#REF!</definedName>
    <definedName name="Tot_referti_G2RISregione">#REF!</definedName>
    <definedName name="TOTALE">#REF!</definedName>
    <definedName name="Totale_accessi_regione" localSheetId="12">#REF!</definedName>
    <definedName name="Totale_accessi_regione" localSheetId="0">#REF!</definedName>
    <definedName name="Totale_accessi_regione" localSheetId="4">#REF!</definedName>
    <definedName name="Totale_accessi_regione">#REF!</definedName>
    <definedName name="Totale_acquisti_di_rilievo_aziendale" localSheetId="12">#REF!</definedName>
    <definedName name="Totale_acquisti_di_rilievo_aziendale" localSheetId="0">#REF!</definedName>
    <definedName name="Totale_acquisti_di_rilievo_aziendale" localSheetId="4">#REF!</definedName>
    <definedName name="Totale_acquisti_di_rilievo_aziendale">#REF!</definedName>
    <definedName name="Totale_acquisti_di_rilievo_regionale" localSheetId="12">#REF!</definedName>
    <definedName name="Totale_acquisti_di_rilievo_regionale" localSheetId="0">#REF!</definedName>
    <definedName name="Totale_acquisti_di_rilievo_regionale" localSheetId="4">#REF!</definedName>
    <definedName name="Totale_acquisti_di_rilievo_regionale">#REF!</definedName>
    <definedName name="Totale_dip_regione" localSheetId="12">#REF!</definedName>
    <definedName name="Totale_dip_regione" localSheetId="0">#REF!</definedName>
    <definedName name="Totale_dip_regione" localSheetId="4">#REF!</definedName>
    <definedName name="Totale_dip_regione">#REF!</definedName>
    <definedName name="Totale_esami_regione" localSheetId="12">#REF!</definedName>
    <definedName name="Totale_esami_regione" localSheetId="0">#REF!</definedName>
    <definedName name="Totale_esami_regione" localSheetId="4">#REF!</definedName>
    <definedName name="Totale_esami_regione">#REF!</definedName>
    <definedName name="Totale_interventi_di_rilievo_aziendale" localSheetId="12">#REF!</definedName>
    <definedName name="Totale_interventi_di_rilievo_aziendale" localSheetId="0">#REF!</definedName>
    <definedName name="Totale_interventi_di_rilievo_aziendale" localSheetId="4">#REF!</definedName>
    <definedName name="Totale_interventi_di_rilievo_aziendale">#REF!</definedName>
    <definedName name="Totale_interventi_di_rilievo_regionale" localSheetId="12">#REF!</definedName>
    <definedName name="Totale_interventi_di_rilievo_regionale" localSheetId="0">#REF!</definedName>
    <definedName name="Totale_interventi_di_rilievo_regionale" localSheetId="4">#REF!</definedName>
    <definedName name="Totale_interventi_di_rilievo_regionale">#REF!</definedName>
    <definedName name="Totale_parametro_riferimento_G2" localSheetId="12">#REF!</definedName>
    <definedName name="Totale_parametro_riferimento_G2" localSheetId="0">#REF!</definedName>
    <definedName name="Totale_parametro_riferimento_G2" localSheetId="4">#REF!</definedName>
    <definedName name="Totale_parametro_riferimento_G2">#REF!</definedName>
    <definedName name="Totale_trasf_regione" localSheetId="12">#REF!</definedName>
    <definedName name="Totale_trasf_regione" localSheetId="0">#REF!</definedName>
    <definedName name="Totale_trasf_regione" localSheetId="4">#REF!</definedName>
    <definedName name="Totale_trasf_regione">#REF!</definedName>
    <definedName name="Uselist" localSheetId="14">INDEX("[21]!valdata",1,MATCH("'[22]2010'!xfd1",[36]Lists!$A$1:$IV$1,0)):INDEX("[21]!valdata",Counter,MATCH("'[22]2010'!xfd1",[36]Lists!$A$1:$IV$1,0))</definedName>
    <definedName name="Uselist">INDEX("[21]!valdata",1,MATCH("'[22]2010'!xfd1",[36]Lists!$A$1:$IV$1,0)):INDEX("[21]!valdata",Counter,MATCH("'[22]2010'!xfd1",[36]Lists!$A$1:$IV$1,0))</definedName>
    <definedName name="Uselist2" localSheetId="14">INDEX("[21]!valdata2",1,MATCH("'[23]2010'!xfd1",[37]profili!$A$1:$IV$1,0)):INDEX("[21]!valdata2",Counter2,MATCH("'[23]2010'!xfd1",[37]profili!$A$1:$IV$1,0))</definedName>
    <definedName name="Uselist2">INDEX("[21]!valdata2",1,MATCH("'[23]2010'!xfd1",[37]profili!$A$1:$IV$1,0)):INDEX("[21]!valdata2",Counter2,MATCH("'[23]2010'!xfd1",[37]profili!$A$1:$IV$1,0))</definedName>
    <definedName name="val_nom_term_ce" localSheetId="12">#REF!</definedName>
    <definedName name="val_nom_term_ce" localSheetId="13">#REF!</definedName>
    <definedName name="val_nom_term_ce" localSheetId="14">#REF!</definedName>
    <definedName name="val_nom_term_ce" localSheetId="0">#REF!</definedName>
    <definedName name="val_nom_term_ce" localSheetId="4">#REF!</definedName>
    <definedName name="val_nom_term_ce">#REF!</definedName>
    <definedName name="Val_nom_terminale" localSheetId="12">#REF!</definedName>
    <definedName name="Val_nom_terminale" localSheetId="13">#REF!</definedName>
    <definedName name="Val_nom_terminale" localSheetId="0">#REF!</definedName>
    <definedName name="Val_nom_terminale" localSheetId="4">#REF!</definedName>
    <definedName name="Val_nom_terminale">#REF!</definedName>
    <definedName name="val_ora_a0102" localSheetId="12">#REF!</definedName>
    <definedName name="val_ora_a0102" localSheetId="13">#REF!</definedName>
    <definedName name="val_ora_a0102" localSheetId="0">#REF!</definedName>
    <definedName name="val_ora_a0102" localSheetId="4">#REF!</definedName>
    <definedName name="val_ora_a0102">#REF!</definedName>
    <definedName name="val_ora_a0202" localSheetId="12">#REF!</definedName>
    <definedName name="val_ora_a0202" localSheetId="0">#REF!</definedName>
    <definedName name="val_ora_a0202" localSheetId="4">#REF!</definedName>
    <definedName name="val_ora_a0202">#REF!</definedName>
    <definedName name="val_ora_a0701" localSheetId="12">#REF!</definedName>
    <definedName name="val_ora_a0701" localSheetId="0">#REF!</definedName>
    <definedName name="val_ora_a0701" localSheetId="4">#REF!</definedName>
    <definedName name="val_ora_a0701">#REF!</definedName>
    <definedName name="val_ora_b0011" localSheetId="12">#REF!</definedName>
    <definedName name="val_ora_b0011" localSheetId="0">#REF!</definedName>
    <definedName name="val_ora_b0011" localSheetId="4">#REF!</definedName>
    <definedName name="val_ora_b0011">#REF!</definedName>
    <definedName name="val_ora_b0012" localSheetId="12">#REF!</definedName>
    <definedName name="val_ora_b0012" localSheetId="0">#REF!</definedName>
    <definedName name="val_ora_b0012" localSheetId="4">#REF!</definedName>
    <definedName name="val_ora_b0012">#REF!</definedName>
    <definedName name="val_ora_b0013" localSheetId="12">'[53]B0-Er.Serv.San.-dettaglio'!#REF!</definedName>
    <definedName name="val_ora_b0013" localSheetId="13">'[55]B0-Er.Serv.San.-dettaglio'!#REF!</definedName>
    <definedName name="val_ora_b0013" localSheetId="0">'[54]B0-Er.Serv.San.-dettaglio'!#REF!</definedName>
    <definedName name="val_ora_b0013" localSheetId="4">'[54]B0-Er.Serv.San.-dettaglio'!#REF!</definedName>
    <definedName name="val_ora_b0013">'[55]B0-Er.Serv.San.-dettaglio'!#REF!</definedName>
    <definedName name="val_ora_b0014" localSheetId="12">#REF!</definedName>
    <definedName name="val_ora_b0014" localSheetId="13">#REF!</definedName>
    <definedName name="val_ora_b0014" localSheetId="14">#REF!</definedName>
    <definedName name="val_ora_b0014" localSheetId="0">#REF!</definedName>
    <definedName name="val_ora_b0014" localSheetId="4">#REF!</definedName>
    <definedName name="val_ora_b0014">#REF!</definedName>
    <definedName name="val_ora_b0015" localSheetId="12">#REF!</definedName>
    <definedName name="val_ora_b0015" localSheetId="13">#REF!</definedName>
    <definedName name="val_ora_b0015" localSheetId="0">#REF!</definedName>
    <definedName name="val_ora_b0015" localSheetId="4">#REF!</definedName>
    <definedName name="val_ora_b0015">#REF!</definedName>
    <definedName name="val_ora_b0016" localSheetId="12">#REF!</definedName>
    <definedName name="val_ora_b0016" localSheetId="13">#REF!</definedName>
    <definedName name="val_ora_b0016" localSheetId="0">#REF!</definedName>
    <definedName name="val_ora_b0016" localSheetId="4">#REF!</definedName>
    <definedName name="val_ora_b0016">#REF!</definedName>
    <definedName name="val_ora_b002" localSheetId="12">#REF!</definedName>
    <definedName name="val_ora_b002" localSheetId="0">#REF!</definedName>
    <definedName name="val_ora_b002" localSheetId="4">#REF!</definedName>
    <definedName name="val_ora_b002">#REF!</definedName>
    <definedName name="val_ora_b003" localSheetId="12">#REF!</definedName>
    <definedName name="val_ora_b003" localSheetId="0">#REF!</definedName>
    <definedName name="val_ora_b003" localSheetId="4">#REF!</definedName>
    <definedName name="val_ora_b003">#REF!</definedName>
    <definedName name="val_ora_b004" localSheetId="12">#REF!</definedName>
    <definedName name="val_ora_b004" localSheetId="0">#REF!</definedName>
    <definedName name="val_ora_b004" localSheetId="4">#REF!</definedName>
    <definedName name="val_ora_b004">#REF!</definedName>
    <definedName name="val_ora_b005" localSheetId="12">#REF!</definedName>
    <definedName name="val_ora_b005" localSheetId="0">#REF!</definedName>
    <definedName name="val_ora_b005" localSheetId="4">#REF!</definedName>
    <definedName name="val_ora_b005">#REF!</definedName>
    <definedName name="val_ora_b006" localSheetId="12">#REF!</definedName>
    <definedName name="val_ora_b006" localSheetId="0">#REF!</definedName>
    <definedName name="val_ora_b006" localSheetId="4">#REF!</definedName>
    <definedName name="val_ora_b006">#REF!</definedName>
    <definedName name="val_ora_b007" localSheetId="12">#REF!</definedName>
    <definedName name="val_ora_b007" localSheetId="0">#REF!</definedName>
    <definedName name="val_ora_b007" localSheetId="4">#REF!</definedName>
    <definedName name="val_ora_b007">#REF!</definedName>
    <definedName name="val_ora_b008" localSheetId="12">#REF!</definedName>
    <definedName name="val_ora_b008" localSheetId="0">#REF!</definedName>
    <definedName name="val_ora_b008" localSheetId="4">#REF!</definedName>
    <definedName name="val_ora_b008">#REF!</definedName>
    <definedName name="val_ora_b009" localSheetId="12">#REF!</definedName>
    <definedName name="val_ora_b009" localSheetId="0">#REF!</definedName>
    <definedName name="val_ora_b009" localSheetId="4">#REF!</definedName>
    <definedName name="val_ora_b009">#REF!</definedName>
    <definedName name="val_ora_c001" localSheetId="12">#REF!</definedName>
    <definedName name="val_ora_c001" localSheetId="0">#REF!</definedName>
    <definedName name="val_ora_c001" localSheetId="4">#REF!</definedName>
    <definedName name="val_ora_c001">#REF!</definedName>
    <definedName name="val_ora_c002" localSheetId="12">#REF!</definedName>
    <definedName name="val_ora_c002" localSheetId="0">#REF!</definedName>
    <definedName name="val_ora_c002" localSheetId="4">#REF!</definedName>
    <definedName name="val_ora_c002">#REF!</definedName>
    <definedName name="val_ora_c003" localSheetId="12">#REF!</definedName>
    <definedName name="val_ora_c003" localSheetId="0">#REF!</definedName>
    <definedName name="val_ora_c003" localSheetId="4">#REF!</definedName>
    <definedName name="val_ora_c003">#REF!</definedName>
    <definedName name="val_ora_c004" localSheetId="12">#REF!</definedName>
    <definedName name="val_ora_c004" localSheetId="0">#REF!</definedName>
    <definedName name="val_ora_c004" localSheetId="4">#REF!</definedName>
    <definedName name="val_ora_c004">#REF!</definedName>
    <definedName name="val_ora_c005" localSheetId="12">#REF!</definedName>
    <definedName name="val_ora_c005" localSheetId="0">#REF!</definedName>
    <definedName name="val_ora_c005" localSheetId="4">#REF!</definedName>
    <definedName name="val_ora_c005">#REF!</definedName>
    <definedName name="val_ora_c007" localSheetId="12">#REF!</definedName>
    <definedName name="val_ora_c007" localSheetId="0">#REF!</definedName>
    <definedName name="val_ora_c007" localSheetId="4">#REF!</definedName>
    <definedName name="val_ora_c007">#REF!</definedName>
    <definedName name="val_ora_c008" localSheetId="12">#REF!</definedName>
    <definedName name="val_ora_c008" localSheetId="0">#REF!</definedName>
    <definedName name="val_ora_c008" localSheetId="4">#REF!</definedName>
    <definedName name="val_ora_c008">#REF!</definedName>
    <definedName name="val_ora_d0101" localSheetId="12">#REF!</definedName>
    <definedName name="val_ora_d0101" localSheetId="0">#REF!</definedName>
    <definedName name="val_ora_d0101" localSheetId="4">#REF!</definedName>
    <definedName name="val_ora_d0101">#REF!</definedName>
    <definedName name="val_ora_d0102" localSheetId="12">#REF!</definedName>
    <definedName name="val_ora_d0102" localSheetId="0">#REF!</definedName>
    <definedName name="val_ora_d0102" localSheetId="4">#REF!</definedName>
    <definedName name="val_ora_d0102">#REF!</definedName>
    <definedName name="val_ora_d0103" localSheetId="12">'[53]D0-Scamb.Inform.-Cond.SISR-2004'!$W$31+'[53]D0-Scamb.Inform.-Cond.SISR-2004'!$W$32</definedName>
    <definedName name="val_ora_d0103" localSheetId="0">'[54]D0-Scamb.Inform.-Cond.SISR-2004'!$W$31+'[54]D0-Scamb.Inform.-Cond.SISR-2004'!$W$32</definedName>
    <definedName name="val_ora_d0103" localSheetId="4">'[54]D0-Scamb.Inform.-Cond.SISR-2004'!$W$31+'[54]D0-Scamb.Inform.-Cond.SISR-2004'!$W$32</definedName>
    <definedName name="val_ora_d0103">'[55]D0-Scamb.Inform.-Cond.SISR-2004'!$W$31+'[55]D0-Scamb.Inform.-Cond.SISR-2004'!$W$32</definedName>
    <definedName name="val_ora_d0105" localSheetId="12">#REF!</definedName>
    <definedName name="val_ora_d0105" localSheetId="13">#REF!</definedName>
    <definedName name="val_ora_d0105" localSheetId="14">#REF!</definedName>
    <definedName name="val_ora_d0105" localSheetId="0">#REF!</definedName>
    <definedName name="val_ora_d0105" localSheetId="4">#REF!</definedName>
    <definedName name="val_ora_d0105">#REF!</definedName>
    <definedName name="val_ora_d0201" localSheetId="12">#REF!</definedName>
    <definedName name="val_ora_d0201" localSheetId="13">#REF!</definedName>
    <definedName name="val_ora_d0201" localSheetId="0">#REF!</definedName>
    <definedName name="val_ora_d0201" localSheetId="4">#REF!</definedName>
    <definedName name="val_ora_d0201">#REF!</definedName>
    <definedName name="val_ora_e01" localSheetId="12">#REF!</definedName>
    <definedName name="val_ora_e01" localSheetId="13">#REF!</definedName>
    <definedName name="val_ora_e01" localSheetId="0">#REF!</definedName>
    <definedName name="val_ora_e01" localSheetId="4">#REF!</definedName>
    <definedName name="val_ora_e01">#REF!</definedName>
    <definedName name="val_ora_e0102" localSheetId="12">#REF!</definedName>
    <definedName name="val_ora_e0102" localSheetId="0">#REF!</definedName>
    <definedName name="val_ora_e0102" localSheetId="4">#REF!</definedName>
    <definedName name="val_ora_e0102">#REF!</definedName>
    <definedName name="val_ora_e0103" localSheetId="12">#REF!</definedName>
    <definedName name="val_ora_e0103" localSheetId="0">#REF!</definedName>
    <definedName name="val_ora_e0103" localSheetId="4">#REF!</definedName>
    <definedName name="val_ora_e0103">#REF!</definedName>
    <definedName name="val_ora_e04" localSheetId="12">#REF!</definedName>
    <definedName name="val_ora_e04" localSheetId="0">#REF!</definedName>
    <definedName name="val_ora_e04" localSheetId="4">#REF!</definedName>
    <definedName name="val_ora_e04">#REF!</definedName>
    <definedName name="val_ora_e05" localSheetId="12">#REF!</definedName>
    <definedName name="val_ora_e05" localSheetId="0">#REF!</definedName>
    <definedName name="val_ora_e05" localSheetId="4">#REF!</definedName>
    <definedName name="val_ora_e05">#REF!</definedName>
    <definedName name="val_ora_g0201" localSheetId="12">#REF!</definedName>
    <definedName name="val_ora_g0201" localSheetId="0">#REF!</definedName>
    <definedName name="val_ora_g0201" localSheetId="4">#REF!</definedName>
    <definedName name="val_ora_g0201">#REF!</definedName>
    <definedName name="val_tot_ap_reg" localSheetId="12">#REF!</definedName>
    <definedName name="val_tot_ap_reg" localSheetId="0">#REF!</definedName>
    <definedName name="val_tot_ap_reg" localSheetId="4">#REF!</definedName>
    <definedName name="val_tot_ap_reg">#REF!</definedName>
    <definedName name="val_tot_ap_reg1" localSheetId="12">#REF!</definedName>
    <definedName name="val_tot_ap_reg1" localSheetId="0">#REF!</definedName>
    <definedName name="val_tot_ap_reg1" localSheetId="4">#REF!</definedName>
    <definedName name="val_tot_ap_reg1">#REF!</definedName>
    <definedName name="val_tot_ca_reg" localSheetId="12">#REF!</definedName>
    <definedName name="val_tot_ca_reg" localSheetId="0">#REF!</definedName>
    <definedName name="val_tot_ca_reg" localSheetId="4">#REF!</definedName>
    <definedName name="val_tot_ca_reg">#REF!</definedName>
    <definedName name="val_tot_car_reg" localSheetId="12">#REF!</definedName>
    <definedName name="val_tot_car_reg" localSheetId="0">#REF!</definedName>
    <definedName name="val_tot_car_reg" localSheetId="4">#REF!</definedName>
    <definedName name="val_tot_car_reg">#REF!</definedName>
    <definedName name="val_tot_cep_reg" localSheetId="12">#REF!</definedName>
    <definedName name="val_tot_cep_reg" localSheetId="0">#REF!</definedName>
    <definedName name="val_tot_cep_reg" localSheetId="4">#REF!</definedName>
    <definedName name="val_tot_cep_reg">#REF!</definedName>
    <definedName name="val_tot_cup_reg" localSheetId="12">#REF!</definedName>
    <definedName name="val_tot_cup_reg" localSheetId="0">#REF!</definedName>
    <definedName name="val_tot_cup_reg" localSheetId="4">#REF!</definedName>
    <definedName name="val_tot_cup_reg">#REF!</definedName>
    <definedName name="val_tot_ec_reg" localSheetId="12">#REF!</definedName>
    <definedName name="val_tot_ec_reg" localSheetId="0">#REF!</definedName>
    <definedName name="val_tot_ec_reg" localSheetId="4">#REF!</definedName>
    <definedName name="val_tot_ec_reg">#REF!</definedName>
    <definedName name="val_tot_em_reg" localSheetId="12">#REF!</definedName>
    <definedName name="val_tot_em_reg" localSheetId="0">#REF!</definedName>
    <definedName name="val_tot_em_reg" localSheetId="4">#REF!</definedName>
    <definedName name="val_tot_em_reg">#REF!</definedName>
    <definedName name="val_tot_gc_reg" localSheetId="12">#REF!</definedName>
    <definedName name="val_tot_gc_reg" localSheetId="0">#REF!</definedName>
    <definedName name="val_tot_gc_reg" localSheetId="4">#REF!</definedName>
    <definedName name="val_tot_gc_reg">#REF!</definedName>
    <definedName name="val_tot_ge_reg" localSheetId="12">#REF!</definedName>
    <definedName name="val_tot_ge_reg" localSheetId="0">#REF!</definedName>
    <definedName name="val_tot_ge_reg" localSheetId="4">#REF!</definedName>
    <definedName name="val_tot_ge_reg">#REF!</definedName>
    <definedName name="val_tot_ge_term" localSheetId="12">#REF!</definedName>
    <definedName name="val_tot_ge_term" localSheetId="0">#REF!</definedName>
    <definedName name="val_tot_ge_term" localSheetId="4">#REF!</definedName>
    <definedName name="val_tot_ge_term">#REF!</definedName>
    <definedName name="val_tot_pa_reg" localSheetId="12">#REF!</definedName>
    <definedName name="val_tot_pa_reg" localSheetId="0">#REF!</definedName>
    <definedName name="val_tot_pa_reg" localSheetId="4">#REF!</definedName>
    <definedName name="val_tot_pa_reg">#REF!</definedName>
    <definedName name="val_tot_pi_reg" localSheetId="12">#REF!</definedName>
    <definedName name="val_tot_pi_reg" localSheetId="0">#REF!</definedName>
    <definedName name="val_tot_pi_reg" localSheetId="4">#REF!</definedName>
    <definedName name="val_tot_pi_reg">#REF!</definedName>
    <definedName name="val_tot_ps_reg" localSheetId="12">#REF!</definedName>
    <definedName name="val_tot_ps_reg" localSheetId="0">#REF!</definedName>
    <definedName name="val_tot_ps_reg" localSheetId="4">#REF!</definedName>
    <definedName name="val_tot_ps_reg">#REF!</definedName>
    <definedName name="val_tot_ps_reg_var" localSheetId="12">#REF!</definedName>
    <definedName name="val_tot_ps_reg_var" localSheetId="0">#REF!</definedName>
    <definedName name="val_tot_ps_reg_var" localSheetId="4">#REF!</definedName>
    <definedName name="val_tot_ps_reg_var">#REF!</definedName>
    <definedName name="ValData">#N/A</definedName>
    <definedName name="Valdata2">#N/A</definedName>
    <definedName name="VARIAZIONE">[65]Codifiche!$M$2:$M$18</definedName>
    <definedName name="verifica" localSheetId="12">#REF!</definedName>
    <definedName name="verifica" localSheetId="13">#REF!</definedName>
    <definedName name="verifica" localSheetId="14">#REF!</definedName>
    <definedName name="verifica" localSheetId="0">#REF!</definedName>
    <definedName name="verifica" localSheetId="4">#REF!</definedName>
    <definedName name="verifica">#REF!</definedName>
    <definedName name="verifica_1">"#REF!"</definedName>
    <definedName name="WWWWW">"#REF!"</definedName>
    <definedName name="x" localSheetId="13">#REF!</definedName>
    <definedName name="x">#REF!</definedName>
    <definedName name="zxxx" localSheetId="12">#REF!</definedName>
    <definedName name="zxxx" localSheetId="13">#REF!</definedName>
    <definedName name="zxxx">#REF!</definedName>
  </definedNames>
  <calcPr calcId="18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4" l="1"/>
  <c r="E23" i="4"/>
  <c r="E25" i="4"/>
  <c r="D26" i="4"/>
  <c r="E26" i="4"/>
  <c r="D27" i="4"/>
  <c r="E27" i="4"/>
  <c r="D28" i="4"/>
  <c r="D25" i="4"/>
  <c r="D24" i="4"/>
  <c r="E28" i="4"/>
  <c r="D29" i="4"/>
  <c r="E29" i="4"/>
  <c r="D30" i="4"/>
  <c r="E30" i="4"/>
  <c r="D31" i="4"/>
  <c r="E31" i="4"/>
  <c r="D32" i="4"/>
  <c r="E32" i="4"/>
  <c r="D34" i="4"/>
  <c r="D33" i="4"/>
  <c r="E34" i="4"/>
  <c r="E33" i="4"/>
  <c r="D35" i="4"/>
  <c r="E35" i="4"/>
  <c r="D36" i="4"/>
  <c r="E36" i="4"/>
  <c r="F36" i="1"/>
  <c r="F37" i="1"/>
  <c r="F86" i="1"/>
  <c r="F88" i="1"/>
  <c r="F89" i="1"/>
  <c r="F93" i="1"/>
  <c r="F94" i="1"/>
  <c r="F98" i="1"/>
  <c r="F99" i="1"/>
  <c r="F107" i="1"/>
  <c r="F109" i="1"/>
  <c r="F110" i="1"/>
  <c r="F119" i="1"/>
  <c r="R900" i="18"/>
  <c r="I44" i="19"/>
  <c r="R916" i="18"/>
  <c r="S900" i="18"/>
  <c r="R685" i="18"/>
  <c r="R371" i="18"/>
  <c r="R301" i="18"/>
  <c r="R298" i="18"/>
  <c r="R122" i="18"/>
  <c r="H234" i="32"/>
  <c r="U251" i="18"/>
  <c r="U249" i="18"/>
  <c r="R249" i="18"/>
  <c r="G142" i="29"/>
  <c r="H142" i="29"/>
  <c r="G47" i="29"/>
  <c r="H47" i="29"/>
  <c r="G52" i="29"/>
  <c r="H52" i="29"/>
  <c r="H29" i="29"/>
  <c r="D97" i="30"/>
  <c r="D301" i="30"/>
  <c r="D278" i="30"/>
  <c r="D277" i="30" s="1"/>
  <c r="H247" i="31"/>
  <c r="I422" i="18"/>
  <c r="AK902" i="18"/>
  <c r="AK905" i="18"/>
  <c r="R1164" i="18"/>
  <c r="S887" i="18"/>
  <c r="S534" i="18"/>
  <c r="S528" i="18"/>
  <c r="S527" i="18"/>
  <c r="S526" i="18"/>
  <c r="S523" i="18"/>
  <c r="S517" i="18"/>
  <c r="S516" i="18"/>
  <c r="S510" i="18"/>
  <c r="S505" i="18"/>
  <c r="S504" i="18"/>
  <c r="S487" i="18"/>
  <c r="S479" i="18"/>
  <c r="S476" i="18"/>
  <c r="S474" i="18"/>
  <c r="I25" i="18"/>
  <c r="Y1176" i="18"/>
  <c r="AC1176" i="18"/>
  <c r="AB1176" i="18"/>
  <c r="AA1176" i="18"/>
  <c r="Z1176" i="18"/>
  <c r="AD1176" i="18"/>
  <c r="AD1173" i="18"/>
  <c r="AS845" i="18"/>
  <c r="AX845" i="18"/>
  <c r="AX842" i="18"/>
  <c r="AW845" i="18"/>
  <c r="AU845" i="18"/>
  <c r="AV845" i="18"/>
  <c r="AT845" i="18"/>
  <c r="P1171" i="18"/>
  <c r="R502" i="18"/>
  <c r="Y128" i="18"/>
  <c r="Y231" i="18"/>
  <c r="U887" i="18"/>
  <c r="U594" i="18"/>
  <c r="U587" i="18"/>
  <c r="U586" i="18"/>
  <c r="U510" i="18"/>
  <c r="U503" i="18"/>
  <c r="U502" i="18"/>
  <c r="U474" i="18"/>
  <c r="U473" i="18"/>
  <c r="U525" i="18"/>
  <c r="U534" i="18"/>
  <c r="AB534" i="18"/>
  <c r="AB835" i="18"/>
  <c r="AB836" i="18"/>
  <c r="AB837" i="18"/>
  <c r="AB838" i="18"/>
  <c r="P1166" i="18"/>
  <c r="I127" i="32"/>
  <c r="I247" i="31"/>
  <c r="D106" i="33"/>
  <c r="D93" i="33"/>
  <c r="C93" i="33"/>
  <c r="D90" i="33"/>
  <c r="D87" i="33"/>
  <c r="C87" i="33"/>
  <c r="D79" i="33"/>
  <c r="C79" i="33"/>
  <c r="D70" i="33"/>
  <c r="C70" i="33"/>
  <c r="D64" i="33"/>
  <c r="D95" i="33" s="1"/>
  <c r="C64" i="33"/>
  <c r="D24" i="33"/>
  <c r="D21" i="33"/>
  <c r="D15" i="33"/>
  <c r="C15" i="33"/>
  <c r="C16" i="33" s="1"/>
  <c r="D13" i="33"/>
  <c r="D17" i="33" s="1"/>
  <c r="C13" i="33"/>
  <c r="D9" i="33"/>
  <c r="E346" i="30"/>
  <c r="D346" i="30"/>
  <c r="I167" i="29"/>
  <c r="K167" i="29" s="1"/>
  <c r="L167" i="29" s="1"/>
  <c r="E345" i="30"/>
  <c r="D345" i="30"/>
  <c r="E344" i="30"/>
  <c r="J166" i="29"/>
  <c r="L166" i="29" s="1"/>
  <c r="D344" i="30"/>
  <c r="I166" i="29" s="1"/>
  <c r="K166" i="29" s="1"/>
  <c r="E343" i="30"/>
  <c r="J165" i="29" s="1"/>
  <c r="L165" i="29" s="1"/>
  <c r="D343" i="30"/>
  <c r="D341" i="30" s="1"/>
  <c r="E342" i="30"/>
  <c r="D342" i="30"/>
  <c r="I164" i="29" s="1"/>
  <c r="E339" i="30"/>
  <c r="D339" i="30"/>
  <c r="E338" i="30"/>
  <c r="D338" i="30"/>
  <c r="E337" i="30"/>
  <c r="E336" i="30" s="1"/>
  <c r="J159" i="29" s="1"/>
  <c r="D337" i="30"/>
  <c r="E335" i="30"/>
  <c r="E333" i="30" s="1"/>
  <c r="D335" i="30"/>
  <c r="E334" i="30"/>
  <c r="D334" i="30"/>
  <c r="E331" i="30"/>
  <c r="J155" i="29" s="1"/>
  <c r="D331" i="30"/>
  <c r="E330" i="30"/>
  <c r="D330" i="30"/>
  <c r="E329" i="30"/>
  <c r="D329" i="30"/>
  <c r="E328" i="30"/>
  <c r="D328" i="30"/>
  <c r="I153" i="29"/>
  <c r="E326" i="30"/>
  <c r="D326" i="30"/>
  <c r="I154" i="29" s="1"/>
  <c r="K154" i="29" s="1"/>
  <c r="E325" i="30"/>
  <c r="J152" i="29" s="1"/>
  <c r="D325" i="30"/>
  <c r="I152" i="29" s="1"/>
  <c r="K152" i="29" s="1"/>
  <c r="C32" i="33" s="1"/>
  <c r="E324" i="30"/>
  <c r="J151" i="29" s="1"/>
  <c r="L151" i="29" s="1"/>
  <c r="D107" i="33" s="1"/>
  <c r="D324" i="30"/>
  <c r="I151" i="29" s="1"/>
  <c r="K151" i="29" s="1"/>
  <c r="C107" i="33" s="1"/>
  <c r="E323" i="30"/>
  <c r="D323" i="30"/>
  <c r="E322" i="30"/>
  <c r="D322" i="30"/>
  <c r="D321" i="30"/>
  <c r="E320" i="30"/>
  <c r="D320" i="30"/>
  <c r="E319" i="30"/>
  <c r="E318" i="30"/>
  <c r="E317" i="30" s="1"/>
  <c r="J150" i="29" s="1"/>
  <c r="D319" i="30"/>
  <c r="D318" i="30" s="1"/>
  <c r="D317" i="30" s="1"/>
  <c r="I150" i="29" s="1"/>
  <c r="K150" i="29" s="1"/>
  <c r="C31" i="33" s="1"/>
  <c r="E316" i="30"/>
  <c r="D316" i="30"/>
  <c r="E315" i="30"/>
  <c r="D315" i="30"/>
  <c r="E314" i="30"/>
  <c r="D314" i="30"/>
  <c r="E312" i="30"/>
  <c r="D312" i="30"/>
  <c r="E311" i="30"/>
  <c r="D311" i="30"/>
  <c r="E310" i="30"/>
  <c r="D310" i="30"/>
  <c r="E309" i="30"/>
  <c r="D309" i="30"/>
  <c r="E308" i="30"/>
  <c r="E307" i="30" s="1"/>
  <c r="J147" i="29" s="1"/>
  <c r="L147" i="29" s="1"/>
  <c r="D308" i="30"/>
  <c r="D307" i="30" s="1"/>
  <c r="I147" i="29" s="1"/>
  <c r="K147" i="29" s="1"/>
  <c r="E306" i="30"/>
  <c r="D306" i="30"/>
  <c r="I148" i="29" s="1"/>
  <c r="K148" i="29" s="1"/>
  <c r="L148" i="29" s="1"/>
  <c r="E305" i="30"/>
  <c r="D305" i="30"/>
  <c r="E304" i="30"/>
  <c r="D304" i="30"/>
  <c r="E303" i="30"/>
  <c r="J146" i="29" s="1"/>
  <c r="D303" i="30"/>
  <c r="E302" i="30"/>
  <c r="D302" i="30"/>
  <c r="E301" i="30"/>
  <c r="E296" i="30" s="1"/>
  <c r="E295" i="30" s="1"/>
  <c r="E300" i="30"/>
  <c r="D300" i="30"/>
  <c r="E299" i="30"/>
  <c r="J145" i="29"/>
  <c r="L145" i="29" s="1"/>
  <c r="D299" i="30"/>
  <c r="E298" i="30"/>
  <c r="J144" i="29"/>
  <c r="L144" i="29" s="1"/>
  <c r="D298" i="30"/>
  <c r="E297" i="30"/>
  <c r="D297" i="30"/>
  <c r="E294" i="30"/>
  <c r="J141" i="29" s="1"/>
  <c r="D294" i="30"/>
  <c r="I141" i="29"/>
  <c r="K141" i="29" s="1"/>
  <c r="C28" i="33" s="1"/>
  <c r="E293" i="30"/>
  <c r="D293" i="30"/>
  <c r="E292" i="30"/>
  <c r="D292" i="30"/>
  <c r="E291" i="30"/>
  <c r="D291" i="30"/>
  <c r="E290" i="30"/>
  <c r="D290" i="30"/>
  <c r="E289" i="30"/>
  <c r="D289" i="30"/>
  <c r="E288" i="30"/>
  <c r="D288" i="30"/>
  <c r="E287" i="30"/>
  <c r="D287" i="30"/>
  <c r="E286" i="30"/>
  <c r="D286" i="30"/>
  <c r="E285" i="30"/>
  <c r="D285" i="30"/>
  <c r="E284" i="30"/>
  <c r="D284" i="30"/>
  <c r="E282" i="30"/>
  <c r="D282" i="30"/>
  <c r="E281" i="30"/>
  <c r="D281" i="30"/>
  <c r="E280" i="30"/>
  <c r="D280" i="30"/>
  <c r="E279" i="30"/>
  <c r="D279" i="30"/>
  <c r="E278" i="30"/>
  <c r="E276" i="30"/>
  <c r="J138" i="29" s="1"/>
  <c r="L138" i="29" s="1"/>
  <c r="D276" i="30"/>
  <c r="I138" i="29" s="1"/>
  <c r="E274" i="30"/>
  <c r="J134" i="29" s="1"/>
  <c r="D274" i="30"/>
  <c r="E273" i="30"/>
  <c r="D273" i="30"/>
  <c r="E272" i="30"/>
  <c r="J133" i="29" s="1"/>
  <c r="D272" i="30"/>
  <c r="E270" i="30"/>
  <c r="D270" i="30"/>
  <c r="E269" i="30"/>
  <c r="D269" i="30"/>
  <c r="E268" i="30"/>
  <c r="D268" i="30"/>
  <c r="E267" i="30"/>
  <c r="D267" i="30"/>
  <c r="E266" i="30"/>
  <c r="D266" i="30"/>
  <c r="D265" i="30" s="1"/>
  <c r="D263" i="30" s="1"/>
  <c r="I130" i="29" s="1"/>
  <c r="E264" i="30"/>
  <c r="D264" i="30"/>
  <c r="E262" i="30"/>
  <c r="D262" i="30"/>
  <c r="E261" i="30"/>
  <c r="D261" i="30"/>
  <c r="E260" i="30"/>
  <c r="D260" i="30"/>
  <c r="E259" i="30"/>
  <c r="D259" i="30"/>
  <c r="E258" i="30"/>
  <c r="D258" i="30"/>
  <c r="E256" i="30"/>
  <c r="D256" i="30"/>
  <c r="E255" i="30"/>
  <c r="D255" i="30"/>
  <c r="E254" i="30"/>
  <c r="D254" i="30"/>
  <c r="E253" i="30"/>
  <c r="D253" i="30"/>
  <c r="E252" i="30"/>
  <c r="D252" i="30"/>
  <c r="E251" i="30"/>
  <c r="D251" i="30"/>
  <c r="E250" i="30"/>
  <c r="D250" i="30"/>
  <c r="E249" i="30"/>
  <c r="D249" i="30"/>
  <c r="E247" i="30"/>
  <c r="D247" i="30"/>
  <c r="E246" i="30"/>
  <c r="D246" i="30"/>
  <c r="E245" i="30"/>
  <c r="D245" i="30"/>
  <c r="E244" i="30"/>
  <c r="D244" i="30"/>
  <c r="E243" i="30"/>
  <c r="D243" i="30"/>
  <c r="E242" i="30"/>
  <c r="D242" i="30"/>
  <c r="D240" i="30" s="1"/>
  <c r="I127" i="29" s="1"/>
  <c r="E241" i="30"/>
  <c r="D241" i="30"/>
  <c r="E239" i="30"/>
  <c r="J126" i="29"/>
  <c r="L126" i="29" s="1"/>
  <c r="D239" i="30"/>
  <c r="E236" i="30"/>
  <c r="J122" i="29"/>
  <c r="L122" i="29" s="1"/>
  <c r="D236" i="30"/>
  <c r="I122" i="29"/>
  <c r="E235" i="30"/>
  <c r="D235" i="30"/>
  <c r="E234" i="30"/>
  <c r="D234" i="30"/>
  <c r="E233" i="30"/>
  <c r="E232" i="30" s="1"/>
  <c r="J121" i="29" s="1"/>
  <c r="L121" i="29" s="1"/>
  <c r="D233" i="30"/>
  <c r="D232" i="30" s="1"/>
  <c r="I121" i="29" s="1"/>
  <c r="K121" i="29" s="1"/>
  <c r="E231" i="30"/>
  <c r="D231" i="30"/>
  <c r="E230" i="30"/>
  <c r="D230" i="30"/>
  <c r="E229" i="30"/>
  <c r="D229" i="30"/>
  <c r="E228" i="30"/>
  <c r="D228" i="30"/>
  <c r="E227" i="30"/>
  <c r="E226" i="30" s="1"/>
  <c r="J120" i="29" s="1"/>
  <c r="D227" i="30"/>
  <c r="E225" i="30"/>
  <c r="D225" i="30"/>
  <c r="I119" i="29"/>
  <c r="K119" i="29" s="1"/>
  <c r="L119" i="29" s="1"/>
  <c r="E224" i="30"/>
  <c r="J118" i="29" s="1"/>
  <c r="D224" i="30"/>
  <c r="E223" i="30"/>
  <c r="J117" i="29" s="1"/>
  <c r="D223" i="30"/>
  <c r="I117" i="29"/>
  <c r="E222" i="30"/>
  <c r="J116" i="29" s="1"/>
  <c r="D222" i="30"/>
  <c r="I116" i="29" s="1"/>
  <c r="K116" i="29" s="1"/>
  <c r="E221" i="30"/>
  <c r="J115" i="29"/>
  <c r="D221" i="30"/>
  <c r="I115" i="29" s="1"/>
  <c r="E220" i="30"/>
  <c r="J114" i="29" s="1"/>
  <c r="D220" i="30"/>
  <c r="I114" i="29"/>
  <c r="E219" i="30"/>
  <c r="D219" i="30"/>
  <c r="E217" i="30"/>
  <c r="J111" i="29"/>
  <c r="K111" i="29" s="1"/>
  <c r="D217" i="30"/>
  <c r="E215" i="30"/>
  <c r="J109" i="29"/>
  <c r="D215" i="30"/>
  <c r="I109" i="29" s="1"/>
  <c r="E213" i="30"/>
  <c r="D213" i="30"/>
  <c r="I97" i="29" s="1"/>
  <c r="I98" i="29" s="1"/>
  <c r="E212" i="30"/>
  <c r="D212" i="30"/>
  <c r="E211" i="30"/>
  <c r="J96" i="29" s="1"/>
  <c r="L96" i="29" s="1"/>
  <c r="D211" i="30"/>
  <c r="I96" i="29" s="1"/>
  <c r="E210" i="30"/>
  <c r="D210" i="30"/>
  <c r="E209" i="30"/>
  <c r="J94" i="29" s="1"/>
  <c r="D209" i="30"/>
  <c r="E206" i="30"/>
  <c r="D206" i="30"/>
  <c r="E205" i="30"/>
  <c r="E204" i="30" s="1"/>
  <c r="J89" i="29" s="1"/>
  <c r="D205" i="30"/>
  <c r="D204" i="30" s="1"/>
  <c r="I89" i="29" s="1"/>
  <c r="E203" i="30"/>
  <c r="D203" i="30"/>
  <c r="E202" i="30"/>
  <c r="E201" i="30" s="1"/>
  <c r="D202" i="30"/>
  <c r="E199" i="30"/>
  <c r="D199" i="30"/>
  <c r="I85" i="29" s="1"/>
  <c r="E198" i="30"/>
  <c r="D198" i="30"/>
  <c r="E197" i="30"/>
  <c r="D197" i="30"/>
  <c r="I83" i="29" s="1"/>
  <c r="E196" i="30"/>
  <c r="D196" i="30"/>
  <c r="E194" i="30"/>
  <c r="J80" i="29" s="1"/>
  <c r="L80" i="29" s="1"/>
  <c r="D194" i="30"/>
  <c r="E193" i="30"/>
  <c r="D193" i="30"/>
  <c r="E191" i="30"/>
  <c r="D191" i="30"/>
  <c r="E190" i="30"/>
  <c r="D190" i="30"/>
  <c r="E188" i="30"/>
  <c r="D188" i="30"/>
  <c r="E187" i="30"/>
  <c r="D187" i="30"/>
  <c r="E185" i="30"/>
  <c r="D185" i="30"/>
  <c r="E184" i="30"/>
  <c r="D184" i="30"/>
  <c r="E183" i="30"/>
  <c r="D183" i="30"/>
  <c r="E182" i="30"/>
  <c r="D182" i="30"/>
  <c r="E180" i="30"/>
  <c r="J76" i="29" s="1"/>
  <c r="L76" i="29" s="1"/>
  <c r="D180" i="30"/>
  <c r="I76" i="29" s="1"/>
  <c r="E179" i="30"/>
  <c r="D179" i="30"/>
  <c r="E178" i="30"/>
  <c r="E176" i="30" s="1"/>
  <c r="J75" i="29" s="1"/>
  <c r="L75" i="29" s="1"/>
  <c r="D178" i="30"/>
  <c r="E177" i="30"/>
  <c r="D177" i="30"/>
  <c r="E175" i="30"/>
  <c r="D175" i="30"/>
  <c r="E174" i="30"/>
  <c r="D174" i="30"/>
  <c r="E173" i="30"/>
  <c r="D173" i="30"/>
  <c r="E172" i="30"/>
  <c r="D172" i="30"/>
  <c r="E171" i="30"/>
  <c r="D171" i="30"/>
  <c r="E170" i="30"/>
  <c r="D170" i="30"/>
  <c r="E169" i="30"/>
  <c r="D169" i="30"/>
  <c r="E166" i="30"/>
  <c r="D166" i="30"/>
  <c r="I71" i="29" s="1"/>
  <c r="E165" i="30"/>
  <c r="D165" i="30"/>
  <c r="E164" i="30"/>
  <c r="D164" i="30"/>
  <c r="E163" i="30"/>
  <c r="J70" i="29" s="1"/>
  <c r="D163" i="30"/>
  <c r="E162" i="30"/>
  <c r="D162" i="30"/>
  <c r="E161" i="30"/>
  <c r="J69" i="29" s="1"/>
  <c r="L69" i="29" s="1"/>
  <c r="D161" i="30"/>
  <c r="E160" i="30"/>
  <c r="D160" i="30"/>
  <c r="I69" i="29" s="1"/>
  <c r="E159" i="30"/>
  <c r="J68" i="29" s="1"/>
  <c r="L68" i="29" s="1"/>
  <c r="D159" i="30"/>
  <c r="I68" i="29" s="1"/>
  <c r="E158" i="30"/>
  <c r="J67" i="29" s="1"/>
  <c r="D158" i="30"/>
  <c r="I67" i="29" s="1"/>
  <c r="E156" i="30"/>
  <c r="D156" i="30"/>
  <c r="E155" i="30"/>
  <c r="J65" i="29" s="1"/>
  <c r="D155" i="30"/>
  <c r="I65" i="29" s="1"/>
  <c r="E154" i="30"/>
  <c r="D154" i="30"/>
  <c r="E153" i="30"/>
  <c r="J64" i="29" s="1"/>
  <c r="D153" i="30"/>
  <c r="I64" i="29" s="1"/>
  <c r="E152" i="30"/>
  <c r="J63" i="29" s="1"/>
  <c r="D152" i="30"/>
  <c r="E151" i="30"/>
  <c r="J62" i="29" s="1"/>
  <c r="L62" i="29" s="1"/>
  <c r="D151" i="30"/>
  <c r="I62" i="29" s="1"/>
  <c r="E150" i="30"/>
  <c r="D150" i="30"/>
  <c r="E149" i="30"/>
  <c r="D149" i="30"/>
  <c r="E148" i="30"/>
  <c r="D148" i="30"/>
  <c r="E147" i="30"/>
  <c r="D147" i="30"/>
  <c r="E144" i="30"/>
  <c r="J57" i="29" s="1"/>
  <c r="L57" i="29" s="1"/>
  <c r="D144" i="30"/>
  <c r="I57" i="29" s="1"/>
  <c r="E143" i="30"/>
  <c r="J56" i="29" s="1"/>
  <c r="L56" i="29" s="1"/>
  <c r="D143" i="30"/>
  <c r="I56" i="29" s="1"/>
  <c r="E142" i="30"/>
  <c r="J55" i="29" s="1"/>
  <c r="L55" i="29" s="1"/>
  <c r="D142" i="30"/>
  <c r="I55" i="29" s="1"/>
  <c r="E141" i="30"/>
  <c r="J54" i="29" s="1"/>
  <c r="D141" i="30"/>
  <c r="I54" i="29" s="1"/>
  <c r="E140" i="30"/>
  <c r="D140" i="30"/>
  <c r="I53" i="29" s="1"/>
  <c r="E138" i="30"/>
  <c r="J51" i="29" s="1"/>
  <c r="L51" i="29" s="1"/>
  <c r="D138" i="30"/>
  <c r="I51" i="29" s="1"/>
  <c r="E137" i="30"/>
  <c r="D137" i="30"/>
  <c r="E136" i="30"/>
  <c r="J50" i="29" s="1"/>
  <c r="L50" i="29" s="1"/>
  <c r="D136" i="30"/>
  <c r="I50" i="29" s="1"/>
  <c r="E135" i="30"/>
  <c r="D135" i="30"/>
  <c r="E134" i="30"/>
  <c r="D134" i="30"/>
  <c r="E133" i="30"/>
  <c r="D133" i="30"/>
  <c r="E132" i="30"/>
  <c r="D132" i="30"/>
  <c r="E131" i="30"/>
  <c r="D131" i="30"/>
  <c r="E130" i="30"/>
  <c r="J49" i="29" s="1"/>
  <c r="J48" i="29" s="1"/>
  <c r="L48" i="29" s="1"/>
  <c r="D130" i="30"/>
  <c r="E127" i="30"/>
  <c r="D127" i="30"/>
  <c r="E126" i="30"/>
  <c r="D126" i="30"/>
  <c r="E125" i="30"/>
  <c r="D125" i="30"/>
  <c r="E124" i="30"/>
  <c r="D124" i="30"/>
  <c r="E123" i="30"/>
  <c r="D123" i="30"/>
  <c r="E122" i="30"/>
  <c r="D122" i="30"/>
  <c r="D120" i="30" s="1"/>
  <c r="I42" i="29" s="1"/>
  <c r="E121" i="30"/>
  <c r="D121" i="30"/>
  <c r="E119" i="30"/>
  <c r="J43" i="29" s="1"/>
  <c r="L43" i="29" s="1"/>
  <c r="D119" i="30"/>
  <c r="I43" i="29" s="1"/>
  <c r="E118" i="30"/>
  <c r="D118" i="30"/>
  <c r="E117" i="30"/>
  <c r="D117" i="30"/>
  <c r="E116" i="30"/>
  <c r="D116" i="30"/>
  <c r="E115" i="30"/>
  <c r="D115" i="30"/>
  <c r="E114" i="30"/>
  <c r="D114" i="30"/>
  <c r="E113" i="30"/>
  <c r="D113" i="30"/>
  <c r="E112" i="30"/>
  <c r="D112" i="30"/>
  <c r="E111" i="30"/>
  <c r="E110" i="30" s="1"/>
  <c r="D111" i="30"/>
  <c r="E107" i="30"/>
  <c r="D107" i="30"/>
  <c r="E106" i="30"/>
  <c r="D106" i="30"/>
  <c r="E105" i="30"/>
  <c r="D105" i="30"/>
  <c r="E104" i="30"/>
  <c r="E103" i="30" s="1"/>
  <c r="J36" i="29" s="1"/>
  <c r="L36" i="29" s="1"/>
  <c r="D104" i="30"/>
  <c r="D103" i="30" s="1"/>
  <c r="E102" i="30"/>
  <c r="D102" i="30"/>
  <c r="I35" i="29" s="1"/>
  <c r="E100" i="30"/>
  <c r="J33" i="29" s="1"/>
  <c r="D100" i="30"/>
  <c r="E99" i="30"/>
  <c r="J32" i="29"/>
  <c r="L32" i="29" s="1"/>
  <c r="D99" i="30"/>
  <c r="I32" i="29" s="1"/>
  <c r="E98" i="30"/>
  <c r="J31" i="29" s="1"/>
  <c r="L31" i="29" s="1"/>
  <c r="D98" i="30"/>
  <c r="I31" i="29"/>
  <c r="K31" i="29" s="1"/>
  <c r="E97" i="30"/>
  <c r="E96" i="30" s="1"/>
  <c r="I30" i="29"/>
  <c r="E94" i="30"/>
  <c r="D94" i="30"/>
  <c r="E93" i="30"/>
  <c r="D93" i="30"/>
  <c r="E92" i="30"/>
  <c r="D92" i="30"/>
  <c r="E91" i="30"/>
  <c r="D91" i="30"/>
  <c r="E90" i="30"/>
  <c r="D90" i="30"/>
  <c r="E89" i="30"/>
  <c r="D89" i="30"/>
  <c r="E88" i="30"/>
  <c r="D88" i="30"/>
  <c r="D86" i="30" s="1"/>
  <c r="E87" i="30"/>
  <c r="E86" i="30" s="1"/>
  <c r="D87" i="30"/>
  <c r="E85" i="30"/>
  <c r="J26" i="29" s="1"/>
  <c r="D85" i="30"/>
  <c r="I26" i="29" s="1"/>
  <c r="E84" i="30"/>
  <c r="D84" i="30"/>
  <c r="E83" i="30"/>
  <c r="E82" i="30" s="1"/>
  <c r="J25" i="29" s="1"/>
  <c r="D83" i="30"/>
  <c r="E81" i="30"/>
  <c r="D81" i="30"/>
  <c r="I24" i="29" s="1"/>
  <c r="E80" i="30"/>
  <c r="D80" i="30"/>
  <c r="E79" i="30"/>
  <c r="D79" i="30"/>
  <c r="E77" i="30"/>
  <c r="D77" i="30"/>
  <c r="E76" i="30"/>
  <c r="D76" i="30"/>
  <c r="E74" i="30"/>
  <c r="D74" i="30"/>
  <c r="E73" i="30"/>
  <c r="D73" i="30"/>
  <c r="E71" i="30"/>
  <c r="D71" i="30"/>
  <c r="E70" i="30"/>
  <c r="D70" i="30"/>
  <c r="E68" i="30"/>
  <c r="D68" i="30"/>
  <c r="E67" i="30"/>
  <c r="D67" i="30"/>
  <c r="E65" i="30"/>
  <c r="E63" i="30" s="1"/>
  <c r="D65" i="30"/>
  <c r="E64" i="30"/>
  <c r="D64" i="30"/>
  <c r="E61" i="30"/>
  <c r="J16" i="29" s="1"/>
  <c r="D61" i="30"/>
  <c r="I16" i="29" s="1"/>
  <c r="E60" i="30"/>
  <c r="J15" i="29" s="1"/>
  <c r="D60" i="30"/>
  <c r="D59" i="30" s="1"/>
  <c r="E57" i="30"/>
  <c r="D57" i="30"/>
  <c r="E56" i="30"/>
  <c r="D56" i="30"/>
  <c r="E55" i="30"/>
  <c r="D55" i="30"/>
  <c r="E54" i="30"/>
  <c r="E53" i="30" s="1"/>
  <c r="D54" i="30"/>
  <c r="D53" i="30" s="1"/>
  <c r="E52" i="30"/>
  <c r="D52" i="30"/>
  <c r="E51" i="30"/>
  <c r="D51" i="30"/>
  <c r="E50" i="30"/>
  <c r="D50" i="30"/>
  <c r="E49" i="30"/>
  <c r="D49" i="30"/>
  <c r="E48" i="30"/>
  <c r="D48" i="30"/>
  <c r="E47" i="30"/>
  <c r="D47" i="30"/>
  <c r="E46" i="30"/>
  <c r="E44" i="30" s="1"/>
  <c r="D46" i="30"/>
  <c r="E45" i="30"/>
  <c r="D45" i="30"/>
  <c r="D44" i="30" s="1"/>
  <c r="I12" i="29" s="1"/>
  <c r="E43" i="30"/>
  <c r="J11" i="29" s="1"/>
  <c r="D43" i="30"/>
  <c r="E42" i="30"/>
  <c r="D42" i="30"/>
  <c r="E41" i="30"/>
  <c r="D41" i="30"/>
  <c r="E40" i="30"/>
  <c r="D40" i="30"/>
  <c r="D38" i="30" s="1"/>
  <c r="I10" i="29" s="1"/>
  <c r="E39" i="30"/>
  <c r="D39" i="30"/>
  <c r="E37" i="30"/>
  <c r="D37" i="30"/>
  <c r="E36" i="30"/>
  <c r="D36" i="30"/>
  <c r="E34" i="30"/>
  <c r="D34" i="30"/>
  <c r="E33" i="30"/>
  <c r="E32" i="30" s="1"/>
  <c r="J8" i="29" s="1"/>
  <c r="D33" i="30"/>
  <c r="L163" i="29"/>
  <c r="K163" i="29"/>
  <c r="L161" i="29"/>
  <c r="K161" i="29"/>
  <c r="L157" i="29"/>
  <c r="K157" i="29"/>
  <c r="J154" i="29"/>
  <c r="J148" i="29"/>
  <c r="I145" i="29"/>
  <c r="K145" i="29" s="1"/>
  <c r="I144" i="29"/>
  <c r="L137" i="29"/>
  <c r="K137" i="29"/>
  <c r="L136" i="29"/>
  <c r="K136" i="29"/>
  <c r="I133" i="29"/>
  <c r="L132" i="29"/>
  <c r="K132" i="29"/>
  <c r="I126" i="29"/>
  <c r="L125" i="29"/>
  <c r="K125" i="29"/>
  <c r="J119" i="29"/>
  <c r="I118" i="29"/>
  <c r="I111" i="29"/>
  <c r="J97" i="29"/>
  <c r="J95" i="29"/>
  <c r="L95" i="29" s="1"/>
  <c r="I95" i="29"/>
  <c r="K95" i="29" s="1"/>
  <c r="J88" i="29"/>
  <c r="L87" i="29"/>
  <c r="K87" i="29"/>
  <c r="J85" i="29"/>
  <c r="J84" i="29"/>
  <c r="L84" i="29" s="1"/>
  <c r="I84" i="29"/>
  <c r="J83" i="29"/>
  <c r="J82" i="29"/>
  <c r="J81" i="29" s="1"/>
  <c r="I82" i="29"/>
  <c r="K82" i="29" s="1"/>
  <c r="L82" i="29" s="1"/>
  <c r="I80" i="29"/>
  <c r="J79" i="29"/>
  <c r="L79" i="29" s="1"/>
  <c r="I79" i="29"/>
  <c r="I78" i="29" s="1"/>
  <c r="J74" i="29"/>
  <c r="H72" i="29"/>
  <c r="G72" i="29"/>
  <c r="J71" i="29"/>
  <c r="L71" i="29" s="1"/>
  <c r="I70" i="29"/>
  <c r="H66" i="29"/>
  <c r="G66" i="29"/>
  <c r="I63" i="29"/>
  <c r="H60" i="29"/>
  <c r="H59" i="29"/>
  <c r="G60" i="29"/>
  <c r="G59" i="29"/>
  <c r="G58" i="29"/>
  <c r="G46" i="29"/>
  <c r="L45" i="29"/>
  <c r="K45" i="29"/>
  <c r="J44" i="29"/>
  <c r="L44" i="29" s="1"/>
  <c r="I44" i="29"/>
  <c r="I33" i="29"/>
  <c r="H28" i="29"/>
  <c r="G29" i="29"/>
  <c r="G28" i="29"/>
  <c r="L27" i="29"/>
  <c r="K27" i="29"/>
  <c r="I15" i="29"/>
  <c r="I11" i="29"/>
  <c r="H58" i="29"/>
  <c r="H46" i="29"/>
  <c r="D218" i="30"/>
  <c r="D110" i="30"/>
  <c r="I41" i="29" s="1"/>
  <c r="D257" i="30"/>
  <c r="I129" i="29" s="1"/>
  <c r="I134" i="29"/>
  <c r="D283" i="30"/>
  <c r="I140" i="29" s="1"/>
  <c r="I143" i="29"/>
  <c r="I146" i="29"/>
  <c r="K146" i="29" s="1"/>
  <c r="D313" i="30"/>
  <c r="I149" i="29" s="1"/>
  <c r="K149" i="29" s="1"/>
  <c r="L149" i="29" s="1"/>
  <c r="D12" i="33"/>
  <c r="E240" i="30"/>
  <c r="J127" i="29" s="1"/>
  <c r="E257" i="30"/>
  <c r="J129" i="29" s="1"/>
  <c r="E265" i="30"/>
  <c r="E283" i="30"/>
  <c r="J140" i="29" s="1"/>
  <c r="J167" i="29"/>
  <c r="E35" i="30"/>
  <c r="D296" i="30"/>
  <c r="D295" i="30" s="1"/>
  <c r="D336" i="30"/>
  <c r="I159" i="29" s="1"/>
  <c r="K159" i="29" s="1"/>
  <c r="D78" i="30"/>
  <c r="I113" i="29"/>
  <c r="D226" i="30"/>
  <c r="I120" i="29" s="1"/>
  <c r="D248" i="30"/>
  <c r="I128" i="29" s="1"/>
  <c r="D271" i="30"/>
  <c r="I135" i="29"/>
  <c r="I155" i="29"/>
  <c r="K155" i="29" s="1"/>
  <c r="D333" i="30"/>
  <c r="I158" i="29" s="1"/>
  <c r="E327" i="30"/>
  <c r="J153" i="29"/>
  <c r="L153" i="29" s="1"/>
  <c r="E341" i="30"/>
  <c r="J164" i="29"/>
  <c r="L164" i="29" s="1"/>
  <c r="E218" i="30"/>
  <c r="E216" i="30" s="1"/>
  <c r="J113" i="29"/>
  <c r="E66" i="30"/>
  <c r="J19" i="29" s="1"/>
  <c r="E248" i="30"/>
  <c r="J128" i="29"/>
  <c r="L128" i="29" s="1"/>
  <c r="E277" i="30"/>
  <c r="J139" i="29"/>
  <c r="L139" i="29" s="1"/>
  <c r="E313" i="30"/>
  <c r="J149" i="29"/>
  <c r="E321" i="30"/>
  <c r="I94" i="29"/>
  <c r="D168" i="30"/>
  <c r="I73" i="29" s="1"/>
  <c r="K84" i="29"/>
  <c r="K153" i="29"/>
  <c r="D216" i="30"/>
  <c r="E263" i="30"/>
  <c r="J130" i="29" s="1"/>
  <c r="D327" i="30"/>
  <c r="C14" i="33"/>
  <c r="C17" i="33" s="1"/>
  <c r="J158" i="29"/>
  <c r="J160" i="29" s="1"/>
  <c r="K164" i="29"/>
  <c r="K120" i="29"/>
  <c r="D332" i="30"/>
  <c r="K113" i="29"/>
  <c r="L113" i="29" s="1"/>
  <c r="K128" i="29"/>
  <c r="D238" i="30"/>
  <c r="Y130" i="18"/>
  <c r="AG1166" i="18"/>
  <c r="AG1167" i="18"/>
  <c r="AG1168" i="18"/>
  <c r="AG1171" i="18"/>
  <c r="AG1172" i="18"/>
  <c r="AG1175" i="18"/>
  <c r="Z416" i="18"/>
  <c r="Z417" i="18"/>
  <c r="B26" i="19"/>
  <c r="B42" i="19"/>
  <c r="H31" i="19"/>
  <c r="H21" i="19"/>
  <c r="F27" i="19"/>
  <c r="H23" i="19"/>
  <c r="H20" i="19"/>
  <c r="H18" i="19"/>
  <c r="H19" i="19"/>
  <c r="H17" i="19"/>
  <c r="H26" i="19"/>
  <c r="J26" i="19"/>
  <c r="Y828" i="18"/>
  <c r="T1166" i="18"/>
  <c r="S1167" i="18"/>
  <c r="T1167" i="18"/>
  <c r="T1168" i="18"/>
  <c r="G27" i="19"/>
  <c r="Y456" i="18"/>
  <c r="Z456" i="18"/>
  <c r="AA456" i="18"/>
  <c r="AA457" i="18"/>
  <c r="B40" i="19"/>
  <c r="B36" i="19"/>
  <c r="B33" i="19"/>
  <c r="G12" i="19"/>
  <c r="B5" i="19"/>
  <c r="S1166" i="18"/>
  <c r="S1168" i="18"/>
  <c r="H30" i="19"/>
  <c r="B15" i="19"/>
  <c r="I5" i="19"/>
  <c r="I1167" i="18"/>
  <c r="I70" i="28"/>
  <c r="H70" i="28"/>
  <c r="I63" i="28"/>
  <c r="H63" i="28"/>
  <c r="I50" i="28"/>
  <c r="H50" i="28"/>
  <c r="I43" i="28"/>
  <c r="H43" i="28"/>
  <c r="I11" i="28"/>
  <c r="H11" i="28"/>
  <c r="I71" i="28"/>
  <c r="H71" i="28"/>
  <c r="D45" i="27"/>
  <c r="D43" i="27"/>
  <c r="D38" i="27"/>
  <c r="D47" i="27"/>
  <c r="E34" i="27"/>
  <c r="E33" i="27"/>
  <c r="D30" i="27"/>
  <c r="D28" i="27"/>
  <c r="E26" i="27"/>
  <c r="D26" i="27"/>
  <c r="E25" i="27"/>
  <c r="D21" i="27"/>
  <c r="D22" i="27"/>
  <c r="D14" i="27"/>
  <c r="E35" i="27"/>
  <c r="D35" i="27"/>
  <c r="D48" i="27"/>
  <c r="Z957" i="18"/>
  <c r="Z960" i="18"/>
  <c r="AA962" i="18"/>
  <c r="F3" i="23"/>
  <c r="K22" i="23"/>
  <c r="V57" i="23"/>
  <c r="B17" i="23"/>
  <c r="X57" i="23"/>
  <c r="V58" i="23"/>
  <c r="Y384" i="18"/>
  <c r="F95" i="23"/>
  <c r="F94" i="23"/>
  <c r="F93" i="23"/>
  <c r="F92" i="23"/>
  <c r="F91" i="23"/>
  <c r="D78" i="23"/>
  <c r="C78" i="23"/>
  <c r="W50" i="23"/>
  <c r="A77" i="23"/>
  <c r="A78" i="23"/>
  <c r="A72" i="23"/>
  <c r="O69" i="23"/>
  <c r="D68" i="23"/>
  <c r="C68" i="23"/>
  <c r="W48" i="23"/>
  <c r="A68" i="23"/>
  <c r="M48" i="23"/>
  <c r="K32" i="23"/>
  <c r="K30" i="23"/>
  <c r="K28" i="23"/>
  <c r="K27" i="23"/>
  <c r="J25" i="23"/>
  <c r="J29" i="23"/>
  <c r="J31" i="23"/>
  <c r="I25" i="23"/>
  <c r="I29" i="23"/>
  <c r="I31" i="23"/>
  <c r="H25" i="23"/>
  <c r="H29" i="23"/>
  <c r="H31" i="23"/>
  <c r="E25" i="23"/>
  <c r="E29" i="23"/>
  <c r="E31" i="23"/>
  <c r="D25" i="23"/>
  <c r="D29" i="23"/>
  <c r="D31" i="23"/>
  <c r="C25" i="23"/>
  <c r="C29" i="23"/>
  <c r="G24" i="23"/>
  <c r="G25" i="23"/>
  <c r="G29" i="23"/>
  <c r="G31" i="23"/>
  <c r="J67" i="23"/>
  <c r="F24" i="23"/>
  <c r="K23" i="23"/>
  <c r="T55" i="23"/>
  <c r="T58" i="23"/>
  <c r="F21" i="23"/>
  <c r="F25" i="23"/>
  <c r="F29" i="23"/>
  <c r="F31" i="23"/>
  <c r="J66" i="23"/>
  <c r="K20" i="23"/>
  <c r="K19" i="23"/>
  <c r="R53" i="23"/>
  <c r="R58" i="23"/>
  <c r="K18" i="23"/>
  <c r="Q52" i="23"/>
  <c r="Q58" i="23"/>
  <c r="K17" i="23"/>
  <c r="P51" i="23"/>
  <c r="P58" i="23"/>
  <c r="B16" i="23"/>
  <c r="K16" i="23"/>
  <c r="B15" i="23"/>
  <c r="D63" i="23"/>
  <c r="K14" i="23"/>
  <c r="K46" i="23"/>
  <c r="K58" i="23"/>
  <c r="N13" i="23"/>
  <c r="N14" i="23"/>
  <c r="K13" i="23"/>
  <c r="J45" i="23"/>
  <c r="J58" i="23"/>
  <c r="K12" i="23"/>
  <c r="I44" i="23"/>
  <c r="I58" i="23"/>
  <c r="K11" i="23"/>
  <c r="H43" i="23"/>
  <c r="H58" i="23"/>
  <c r="K10" i="23"/>
  <c r="G42" i="23"/>
  <c r="G58" i="23"/>
  <c r="K9" i="23"/>
  <c r="F41" i="23"/>
  <c r="F58" i="23"/>
  <c r="K8" i="23"/>
  <c r="E40" i="23"/>
  <c r="E58" i="23"/>
  <c r="B7" i="23"/>
  <c r="B25" i="23"/>
  <c r="B29" i="23"/>
  <c r="B31" i="23"/>
  <c r="J65" i="23"/>
  <c r="K6" i="23"/>
  <c r="C38" i="23"/>
  <c r="C58" i="23"/>
  <c r="K5" i="23"/>
  <c r="B37" i="23"/>
  <c r="B58" i="23"/>
  <c r="K4" i="23"/>
  <c r="A36" i="23"/>
  <c r="A58" i="23"/>
  <c r="K3" i="23"/>
  <c r="X59" i="23"/>
  <c r="F93" i="22"/>
  <c r="F92" i="22"/>
  <c r="F91" i="22"/>
  <c r="F90" i="22"/>
  <c r="F89" i="22"/>
  <c r="D76" i="22"/>
  <c r="C76" i="22"/>
  <c r="V49" i="22"/>
  <c r="A75" i="22"/>
  <c r="A76" i="22"/>
  <c r="O49" i="22"/>
  <c r="O56" i="22"/>
  <c r="B72" i="22"/>
  <c r="D71" i="22"/>
  <c r="C71" i="22"/>
  <c r="V48" i="22"/>
  <c r="A70" i="22"/>
  <c r="A71" i="22"/>
  <c r="N48" i="22"/>
  <c r="N56" i="22"/>
  <c r="O67" i="22"/>
  <c r="D66" i="22"/>
  <c r="C66" i="22"/>
  <c r="D61" i="22"/>
  <c r="C61" i="22"/>
  <c r="V46" i="22"/>
  <c r="K31" i="22"/>
  <c r="K29" i="22"/>
  <c r="K27" i="22"/>
  <c r="K26" i="22"/>
  <c r="J24" i="22"/>
  <c r="J28" i="22"/>
  <c r="J30" i="22"/>
  <c r="I24" i="22"/>
  <c r="I28" i="22"/>
  <c r="J67" i="22"/>
  <c r="H24" i="22"/>
  <c r="H28" i="22"/>
  <c r="H30" i="22"/>
  <c r="E24" i="22"/>
  <c r="E28" i="22"/>
  <c r="E30" i="22"/>
  <c r="D24" i="22"/>
  <c r="D28" i="22"/>
  <c r="D30" i="22"/>
  <c r="C24" i="22"/>
  <c r="C28" i="22"/>
  <c r="C30" i="22"/>
  <c r="B24" i="22"/>
  <c r="B28" i="22"/>
  <c r="B30" i="22"/>
  <c r="J63" i="22"/>
  <c r="G23" i="22"/>
  <c r="G24" i="22"/>
  <c r="G28" i="22"/>
  <c r="G30" i="22"/>
  <c r="J65" i="22"/>
  <c r="F23" i="22"/>
  <c r="F24" i="22"/>
  <c r="F28" i="22"/>
  <c r="F30" i="22"/>
  <c r="J64" i="22"/>
  <c r="K22" i="22"/>
  <c r="T54" i="22"/>
  <c r="K21" i="22"/>
  <c r="K20" i="22"/>
  <c r="S53" i="22"/>
  <c r="K19" i="22"/>
  <c r="R52" i="22"/>
  <c r="K18" i="22"/>
  <c r="Q51" i="22"/>
  <c r="K17" i="22"/>
  <c r="P50" i="22"/>
  <c r="K16" i="22"/>
  <c r="K15" i="22"/>
  <c r="K14" i="22"/>
  <c r="K45" i="22"/>
  <c r="N13" i="22"/>
  <c r="N14" i="22"/>
  <c r="K13" i="22"/>
  <c r="J44" i="22"/>
  <c r="K12" i="22"/>
  <c r="I43" i="22"/>
  <c r="K11" i="22"/>
  <c r="H42" i="22"/>
  <c r="K10" i="22"/>
  <c r="G41" i="22"/>
  <c r="K9" i="22"/>
  <c r="F40" i="22"/>
  <c r="K8" i="22"/>
  <c r="E39" i="22"/>
  <c r="K7" i="22"/>
  <c r="D38" i="22"/>
  <c r="K6" i="22"/>
  <c r="K5" i="22"/>
  <c r="B36" i="22"/>
  <c r="K4" i="22"/>
  <c r="A35" i="22"/>
  <c r="K3" i="22"/>
  <c r="W57" i="22"/>
  <c r="B71" i="22"/>
  <c r="K24" i="23"/>
  <c r="U56" i="23"/>
  <c r="U58" i="23"/>
  <c r="L27" i="23"/>
  <c r="W49" i="22"/>
  <c r="W39" i="22"/>
  <c r="E56" i="22"/>
  <c r="W50" i="22"/>
  <c r="P56" i="22"/>
  <c r="C63" i="23"/>
  <c r="W47" i="23"/>
  <c r="A63" i="23"/>
  <c r="D56" i="22"/>
  <c r="W38" i="22"/>
  <c r="H56" i="22"/>
  <c r="W42" i="22"/>
  <c r="K56" i="22"/>
  <c r="W45" i="22"/>
  <c r="W51" i="22"/>
  <c r="Q56" i="22"/>
  <c r="T56" i="22"/>
  <c r="W54" i="22"/>
  <c r="O50" i="23"/>
  <c r="W43" i="22"/>
  <c r="I56" i="22"/>
  <c r="R56" i="22"/>
  <c r="W52" i="22"/>
  <c r="W35" i="22"/>
  <c r="A56" i="22"/>
  <c r="W36" i="22"/>
  <c r="B56" i="22"/>
  <c r="F56" i="22"/>
  <c r="W40" i="22"/>
  <c r="W44" i="22"/>
  <c r="J56" i="22"/>
  <c r="B67" i="22"/>
  <c r="V47" i="22"/>
  <c r="V56" i="22"/>
  <c r="W48" i="22"/>
  <c r="A66" i="22"/>
  <c r="M47" i="22"/>
  <c r="B76" i="22"/>
  <c r="B77" i="22"/>
  <c r="D73" i="23"/>
  <c r="C73" i="23"/>
  <c r="W49" i="23"/>
  <c r="B78" i="23"/>
  <c r="B79" i="23"/>
  <c r="L26" i="22"/>
  <c r="A61" i="22"/>
  <c r="K15" i="23"/>
  <c r="K21" i="23"/>
  <c r="S54" i="23"/>
  <c r="S58" i="23"/>
  <c r="B74" i="23"/>
  <c r="K7" i="23"/>
  <c r="D39" i="23"/>
  <c r="D58" i="23"/>
  <c r="B69" i="23"/>
  <c r="X48" i="23"/>
  <c r="M58" i="23"/>
  <c r="J69" i="23"/>
  <c r="K29" i="23"/>
  <c r="Y60" i="23"/>
  <c r="X37" i="23"/>
  <c r="X40" i="23"/>
  <c r="X44" i="23"/>
  <c r="X53" i="23"/>
  <c r="X55" i="23"/>
  <c r="X41" i="23"/>
  <c r="X45" i="23"/>
  <c r="X38" i="23"/>
  <c r="X42" i="23"/>
  <c r="X36" i="23"/>
  <c r="X43" i="23"/>
  <c r="X46" i="23"/>
  <c r="X52" i="23"/>
  <c r="W53" i="22"/>
  <c r="S56" i="22"/>
  <c r="X51" i="23"/>
  <c r="W41" i="22"/>
  <c r="G56" i="22"/>
  <c r="X54" i="23"/>
  <c r="X56" i="23"/>
  <c r="J66" i="22"/>
  <c r="J68" i="22"/>
  <c r="K23" i="22"/>
  <c r="U55" i="22"/>
  <c r="I30" i="22"/>
  <c r="C37" i="22"/>
  <c r="C31" i="23"/>
  <c r="J68" i="23"/>
  <c r="J70" i="23"/>
  <c r="L47" i="23"/>
  <c r="L58" i="23"/>
  <c r="B73" i="23"/>
  <c r="K28" i="22"/>
  <c r="A73" i="23"/>
  <c r="N49" i="23"/>
  <c r="W58" i="23"/>
  <c r="K31" i="23"/>
  <c r="O58" i="23"/>
  <c r="X50" i="23"/>
  <c r="B64" i="23"/>
  <c r="X39" i="23"/>
  <c r="B62" i="22"/>
  <c r="L46" i="22"/>
  <c r="K25" i="23"/>
  <c r="M56" i="22"/>
  <c r="W47" i="22"/>
  <c r="K30" i="22"/>
  <c r="X58" i="22"/>
  <c r="W37" i="22"/>
  <c r="C56" i="22"/>
  <c r="K24" i="22"/>
  <c r="X47" i="23"/>
  <c r="U56" i="22"/>
  <c r="W55" i="22"/>
  <c r="N58" i="23"/>
  <c r="X49" i="23"/>
  <c r="X58" i="23"/>
  <c r="X60" i="23"/>
  <c r="X61" i="23"/>
  <c r="L56" i="22"/>
  <c r="W46" i="22"/>
  <c r="W56" i="22"/>
  <c r="W58" i="22"/>
  <c r="W59" i="22"/>
  <c r="Y7" i="18"/>
  <c r="Z7" i="18"/>
  <c r="AA7" i="18"/>
  <c r="AC7" i="18"/>
  <c r="AD7" i="18"/>
  <c r="AE7" i="18"/>
  <c r="Y8" i="18"/>
  <c r="Z8" i="18"/>
  <c r="AA8" i="18"/>
  <c r="AC8" i="18"/>
  <c r="AD8" i="18"/>
  <c r="AE8" i="18"/>
  <c r="Y9" i="18"/>
  <c r="Z9" i="18"/>
  <c r="AA9" i="18"/>
  <c r="AC9" i="18"/>
  <c r="AD9" i="18"/>
  <c r="AE9" i="18"/>
  <c r="Y10" i="18"/>
  <c r="Z10" i="18"/>
  <c r="AA10" i="18"/>
  <c r="AC10" i="18"/>
  <c r="AD10" i="18"/>
  <c r="AE10" i="18"/>
  <c r="Y11" i="18"/>
  <c r="Z11" i="18"/>
  <c r="AA11" i="18"/>
  <c r="AC11" i="18"/>
  <c r="AD11" i="18"/>
  <c r="AE11" i="18"/>
  <c r="Y12" i="18"/>
  <c r="D166" i="4"/>
  <c r="Z12" i="18"/>
  <c r="AA12" i="18"/>
  <c r="AC12" i="18"/>
  <c r="AD12" i="18"/>
  <c r="AE12" i="18"/>
  <c r="Y13" i="18"/>
  <c r="Z13" i="18"/>
  <c r="AA13" i="18"/>
  <c r="AC13" i="18"/>
  <c r="AD13" i="18"/>
  <c r="AE13" i="18"/>
  <c r="Y14" i="18"/>
  <c r="D168" i="4"/>
  <c r="Z14" i="18"/>
  <c r="AA14" i="18"/>
  <c r="AC14" i="18"/>
  <c r="AD14" i="18"/>
  <c r="AE14" i="18"/>
  <c r="Y15" i="18"/>
  <c r="D169" i="4"/>
  <c r="Z15" i="18"/>
  <c r="AA15" i="18"/>
  <c r="AC15" i="18"/>
  <c r="AD15" i="18"/>
  <c r="AE15" i="18"/>
  <c r="Y16" i="18"/>
  <c r="D170" i="4"/>
  <c r="Z16" i="18"/>
  <c r="AA16" i="18"/>
  <c r="AC16" i="18"/>
  <c r="AD16" i="18"/>
  <c r="AE16" i="18"/>
  <c r="Y17" i="18"/>
  <c r="Z17" i="18"/>
  <c r="AA17" i="18"/>
  <c r="AC17" i="18"/>
  <c r="AD17" i="18"/>
  <c r="AE17" i="18"/>
  <c r="Y18" i="18"/>
  <c r="Z18" i="18"/>
  <c r="AA18" i="18"/>
  <c r="AC18" i="18"/>
  <c r="AD18" i="18"/>
  <c r="AE18" i="18"/>
  <c r="Y19" i="18"/>
  <c r="Z19" i="18"/>
  <c r="AA19" i="18"/>
  <c r="AC19" i="18"/>
  <c r="AD19" i="18"/>
  <c r="AE19" i="18"/>
  <c r="Z20" i="18"/>
  <c r="AA20" i="18"/>
  <c r="AC20" i="18"/>
  <c r="AD20" i="18"/>
  <c r="AE20" i="18"/>
  <c r="Y21" i="18"/>
  <c r="D175" i="4"/>
  <c r="Z21" i="18"/>
  <c r="AA21" i="18"/>
  <c r="AC21" i="18"/>
  <c r="AD21" i="18"/>
  <c r="AE21" i="18"/>
  <c r="Y22" i="18"/>
  <c r="Z22" i="18"/>
  <c r="AA22" i="18"/>
  <c r="AC22" i="18"/>
  <c r="AD22" i="18"/>
  <c r="AE22" i="18"/>
  <c r="Y23" i="18"/>
  <c r="D177" i="4"/>
  <c r="Z23" i="18"/>
  <c r="AA23" i="18"/>
  <c r="AC23" i="18"/>
  <c r="AD23" i="18"/>
  <c r="AE23" i="18"/>
  <c r="Y24" i="18"/>
  <c r="D178" i="4"/>
  <c r="Z24" i="18"/>
  <c r="AA24" i="18"/>
  <c r="AC24" i="18"/>
  <c r="AD24" i="18"/>
  <c r="AE24" i="18"/>
  <c r="Y25" i="18"/>
  <c r="D179" i="4"/>
  <c r="Z25" i="18"/>
  <c r="AA25" i="18"/>
  <c r="AC25" i="18"/>
  <c r="AD25" i="18"/>
  <c r="AE25" i="18"/>
  <c r="Y26" i="18"/>
  <c r="Z26" i="18"/>
  <c r="AA26" i="18"/>
  <c r="AC26" i="18"/>
  <c r="AD26" i="18"/>
  <c r="AE26" i="18"/>
  <c r="Y27" i="18"/>
  <c r="Z27" i="18"/>
  <c r="AA27" i="18"/>
  <c r="AC27" i="18"/>
  <c r="AD27" i="18"/>
  <c r="AE27" i="18"/>
  <c r="Y28" i="18"/>
  <c r="Z28" i="18"/>
  <c r="AA28" i="18"/>
  <c r="AC28" i="18"/>
  <c r="AD28" i="18"/>
  <c r="AE28" i="18"/>
  <c r="Y29" i="18"/>
  <c r="Z29" i="18"/>
  <c r="AA29" i="18"/>
  <c r="AC29" i="18"/>
  <c r="AD29" i="18"/>
  <c r="AE29" i="18"/>
  <c r="Y30" i="18"/>
  <c r="Z30" i="18"/>
  <c r="AA30" i="18"/>
  <c r="AC30" i="18"/>
  <c r="AD30" i="18"/>
  <c r="AE30" i="18"/>
  <c r="Y31" i="18"/>
  <c r="Z31" i="18"/>
  <c r="AA31" i="18"/>
  <c r="AC31" i="18"/>
  <c r="AD31" i="18"/>
  <c r="AE31" i="18"/>
  <c r="Y32" i="18"/>
  <c r="Z32" i="18"/>
  <c r="AA32" i="18"/>
  <c r="AC32" i="18"/>
  <c r="AD32" i="18"/>
  <c r="AE32" i="18"/>
  <c r="Y33" i="18"/>
  <c r="Z33" i="18"/>
  <c r="AA33" i="18"/>
  <c r="AC33" i="18"/>
  <c r="AD33" i="18"/>
  <c r="AE33" i="18"/>
  <c r="Y34" i="18"/>
  <c r="Z34" i="18"/>
  <c r="AA34" i="18"/>
  <c r="AC34" i="18"/>
  <c r="AD34" i="18"/>
  <c r="AE34" i="18"/>
  <c r="Y35" i="18"/>
  <c r="Z35" i="18"/>
  <c r="AA35" i="18"/>
  <c r="AC35" i="18"/>
  <c r="AD35" i="18"/>
  <c r="AE35" i="18"/>
  <c r="Y36" i="18"/>
  <c r="Z36" i="18"/>
  <c r="AA36" i="18"/>
  <c r="AC36" i="18"/>
  <c r="AD36" i="18"/>
  <c r="AE36" i="18"/>
  <c r="Y37" i="18"/>
  <c r="D186" i="4"/>
  <c r="Z37" i="18"/>
  <c r="AA37" i="18"/>
  <c r="AC37" i="18"/>
  <c r="AD37" i="18"/>
  <c r="AE37" i="18"/>
  <c r="Y38" i="18"/>
  <c r="Z38" i="18"/>
  <c r="AA38" i="18"/>
  <c r="AC38" i="18"/>
  <c r="AD38" i="18"/>
  <c r="AE38" i="18"/>
  <c r="Y39" i="18"/>
  <c r="Z39" i="18"/>
  <c r="AA39" i="18"/>
  <c r="AC39" i="18"/>
  <c r="AD39" i="18"/>
  <c r="AE39" i="18"/>
  <c r="Y40" i="18"/>
  <c r="Z40" i="18"/>
  <c r="AA40" i="18"/>
  <c r="AC40" i="18"/>
  <c r="AD40" i="18"/>
  <c r="AE40" i="18"/>
  <c r="Y41" i="18"/>
  <c r="D190" i="4"/>
  <c r="Z41" i="18"/>
  <c r="AA41" i="18"/>
  <c r="AC41" i="18"/>
  <c r="AD41" i="18"/>
  <c r="AE41" i="18"/>
  <c r="Y42" i="18"/>
  <c r="Z42" i="18"/>
  <c r="AA42" i="18"/>
  <c r="AC42" i="18"/>
  <c r="AD42" i="18"/>
  <c r="AE42" i="18"/>
  <c r="Y43" i="18"/>
  <c r="Z43" i="18"/>
  <c r="AA43" i="18"/>
  <c r="AC43" i="18"/>
  <c r="AD43" i="18"/>
  <c r="AE43" i="18"/>
  <c r="Y44" i="18"/>
  <c r="Z44" i="18"/>
  <c r="AA44" i="18"/>
  <c r="AC44" i="18"/>
  <c r="AD44" i="18"/>
  <c r="AE44" i="18"/>
  <c r="Y45" i="18"/>
  <c r="Z45" i="18"/>
  <c r="AA45" i="18"/>
  <c r="AC45" i="18"/>
  <c r="AD45" i="18"/>
  <c r="AE45" i="18"/>
  <c r="Y46" i="18"/>
  <c r="Z46" i="18"/>
  <c r="AA46" i="18"/>
  <c r="AC46" i="18"/>
  <c r="AD46" i="18"/>
  <c r="AE46" i="18"/>
  <c r="Y47" i="18"/>
  <c r="Z47" i="18"/>
  <c r="AA47" i="18"/>
  <c r="AC47" i="18"/>
  <c r="AD47" i="18"/>
  <c r="AE47" i="18"/>
  <c r="Y48" i="18"/>
  <c r="Z48" i="18"/>
  <c r="AA48" i="18"/>
  <c r="AC48" i="18"/>
  <c r="AD48" i="18"/>
  <c r="AE48" i="18"/>
  <c r="Y49" i="18"/>
  <c r="Z49" i="18"/>
  <c r="AA49" i="18"/>
  <c r="AC49" i="18"/>
  <c r="AD49" i="18"/>
  <c r="AE49" i="18"/>
  <c r="Y50" i="18"/>
  <c r="Z50" i="18"/>
  <c r="AA50" i="18"/>
  <c r="AC50" i="18"/>
  <c r="AD50" i="18"/>
  <c r="AE50" i="18"/>
  <c r="Z51" i="18"/>
  <c r="AA51" i="18"/>
  <c r="AC51" i="18"/>
  <c r="AD51" i="18"/>
  <c r="AE51" i="18"/>
  <c r="Y52" i="18"/>
  <c r="Z52" i="18"/>
  <c r="AA52" i="18"/>
  <c r="AC52" i="18"/>
  <c r="AD52" i="18"/>
  <c r="AE52" i="18"/>
  <c r="Y53" i="18"/>
  <c r="Z53" i="18"/>
  <c r="AA53" i="18"/>
  <c r="AC53" i="18"/>
  <c r="AD53" i="18"/>
  <c r="AE53" i="18"/>
  <c r="Y54" i="18"/>
  <c r="Z54" i="18"/>
  <c r="AA54" i="18"/>
  <c r="AC54" i="18"/>
  <c r="AD54" i="18"/>
  <c r="AE54" i="18"/>
  <c r="Y55" i="18"/>
  <c r="Z55" i="18"/>
  <c r="AA55" i="18"/>
  <c r="AC55" i="18"/>
  <c r="AD55" i="18"/>
  <c r="AE55" i="18"/>
  <c r="Y56" i="18"/>
  <c r="Z56" i="18"/>
  <c r="AA56" i="18"/>
  <c r="AC56" i="18"/>
  <c r="AD56" i="18"/>
  <c r="AE56" i="18"/>
  <c r="Y57" i="18"/>
  <c r="Z57" i="18"/>
  <c r="AA57" i="18"/>
  <c r="AC57" i="18"/>
  <c r="AD57" i="18"/>
  <c r="AE57" i="18"/>
  <c r="Y58" i="18"/>
  <c r="Z58" i="18"/>
  <c r="AA58" i="18"/>
  <c r="AC58" i="18"/>
  <c r="AD58" i="18"/>
  <c r="AE58" i="18"/>
  <c r="Y59" i="18"/>
  <c r="Z59" i="18"/>
  <c r="AA59" i="18"/>
  <c r="AC59" i="18"/>
  <c r="AD59" i="18"/>
  <c r="AE59" i="18"/>
  <c r="Y60" i="18"/>
  <c r="Z60" i="18"/>
  <c r="AA60" i="18"/>
  <c r="AC60" i="18"/>
  <c r="AD60" i="18"/>
  <c r="AE60" i="18"/>
  <c r="Y61" i="18"/>
  <c r="Z61" i="18"/>
  <c r="AA61" i="18"/>
  <c r="AC61" i="18"/>
  <c r="AD61" i="18"/>
  <c r="AE61" i="18"/>
  <c r="Y62" i="18"/>
  <c r="Z62" i="18"/>
  <c r="AA62" i="18"/>
  <c r="AC62" i="18"/>
  <c r="AD62" i="18"/>
  <c r="AE62" i="18"/>
  <c r="Y63" i="18"/>
  <c r="Z63" i="18"/>
  <c r="AA63" i="18"/>
  <c r="AC63" i="18"/>
  <c r="AD63" i="18"/>
  <c r="AE63" i="18"/>
  <c r="Y64" i="18"/>
  <c r="Z64" i="18"/>
  <c r="AA64" i="18"/>
  <c r="AC64" i="18"/>
  <c r="AD64" i="18"/>
  <c r="AE64" i="18"/>
  <c r="Y65" i="18"/>
  <c r="Z65" i="18"/>
  <c r="AA65" i="18"/>
  <c r="AC65" i="18"/>
  <c r="AD65" i="18"/>
  <c r="AE65" i="18"/>
  <c r="Y66" i="18"/>
  <c r="Z66" i="18"/>
  <c r="AA66" i="18"/>
  <c r="AC66" i="18"/>
  <c r="AD66" i="18"/>
  <c r="AE66" i="18"/>
  <c r="Y67" i="18"/>
  <c r="Z67" i="18"/>
  <c r="AA67" i="18"/>
  <c r="AC67" i="18"/>
  <c r="AD67" i="18"/>
  <c r="AE67" i="18"/>
  <c r="Y68" i="18"/>
  <c r="Z68" i="18"/>
  <c r="AA68" i="18"/>
  <c r="AC68" i="18"/>
  <c r="AD68" i="18"/>
  <c r="AE68" i="18"/>
  <c r="Y69" i="18"/>
  <c r="Z69" i="18"/>
  <c r="AA69" i="18"/>
  <c r="AC69" i="18"/>
  <c r="AD69" i="18"/>
  <c r="AE69" i="18"/>
  <c r="Y70" i="18"/>
  <c r="Z70" i="18"/>
  <c r="AA70" i="18"/>
  <c r="AC70" i="18"/>
  <c r="AD70" i="18"/>
  <c r="AE70" i="18"/>
  <c r="Y71" i="18"/>
  <c r="Z71" i="18"/>
  <c r="AA71" i="18"/>
  <c r="AC71" i="18"/>
  <c r="AD71" i="18"/>
  <c r="AE71" i="18"/>
  <c r="Y72" i="18"/>
  <c r="Z72" i="18"/>
  <c r="AA72" i="18"/>
  <c r="AC72" i="18"/>
  <c r="AD72" i="18"/>
  <c r="AE72" i="18"/>
  <c r="Y73" i="18"/>
  <c r="Z73" i="18"/>
  <c r="AA73" i="18"/>
  <c r="AC73" i="18"/>
  <c r="AD73" i="18"/>
  <c r="AE73" i="18"/>
  <c r="Y74" i="18"/>
  <c r="Z74" i="18"/>
  <c r="AA74" i="18"/>
  <c r="AC74" i="18"/>
  <c r="AD74" i="18"/>
  <c r="AE74" i="18"/>
  <c r="Y75" i="18"/>
  <c r="Z75" i="18"/>
  <c r="AA75" i="18"/>
  <c r="AC75" i="18"/>
  <c r="AD75" i="18"/>
  <c r="AE75" i="18"/>
  <c r="Y76" i="18"/>
  <c r="Z76" i="18"/>
  <c r="AA76" i="18"/>
  <c r="AC76" i="18"/>
  <c r="AD76" i="18"/>
  <c r="AE76" i="18"/>
  <c r="Y77" i="18"/>
  <c r="Z77" i="18"/>
  <c r="AA77" i="18"/>
  <c r="AC77" i="18"/>
  <c r="AD77" i="18"/>
  <c r="AE77" i="18"/>
  <c r="Y78" i="18"/>
  <c r="Z78" i="18"/>
  <c r="AA78" i="18"/>
  <c r="AC78" i="18"/>
  <c r="AD78" i="18"/>
  <c r="AE78" i="18"/>
  <c r="Y79" i="18"/>
  <c r="Z79" i="18"/>
  <c r="AA79" i="18"/>
  <c r="AC79" i="18"/>
  <c r="AD79" i="18"/>
  <c r="AE79" i="18"/>
  <c r="Y80" i="18"/>
  <c r="Z80" i="18"/>
  <c r="AA80" i="18"/>
  <c r="AC80" i="18"/>
  <c r="AD80" i="18"/>
  <c r="AE80" i="18"/>
  <c r="Y81" i="18"/>
  <c r="Z81" i="18"/>
  <c r="AA81" i="18"/>
  <c r="AC81" i="18"/>
  <c r="AD81" i="18"/>
  <c r="AE81" i="18"/>
  <c r="Y82" i="18"/>
  <c r="Z82" i="18"/>
  <c r="AA82" i="18"/>
  <c r="AC82" i="18"/>
  <c r="AD82" i="18"/>
  <c r="AE82" i="18"/>
  <c r="Y83" i="18"/>
  <c r="Z83" i="18"/>
  <c r="AA83" i="18"/>
  <c r="AC83" i="18"/>
  <c r="AD83" i="18"/>
  <c r="AE83" i="18"/>
  <c r="Y84" i="18"/>
  <c r="Z84" i="18"/>
  <c r="AA84" i="18"/>
  <c r="AC84" i="18"/>
  <c r="AD84" i="18"/>
  <c r="AE84" i="18"/>
  <c r="Y85" i="18"/>
  <c r="Z85" i="18"/>
  <c r="AA85" i="18"/>
  <c r="AC85" i="18"/>
  <c r="AD85" i="18"/>
  <c r="AE85" i="18"/>
  <c r="Y86" i="18"/>
  <c r="Z86" i="18"/>
  <c r="AA86" i="18"/>
  <c r="AC86" i="18"/>
  <c r="AD86" i="18"/>
  <c r="AE86" i="18"/>
  <c r="Y87" i="18"/>
  <c r="Z87" i="18"/>
  <c r="AA87" i="18"/>
  <c r="AC87" i="18"/>
  <c r="AD87" i="18"/>
  <c r="AE87" i="18"/>
  <c r="Y88" i="18"/>
  <c r="Z88" i="18"/>
  <c r="AA88" i="18"/>
  <c r="AC88" i="18"/>
  <c r="AD88" i="18"/>
  <c r="AE88" i="18"/>
  <c r="Y89" i="18"/>
  <c r="Z89" i="18"/>
  <c r="AA89" i="18"/>
  <c r="AC89" i="18"/>
  <c r="AD89" i="18"/>
  <c r="AE89" i="18"/>
  <c r="Y90" i="18"/>
  <c r="Z90" i="18"/>
  <c r="AA90" i="18"/>
  <c r="AC90" i="18"/>
  <c r="AD90" i="18"/>
  <c r="AE90" i="18"/>
  <c r="Y91" i="18"/>
  <c r="Z91" i="18"/>
  <c r="AA91" i="18"/>
  <c r="AC91" i="18"/>
  <c r="AD91" i="18"/>
  <c r="AE91" i="18"/>
  <c r="Y92" i="18"/>
  <c r="Z92" i="18"/>
  <c r="AA92" i="18"/>
  <c r="AC92" i="18"/>
  <c r="AD92" i="18"/>
  <c r="AE92" i="18"/>
  <c r="Y93" i="18"/>
  <c r="Z93" i="18"/>
  <c r="AA93" i="18"/>
  <c r="AC93" i="18"/>
  <c r="AD93" i="18"/>
  <c r="AE93" i="18"/>
  <c r="Y94" i="18"/>
  <c r="Z94" i="18"/>
  <c r="AA94" i="18"/>
  <c r="AC94" i="18"/>
  <c r="AD94" i="18"/>
  <c r="AE94" i="18"/>
  <c r="Y95" i="18"/>
  <c r="Z95" i="18"/>
  <c r="AA95" i="18"/>
  <c r="AC95" i="18"/>
  <c r="AD95" i="18"/>
  <c r="AE95" i="18"/>
  <c r="Y96" i="18"/>
  <c r="Z96" i="18"/>
  <c r="AA96" i="18"/>
  <c r="AC96" i="18"/>
  <c r="AD96" i="18"/>
  <c r="AE96" i="18"/>
  <c r="Y97" i="18"/>
  <c r="Z97" i="18"/>
  <c r="AA97" i="18"/>
  <c r="AC97" i="18"/>
  <c r="AD97" i="18"/>
  <c r="AE97" i="18"/>
  <c r="Y98" i="18"/>
  <c r="Z98" i="18"/>
  <c r="AA98" i="18"/>
  <c r="AC98" i="18"/>
  <c r="AD98" i="18"/>
  <c r="AE98" i="18"/>
  <c r="Y99" i="18"/>
  <c r="Z99" i="18"/>
  <c r="AA99" i="18"/>
  <c r="AC99" i="18"/>
  <c r="AD99" i="18"/>
  <c r="AE99" i="18"/>
  <c r="Y100" i="18"/>
  <c r="Z100" i="18"/>
  <c r="AA100" i="18"/>
  <c r="AC100" i="18"/>
  <c r="AD100" i="18"/>
  <c r="AE100" i="18"/>
  <c r="Y101" i="18"/>
  <c r="Z101" i="18"/>
  <c r="AA101" i="18"/>
  <c r="AC101" i="18"/>
  <c r="AD101" i="18"/>
  <c r="AE101" i="18"/>
  <c r="Y102" i="18"/>
  <c r="Z102" i="18"/>
  <c r="AA102" i="18"/>
  <c r="AC102" i="18"/>
  <c r="AD102" i="18"/>
  <c r="AE102" i="18"/>
  <c r="Y103" i="18"/>
  <c r="Z103" i="18"/>
  <c r="AA103" i="18"/>
  <c r="AC103" i="18"/>
  <c r="AD103" i="18"/>
  <c r="AE103" i="18"/>
  <c r="Y104" i="18"/>
  <c r="Z104" i="18"/>
  <c r="AA104" i="18"/>
  <c r="AC104" i="18"/>
  <c r="AD104" i="18"/>
  <c r="AE104" i="18"/>
  <c r="Y105" i="18"/>
  <c r="Z105" i="18"/>
  <c r="AA105" i="18"/>
  <c r="AC105" i="18"/>
  <c r="AD105" i="18"/>
  <c r="AE105" i="18"/>
  <c r="Y106" i="18"/>
  <c r="Z106" i="18"/>
  <c r="AA106" i="18"/>
  <c r="AC106" i="18"/>
  <c r="AD106" i="18"/>
  <c r="AE106" i="18"/>
  <c r="Y107" i="18"/>
  <c r="Z107" i="18"/>
  <c r="AA107" i="18"/>
  <c r="AC107" i="18"/>
  <c r="AD107" i="18"/>
  <c r="AE107" i="18"/>
  <c r="Y108" i="18"/>
  <c r="Z108" i="18"/>
  <c r="AA108" i="18"/>
  <c r="AC108" i="18"/>
  <c r="AD108" i="18"/>
  <c r="AE108" i="18"/>
  <c r="Y109" i="18"/>
  <c r="Z109" i="18"/>
  <c r="AA109" i="18"/>
  <c r="AC109" i="18"/>
  <c r="AD109" i="18"/>
  <c r="AE109" i="18"/>
  <c r="Y110" i="18"/>
  <c r="Z110" i="18"/>
  <c r="AA110" i="18"/>
  <c r="AC110" i="18"/>
  <c r="AD110" i="18"/>
  <c r="AE110" i="18"/>
  <c r="Y111" i="18"/>
  <c r="Z111" i="18"/>
  <c r="AA111" i="18"/>
  <c r="AC111" i="18"/>
  <c r="AD111" i="18"/>
  <c r="AE111" i="18"/>
  <c r="Y112" i="18"/>
  <c r="Z112" i="18"/>
  <c r="AA112" i="18"/>
  <c r="AC112" i="18"/>
  <c r="AD112" i="18"/>
  <c r="AE112" i="18"/>
  <c r="Y113" i="18"/>
  <c r="Z113" i="18"/>
  <c r="AA113" i="18"/>
  <c r="AC113" i="18"/>
  <c r="AD113" i="18"/>
  <c r="AE113" i="18"/>
  <c r="Y114" i="18"/>
  <c r="Z114" i="18"/>
  <c r="AA114" i="18"/>
  <c r="AC114" i="18"/>
  <c r="AD114" i="18"/>
  <c r="AE114" i="18"/>
  <c r="Y115" i="18"/>
  <c r="Z115" i="18"/>
  <c r="AA115" i="18"/>
  <c r="AC115" i="18"/>
  <c r="AD115" i="18"/>
  <c r="AE115" i="18"/>
  <c r="Y116" i="18"/>
  <c r="Z116" i="18"/>
  <c r="AA116" i="18"/>
  <c r="AC116" i="18"/>
  <c r="AD116" i="18"/>
  <c r="AE116" i="18"/>
  <c r="Y117" i="18"/>
  <c r="Z117" i="18"/>
  <c r="AA117" i="18"/>
  <c r="AC117" i="18"/>
  <c r="AD117" i="18"/>
  <c r="AE117" i="18"/>
  <c r="Y118" i="18"/>
  <c r="Z118" i="18"/>
  <c r="AA118" i="18"/>
  <c r="AC118" i="18"/>
  <c r="AD118" i="18"/>
  <c r="AE118" i="18"/>
  <c r="Y119" i="18"/>
  <c r="Z119" i="18"/>
  <c r="AA119" i="18"/>
  <c r="AC119" i="18"/>
  <c r="AD119" i="18"/>
  <c r="AE119" i="18"/>
  <c r="Y120" i="18"/>
  <c r="Z120" i="18"/>
  <c r="AA120" i="18"/>
  <c r="AC120" i="18"/>
  <c r="AD120" i="18"/>
  <c r="AE120" i="18"/>
  <c r="Y121" i="18"/>
  <c r="Z121" i="18"/>
  <c r="AA121" i="18"/>
  <c r="AC121" i="18"/>
  <c r="AD121" i="18"/>
  <c r="AE121" i="18"/>
  <c r="Y122" i="18"/>
  <c r="Z122" i="18"/>
  <c r="AA122" i="18"/>
  <c r="AC122" i="18"/>
  <c r="AD122" i="18"/>
  <c r="AE122" i="18"/>
  <c r="Y123" i="18"/>
  <c r="Z123" i="18"/>
  <c r="AA123" i="18"/>
  <c r="AC123" i="18"/>
  <c r="AD123" i="18"/>
  <c r="AE123" i="18"/>
  <c r="Y124" i="18"/>
  <c r="D214" i="4"/>
  <c r="Z124" i="18"/>
  <c r="AA124" i="18"/>
  <c r="AC124" i="18"/>
  <c r="AD124" i="18"/>
  <c r="AE124" i="18"/>
  <c r="Y125" i="18"/>
  <c r="D215" i="4"/>
  <c r="Z125" i="18"/>
  <c r="AA125" i="18"/>
  <c r="AC125" i="18"/>
  <c r="AD125" i="18"/>
  <c r="AE125" i="18"/>
  <c r="Y126" i="18"/>
  <c r="Z126" i="18"/>
  <c r="AA126" i="18"/>
  <c r="AC126" i="18"/>
  <c r="AD126" i="18"/>
  <c r="AE126" i="18"/>
  <c r="Y127" i="18"/>
  <c r="Z127" i="18"/>
  <c r="AA127" i="18"/>
  <c r="AC127" i="18"/>
  <c r="AD127" i="18"/>
  <c r="AE127" i="18"/>
  <c r="Z128" i="18"/>
  <c r="AA128" i="18"/>
  <c r="AC128" i="18"/>
  <c r="AD128" i="18"/>
  <c r="AE128" i="18"/>
  <c r="Y129" i="18"/>
  <c r="Z129" i="18"/>
  <c r="AA129" i="18"/>
  <c r="AC129" i="18"/>
  <c r="AD129" i="18"/>
  <c r="AE129" i="18"/>
  <c r="Z130" i="18"/>
  <c r="AA130" i="18"/>
  <c r="AC130" i="18"/>
  <c r="AD130" i="18"/>
  <c r="AE130" i="18"/>
  <c r="Y131" i="18"/>
  <c r="Z131" i="18"/>
  <c r="AA131" i="18"/>
  <c r="AC131" i="18"/>
  <c r="AD131" i="18"/>
  <c r="AE131" i="18"/>
  <c r="Y132" i="18"/>
  <c r="Z132" i="18"/>
  <c r="AA132" i="18"/>
  <c r="AC132" i="18"/>
  <c r="AD132" i="18"/>
  <c r="AE132" i="18"/>
  <c r="Y133" i="18"/>
  <c r="Z133" i="18"/>
  <c r="AA133" i="18"/>
  <c r="AC133" i="18"/>
  <c r="AD133" i="18"/>
  <c r="AE133" i="18"/>
  <c r="Y134" i="18"/>
  <c r="Z134" i="18"/>
  <c r="AA134" i="18"/>
  <c r="AC134" i="18"/>
  <c r="AD134" i="18"/>
  <c r="AE134" i="18"/>
  <c r="Y135" i="18"/>
  <c r="Z135" i="18"/>
  <c r="AA135" i="18"/>
  <c r="AC135" i="18"/>
  <c r="AD135" i="18"/>
  <c r="AE135" i="18"/>
  <c r="Y136" i="18"/>
  <c r="Z136" i="18"/>
  <c r="AA136" i="18"/>
  <c r="AC136" i="18"/>
  <c r="AD136" i="18"/>
  <c r="AE136" i="18"/>
  <c r="Y137" i="18"/>
  <c r="Z137" i="18"/>
  <c r="AA137" i="18"/>
  <c r="AC137" i="18"/>
  <c r="AD137" i="18"/>
  <c r="AE137" i="18"/>
  <c r="Y138" i="18"/>
  <c r="Z138" i="18"/>
  <c r="AA138" i="18"/>
  <c r="AC138" i="18"/>
  <c r="AD138" i="18"/>
  <c r="AE138" i="18"/>
  <c r="Y139" i="18"/>
  <c r="Z139" i="18"/>
  <c r="AA139" i="18"/>
  <c r="AC139" i="18"/>
  <c r="AD139" i="18"/>
  <c r="AE139" i="18"/>
  <c r="Y140" i="18"/>
  <c r="Z140" i="18"/>
  <c r="AA140" i="18"/>
  <c r="AC140" i="18"/>
  <c r="AD140" i="18"/>
  <c r="AE140" i="18"/>
  <c r="Y141" i="18"/>
  <c r="D222" i="4"/>
  <c r="Z141" i="18"/>
  <c r="AA141" i="18"/>
  <c r="AC141" i="18"/>
  <c r="AD141" i="18"/>
  <c r="AE141" i="18"/>
  <c r="Y142" i="18"/>
  <c r="D223" i="4"/>
  <c r="Z142" i="18"/>
  <c r="AA142" i="18"/>
  <c r="AC142" i="18"/>
  <c r="AD142" i="18"/>
  <c r="AE142" i="18"/>
  <c r="Y143" i="18"/>
  <c r="Z143" i="18"/>
  <c r="AA143" i="18"/>
  <c r="AC143" i="18"/>
  <c r="AD143" i="18"/>
  <c r="AE143" i="18"/>
  <c r="Y144" i="18"/>
  <c r="Z144" i="18"/>
  <c r="AA144" i="18"/>
  <c r="AC144" i="18"/>
  <c r="AD144" i="18"/>
  <c r="AE144" i="18"/>
  <c r="Y145" i="18"/>
  <c r="Z145" i="18"/>
  <c r="AA145" i="18"/>
  <c r="AC145" i="18"/>
  <c r="AD145" i="18"/>
  <c r="AE145" i="18"/>
  <c r="Y146" i="18"/>
  <c r="Z146" i="18"/>
  <c r="AA146" i="18"/>
  <c r="AC146" i="18"/>
  <c r="AD146" i="18"/>
  <c r="AE146" i="18"/>
  <c r="Y147" i="18"/>
  <c r="Z147" i="18"/>
  <c r="AA147" i="18"/>
  <c r="AC147" i="18"/>
  <c r="AD147" i="18"/>
  <c r="AE147" i="18"/>
  <c r="Y148" i="18"/>
  <c r="Z148" i="18"/>
  <c r="AA148" i="18"/>
  <c r="AC148" i="18"/>
  <c r="AD148" i="18"/>
  <c r="AE148" i="18"/>
  <c r="Y149" i="18"/>
  <c r="Z149" i="18"/>
  <c r="AA149" i="18"/>
  <c r="AC149" i="18"/>
  <c r="AD149" i="18"/>
  <c r="AE149" i="18"/>
  <c r="Y150" i="18"/>
  <c r="D231" i="4"/>
  <c r="Z150" i="18"/>
  <c r="AA150" i="18"/>
  <c r="AC150" i="18"/>
  <c r="AD150" i="18"/>
  <c r="AE150" i="18"/>
  <c r="Y151" i="18"/>
  <c r="Z151" i="18"/>
  <c r="AA151" i="18"/>
  <c r="AC151" i="18"/>
  <c r="AD151" i="18"/>
  <c r="AE151" i="18"/>
  <c r="Y152" i="18"/>
  <c r="Z152" i="18"/>
  <c r="AA152" i="18"/>
  <c r="AC152" i="18"/>
  <c r="AD152" i="18"/>
  <c r="AE152" i="18"/>
  <c r="Y153" i="18"/>
  <c r="Z153" i="18"/>
  <c r="AA153" i="18"/>
  <c r="AC153" i="18"/>
  <c r="AD153" i="18"/>
  <c r="AE153" i="18"/>
  <c r="Y154" i="18"/>
  <c r="Z154" i="18"/>
  <c r="AA154" i="18"/>
  <c r="AC154" i="18"/>
  <c r="AD154" i="18"/>
  <c r="AE154" i="18"/>
  <c r="Y155" i="18"/>
  <c r="Z155" i="18"/>
  <c r="AA155" i="18"/>
  <c r="AC155" i="18"/>
  <c r="AD155" i="18"/>
  <c r="AE155" i="18"/>
  <c r="Y156" i="18"/>
  <c r="Z156" i="18"/>
  <c r="AA156" i="18"/>
  <c r="AC156" i="18"/>
  <c r="AD156" i="18"/>
  <c r="AE156" i="18"/>
  <c r="Y157" i="18"/>
  <c r="Z157" i="18"/>
  <c r="AA157" i="18"/>
  <c r="AC157" i="18"/>
  <c r="AD157" i="18"/>
  <c r="AE157" i="18"/>
  <c r="Y158" i="18"/>
  <c r="Z158" i="18"/>
  <c r="AA158" i="18"/>
  <c r="AC158" i="18"/>
  <c r="AD158" i="18"/>
  <c r="AE158" i="18"/>
  <c r="Y159" i="18"/>
  <c r="Z159" i="18"/>
  <c r="AA159" i="18"/>
  <c r="AC159" i="18"/>
  <c r="AD159" i="18"/>
  <c r="AE159" i="18"/>
  <c r="Y160" i="18"/>
  <c r="Z160" i="18"/>
  <c r="AA160" i="18"/>
  <c r="AC160" i="18"/>
  <c r="AD160" i="18"/>
  <c r="AE160" i="18"/>
  <c r="Y161" i="18"/>
  <c r="D238" i="4"/>
  <c r="Z161" i="18"/>
  <c r="AA161" i="18"/>
  <c r="AC161" i="18"/>
  <c r="AD161" i="18"/>
  <c r="AE161" i="18"/>
  <c r="Y162" i="18"/>
  <c r="Z162" i="18"/>
  <c r="AA162" i="18"/>
  <c r="AC162" i="18"/>
  <c r="AD162" i="18"/>
  <c r="AE162" i="18"/>
  <c r="Y163" i="18"/>
  <c r="Z163" i="18"/>
  <c r="AA163" i="18"/>
  <c r="AC163" i="18"/>
  <c r="AD163" i="18"/>
  <c r="AE163" i="18"/>
  <c r="Y164" i="18"/>
  <c r="Z164" i="18"/>
  <c r="AA164" i="18"/>
  <c r="AC164" i="18"/>
  <c r="AD164" i="18"/>
  <c r="AE164" i="18"/>
  <c r="Y165" i="18"/>
  <c r="Z165" i="18"/>
  <c r="AA165" i="18"/>
  <c r="AC165" i="18"/>
  <c r="AD165" i="18"/>
  <c r="AE165" i="18"/>
  <c r="Y166" i="18"/>
  <c r="Z166" i="18"/>
  <c r="AA166" i="18"/>
  <c r="AC166" i="18"/>
  <c r="AD166" i="18"/>
  <c r="AE166" i="18"/>
  <c r="Y167" i="18"/>
  <c r="Z167" i="18"/>
  <c r="AA167" i="18"/>
  <c r="AC167" i="18"/>
  <c r="AD167" i="18"/>
  <c r="AE167" i="18"/>
  <c r="Y168" i="18"/>
  <c r="Z168" i="18"/>
  <c r="AA168" i="18"/>
  <c r="AC168" i="18"/>
  <c r="AD168" i="18"/>
  <c r="AE168" i="18"/>
  <c r="Y169" i="18"/>
  <c r="Z169" i="18"/>
  <c r="AA169" i="18"/>
  <c r="AC169" i="18"/>
  <c r="AD169" i="18"/>
  <c r="AE169" i="18"/>
  <c r="Y170" i="18"/>
  <c r="D243" i="4"/>
  <c r="Z170" i="18"/>
  <c r="AA170" i="18"/>
  <c r="AC170" i="18"/>
  <c r="AD170" i="18"/>
  <c r="AE170" i="18"/>
  <c r="Y171" i="18"/>
  <c r="D244" i="4"/>
  <c r="Z171" i="18"/>
  <c r="AA171" i="18"/>
  <c r="AC171" i="18"/>
  <c r="AD171" i="18"/>
  <c r="AE171" i="18"/>
  <c r="Y172" i="18"/>
  <c r="Z172" i="18"/>
  <c r="AA172" i="18"/>
  <c r="AC172" i="18"/>
  <c r="AD172" i="18"/>
  <c r="AE172" i="18"/>
  <c r="Y173" i="18"/>
  <c r="Z173" i="18"/>
  <c r="AA173" i="18"/>
  <c r="AC173" i="18"/>
  <c r="AD173" i="18"/>
  <c r="AE173" i="18"/>
  <c r="Y174" i="18"/>
  <c r="Z174" i="18"/>
  <c r="AA174" i="18"/>
  <c r="AC174" i="18"/>
  <c r="AD174" i="18"/>
  <c r="AE174" i="18"/>
  <c r="Y175" i="18"/>
  <c r="Z175" i="18"/>
  <c r="AA175" i="18"/>
  <c r="AC175" i="18"/>
  <c r="AD175" i="18"/>
  <c r="AE175" i="18"/>
  <c r="Y176" i="18"/>
  <c r="Z176" i="18"/>
  <c r="AA176" i="18"/>
  <c r="AC176" i="18"/>
  <c r="AD176" i="18"/>
  <c r="AE176" i="18"/>
  <c r="Y177" i="18"/>
  <c r="Z177" i="18"/>
  <c r="AA177" i="18"/>
  <c r="AC177" i="18"/>
  <c r="AD177" i="18"/>
  <c r="AE177" i="18"/>
  <c r="Y178" i="18"/>
  <c r="Z178" i="18"/>
  <c r="AA178" i="18"/>
  <c r="AC178" i="18"/>
  <c r="AD178" i="18"/>
  <c r="AE178" i="18"/>
  <c r="Y179" i="18"/>
  <c r="Z179" i="18"/>
  <c r="AA179" i="18"/>
  <c r="AC179" i="18"/>
  <c r="AD179" i="18"/>
  <c r="AE179" i="18"/>
  <c r="Y180" i="18"/>
  <c r="Z180" i="18"/>
  <c r="AA180" i="18"/>
  <c r="AC180" i="18"/>
  <c r="AD180" i="18"/>
  <c r="AE180" i="18"/>
  <c r="Y181" i="18"/>
  <c r="Z181" i="18"/>
  <c r="AA181" i="18"/>
  <c r="AC181" i="18"/>
  <c r="AD181" i="18"/>
  <c r="AE181" i="18"/>
  <c r="Y182" i="18"/>
  <c r="Z182" i="18"/>
  <c r="AA182" i="18"/>
  <c r="AC182" i="18"/>
  <c r="AD182" i="18"/>
  <c r="AE182" i="18"/>
  <c r="Y183" i="18"/>
  <c r="Z183" i="18"/>
  <c r="AA183" i="18"/>
  <c r="AC183" i="18"/>
  <c r="AD183" i="18"/>
  <c r="AE183" i="18"/>
  <c r="Y184" i="18"/>
  <c r="Z184" i="18"/>
  <c r="AA184" i="18"/>
  <c r="AC184" i="18"/>
  <c r="AD184" i="18"/>
  <c r="AE184" i="18"/>
  <c r="Y185" i="18"/>
  <c r="D252" i="4"/>
  <c r="Z185" i="18"/>
  <c r="AA185" i="18"/>
  <c r="AC185" i="18"/>
  <c r="AD185" i="18"/>
  <c r="AE185" i="18"/>
  <c r="Y186" i="18"/>
  <c r="D253" i="4"/>
  <c r="Z186" i="18"/>
  <c r="AA186" i="18"/>
  <c r="AC186" i="18"/>
  <c r="AD186" i="18"/>
  <c r="AE186" i="18"/>
  <c r="Y187" i="18"/>
  <c r="Z187" i="18"/>
  <c r="AA187" i="18"/>
  <c r="AC187" i="18"/>
  <c r="AD187" i="18"/>
  <c r="AE187" i="18"/>
  <c r="Y188" i="18"/>
  <c r="Z188" i="18"/>
  <c r="AA188" i="18"/>
  <c r="AC188" i="18"/>
  <c r="AD188" i="18"/>
  <c r="AE188" i="18"/>
  <c r="Y189" i="18"/>
  <c r="Z189" i="18"/>
  <c r="AA189" i="18"/>
  <c r="AC189" i="18"/>
  <c r="AD189" i="18"/>
  <c r="AE189" i="18"/>
  <c r="Y190" i="18"/>
  <c r="Z190" i="18"/>
  <c r="AA190" i="18"/>
  <c r="AC190" i="18"/>
  <c r="AD190" i="18"/>
  <c r="AE190" i="18"/>
  <c r="Y191" i="18"/>
  <c r="Z191" i="18"/>
  <c r="AA191" i="18"/>
  <c r="AC191" i="18"/>
  <c r="AD191" i="18"/>
  <c r="AE191" i="18"/>
  <c r="Y192" i="18"/>
  <c r="Z192" i="18"/>
  <c r="AA192" i="18"/>
  <c r="AC192" i="18"/>
  <c r="AD192" i="18"/>
  <c r="AE192" i="18"/>
  <c r="Y193" i="18"/>
  <c r="D260" i="4"/>
  <c r="Z193" i="18"/>
  <c r="AA193" i="18"/>
  <c r="AC193" i="18"/>
  <c r="AD193" i="18"/>
  <c r="AE193" i="18"/>
  <c r="Y194" i="18"/>
  <c r="Z194" i="18"/>
  <c r="AA194" i="18"/>
  <c r="AC194" i="18"/>
  <c r="AD194" i="18"/>
  <c r="AE194" i="18"/>
  <c r="Y195" i="18"/>
  <c r="Z195" i="18"/>
  <c r="AA195" i="18"/>
  <c r="AC195" i="18"/>
  <c r="AD195" i="18"/>
  <c r="AE195" i="18"/>
  <c r="Y196" i="18"/>
  <c r="Z196" i="18"/>
  <c r="AA196" i="18"/>
  <c r="AC196" i="18"/>
  <c r="AD196" i="18"/>
  <c r="AE196" i="18"/>
  <c r="Y197" i="18"/>
  <c r="Z197" i="18"/>
  <c r="AA197" i="18"/>
  <c r="AC197" i="18"/>
  <c r="AD197" i="18"/>
  <c r="AE197" i="18"/>
  <c r="Y198" i="18"/>
  <c r="Z198" i="18"/>
  <c r="AA198" i="18"/>
  <c r="AC198" i="18"/>
  <c r="AD198" i="18"/>
  <c r="AE198" i="18"/>
  <c r="Y199" i="18"/>
  <c r="Z199" i="18"/>
  <c r="AA199" i="18"/>
  <c r="AC199" i="18"/>
  <c r="AD199" i="18"/>
  <c r="AE199" i="18"/>
  <c r="Y200" i="18"/>
  <c r="Z200" i="18"/>
  <c r="AA200" i="18"/>
  <c r="AC200" i="18"/>
  <c r="AD200" i="18"/>
  <c r="AE200" i="18"/>
  <c r="Y201" i="18"/>
  <c r="Z201" i="18"/>
  <c r="AA201" i="18"/>
  <c r="AC201" i="18"/>
  <c r="AD201" i="18"/>
  <c r="AE201" i="18"/>
  <c r="Y202" i="18"/>
  <c r="Z202" i="18"/>
  <c r="AA202" i="18"/>
  <c r="AC202" i="18"/>
  <c r="AD202" i="18"/>
  <c r="AE202" i="18"/>
  <c r="Y203" i="18"/>
  <c r="Z203" i="18"/>
  <c r="AA203" i="18"/>
  <c r="AC203" i="18"/>
  <c r="AD203" i="18"/>
  <c r="AE203" i="18"/>
  <c r="Y204" i="18"/>
  <c r="Z204" i="18"/>
  <c r="AA204" i="18"/>
  <c r="AC204" i="18"/>
  <c r="AD204" i="18"/>
  <c r="AE204" i="18"/>
  <c r="Y205" i="18"/>
  <c r="Z205" i="18"/>
  <c r="AA205" i="18"/>
  <c r="AC205" i="18"/>
  <c r="AD205" i="18"/>
  <c r="AE205" i="18"/>
  <c r="Y206" i="18"/>
  <c r="Z206" i="18"/>
  <c r="AA206" i="18"/>
  <c r="AC206" i="18"/>
  <c r="AD206" i="18"/>
  <c r="AE206" i="18"/>
  <c r="Y207" i="18"/>
  <c r="Z207" i="18"/>
  <c r="AA207" i="18"/>
  <c r="AC207" i="18"/>
  <c r="AD207" i="18"/>
  <c r="AE207" i="18"/>
  <c r="Y208" i="18"/>
  <c r="Z208" i="18"/>
  <c r="AA208" i="18"/>
  <c r="AC208" i="18"/>
  <c r="AD208" i="18"/>
  <c r="AE208" i="18"/>
  <c r="Y209" i="18"/>
  <c r="D272" i="4"/>
  <c r="Z209" i="18"/>
  <c r="AA209" i="18"/>
  <c r="AC209" i="18"/>
  <c r="AD209" i="18"/>
  <c r="AE209" i="18"/>
  <c r="Y210" i="18"/>
  <c r="Z210" i="18"/>
  <c r="AA210" i="18"/>
  <c r="AC210" i="18"/>
  <c r="AD210" i="18"/>
  <c r="AE210" i="18"/>
  <c r="Y211" i="18"/>
  <c r="Z211" i="18"/>
  <c r="AA211" i="18"/>
  <c r="AC211" i="18"/>
  <c r="AD211" i="18"/>
  <c r="AE211" i="18"/>
  <c r="Y212" i="18"/>
  <c r="Z212" i="18"/>
  <c r="AA212" i="18"/>
  <c r="AC212" i="18"/>
  <c r="AD212" i="18"/>
  <c r="AE212" i="18"/>
  <c r="Y213" i="18"/>
  <c r="D276" i="4"/>
  <c r="Z213" i="18"/>
  <c r="AA213" i="18"/>
  <c r="AC213" i="18"/>
  <c r="AD213" i="18"/>
  <c r="AE213" i="18"/>
  <c r="Y214" i="18"/>
  <c r="Z214" i="18"/>
  <c r="AA214" i="18"/>
  <c r="AC214" i="18"/>
  <c r="AD214" i="18"/>
  <c r="AE214" i="18"/>
  <c r="Y215" i="18"/>
  <c r="Z215" i="18"/>
  <c r="AA215" i="18"/>
  <c r="AC215" i="18"/>
  <c r="AD215" i="18"/>
  <c r="AE215" i="18"/>
  <c r="Y216" i="18"/>
  <c r="Z216" i="18"/>
  <c r="AA216" i="18"/>
  <c r="AC216" i="18"/>
  <c r="AD216" i="18"/>
  <c r="AE216" i="18"/>
  <c r="Y217" i="18"/>
  <c r="Z217" i="18"/>
  <c r="AA217" i="18"/>
  <c r="AC217" i="18"/>
  <c r="AD217" i="18"/>
  <c r="AE217" i="18"/>
  <c r="Y218" i="18"/>
  <c r="Z218" i="18"/>
  <c r="AA218" i="18"/>
  <c r="AC218" i="18"/>
  <c r="AD218" i="18"/>
  <c r="AE218" i="18"/>
  <c r="Y219" i="18"/>
  <c r="Z219" i="18"/>
  <c r="AA219" i="18"/>
  <c r="AC219" i="18"/>
  <c r="AD219" i="18"/>
  <c r="AE219" i="18"/>
  <c r="Y220" i="18"/>
  <c r="Z220" i="18"/>
  <c r="AA220" i="18"/>
  <c r="AC220" i="18"/>
  <c r="AD220" i="18"/>
  <c r="AE220" i="18"/>
  <c r="Y221" i="18"/>
  <c r="Z221" i="18"/>
  <c r="AA221" i="18"/>
  <c r="AC221" i="18"/>
  <c r="AD221" i="18"/>
  <c r="AE221" i="18"/>
  <c r="Y222" i="18"/>
  <c r="Z222" i="18"/>
  <c r="AA222" i="18"/>
  <c r="AC222" i="18"/>
  <c r="AD222" i="18"/>
  <c r="AE222" i="18"/>
  <c r="Y223" i="18"/>
  <c r="Z223" i="18"/>
  <c r="AA223" i="18"/>
  <c r="AC223" i="18"/>
  <c r="AD223" i="18"/>
  <c r="AE223" i="18"/>
  <c r="Y224" i="18"/>
  <c r="Z224" i="18"/>
  <c r="AA224" i="18"/>
  <c r="AC224" i="18"/>
  <c r="AD224" i="18"/>
  <c r="AE224" i="18"/>
  <c r="Y225" i="18"/>
  <c r="Z225" i="18"/>
  <c r="AA225" i="18"/>
  <c r="AC225" i="18"/>
  <c r="AD225" i="18"/>
  <c r="AE225" i="18"/>
  <c r="Y226" i="18"/>
  <c r="Z226" i="18"/>
  <c r="AA226" i="18"/>
  <c r="AC226" i="18"/>
  <c r="AD226" i="18"/>
  <c r="AE226" i="18"/>
  <c r="Y227" i="18"/>
  <c r="Z227" i="18"/>
  <c r="AA227" i="18"/>
  <c r="AC227" i="18"/>
  <c r="AD227" i="18"/>
  <c r="AE227" i="18"/>
  <c r="Y228" i="18"/>
  <c r="Z228" i="18"/>
  <c r="AA228" i="18"/>
  <c r="AC228" i="18"/>
  <c r="AD228" i="18"/>
  <c r="AE228" i="18"/>
  <c r="Y229" i="18"/>
  <c r="Z229" i="18"/>
  <c r="AA229" i="18"/>
  <c r="AC229" i="18"/>
  <c r="AD229" i="18"/>
  <c r="AE229" i="18"/>
  <c r="Y230" i="18"/>
  <c r="D285" i="4"/>
  <c r="Z230" i="18"/>
  <c r="AA230" i="18"/>
  <c r="AC230" i="18"/>
  <c r="AD230" i="18"/>
  <c r="AE230" i="18"/>
  <c r="D286" i="4"/>
  <c r="Z231" i="18"/>
  <c r="AA231" i="18"/>
  <c r="AC231" i="18"/>
  <c r="AD231" i="18"/>
  <c r="AE231" i="18"/>
  <c r="Y232" i="18"/>
  <c r="Z232" i="18"/>
  <c r="AA232" i="18"/>
  <c r="AC232" i="18"/>
  <c r="AD232" i="18"/>
  <c r="AE232" i="18"/>
  <c r="Y233" i="18"/>
  <c r="Z233" i="18"/>
  <c r="AA233" i="18"/>
  <c r="AC233" i="18"/>
  <c r="AD233" i="18"/>
  <c r="AE233" i="18"/>
  <c r="Y234" i="18"/>
  <c r="Z234" i="18"/>
  <c r="AA234" i="18"/>
  <c r="AC234" i="18"/>
  <c r="AD234" i="18"/>
  <c r="AE234" i="18"/>
  <c r="Y235" i="18"/>
  <c r="Z235" i="18"/>
  <c r="AA235" i="18"/>
  <c r="AC235" i="18"/>
  <c r="AD235" i="18"/>
  <c r="AE235" i="18"/>
  <c r="Y236" i="18"/>
  <c r="Z236" i="18"/>
  <c r="AA236" i="18"/>
  <c r="AC236" i="18"/>
  <c r="AD236" i="18"/>
  <c r="AE236" i="18"/>
  <c r="Y237" i="18"/>
  <c r="Z237" i="18"/>
  <c r="AA237" i="18"/>
  <c r="AC237" i="18"/>
  <c r="AD237" i="18"/>
  <c r="AE237" i="18"/>
  <c r="Y238" i="18"/>
  <c r="Z238" i="18"/>
  <c r="AA238" i="18"/>
  <c r="AC238" i="18"/>
  <c r="AD238" i="18"/>
  <c r="AE238" i="18"/>
  <c r="Y239" i="18"/>
  <c r="Z239" i="18"/>
  <c r="AA239" i="18"/>
  <c r="AC239" i="18"/>
  <c r="AD239" i="18"/>
  <c r="AE239" i="18"/>
  <c r="Y240" i="18"/>
  <c r="Z240" i="18"/>
  <c r="AA240" i="18"/>
  <c r="AC240" i="18"/>
  <c r="AD240" i="18"/>
  <c r="AE240" i="18"/>
  <c r="Y241" i="18"/>
  <c r="Z241" i="18"/>
  <c r="AA241" i="18"/>
  <c r="AC241" i="18"/>
  <c r="AD241" i="18"/>
  <c r="AE241" i="18"/>
  <c r="Y242" i="18"/>
  <c r="Z242" i="18"/>
  <c r="AA242" i="18"/>
  <c r="AC242" i="18"/>
  <c r="AD242" i="18"/>
  <c r="AE242" i="18"/>
  <c r="Y243" i="18"/>
  <c r="Z243" i="18"/>
  <c r="AA243" i="18"/>
  <c r="AC243" i="18"/>
  <c r="AD243" i="18"/>
  <c r="AE243" i="18"/>
  <c r="Y244" i="18"/>
  <c r="Z244" i="18"/>
  <c r="AA244" i="18"/>
  <c r="AC244" i="18"/>
  <c r="AD244" i="18"/>
  <c r="AE244" i="18"/>
  <c r="Y245" i="18"/>
  <c r="D290" i="4"/>
  <c r="Z245" i="18"/>
  <c r="AA245" i="18"/>
  <c r="AC245" i="18"/>
  <c r="AD245" i="18"/>
  <c r="AE245" i="18"/>
  <c r="Y246" i="18"/>
  <c r="Z246" i="18"/>
  <c r="AA246" i="18"/>
  <c r="AC246" i="18"/>
  <c r="AD246" i="18"/>
  <c r="AE246" i="18"/>
  <c r="Y247" i="18"/>
  <c r="D292" i="4"/>
  <c r="Z247" i="18"/>
  <c r="AA247" i="18"/>
  <c r="AC247" i="18"/>
  <c r="AD247" i="18"/>
  <c r="AE247" i="18"/>
  <c r="Y248" i="18"/>
  <c r="Z248" i="18"/>
  <c r="AA248" i="18"/>
  <c r="AC248" i="18"/>
  <c r="AD248" i="18"/>
  <c r="AE248" i="18"/>
  <c r="Y249" i="18"/>
  <c r="Z249" i="18"/>
  <c r="AA249" i="18"/>
  <c r="AC249" i="18"/>
  <c r="AD249" i="18"/>
  <c r="AE249" i="18"/>
  <c r="Y250" i="18"/>
  <c r="Z250" i="18"/>
  <c r="AA250" i="18"/>
  <c r="AC250" i="18"/>
  <c r="AD250" i="18"/>
  <c r="AE250" i="18"/>
  <c r="Y251" i="18"/>
  <c r="Z251" i="18"/>
  <c r="AA251" i="18"/>
  <c r="AC251" i="18"/>
  <c r="AD251" i="18"/>
  <c r="AE251" i="18"/>
  <c r="Y252" i="18"/>
  <c r="Z252" i="18"/>
  <c r="AA252" i="18"/>
  <c r="AC252" i="18"/>
  <c r="AD252" i="18"/>
  <c r="AE252" i="18"/>
  <c r="Y253" i="18"/>
  <c r="Z253" i="18"/>
  <c r="AA253" i="18"/>
  <c r="AC253" i="18"/>
  <c r="AD253" i="18"/>
  <c r="AE253" i="18"/>
  <c r="Y254" i="18"/>
  <c r="Z254" i="18"/>
  <c r="AA254" i="18"/>
  <c r="AC254" i="18"/>
  <c r="AD254" i="18"/>
  <c r="AE254" i="18"/>
  <c r="Y255" i="18"/>
  <c r="Z255" i="18"/>
  <c r="AA255" i="18"/>
  <c r="AC255" i="18"/>
  <c r="AD255" i="18"/>
  <c r="AE255" i="18"/>
  <c r="Y256" i="18"/>
  <c r="Z256" i="18"/>
  <c r="AA256" i="18"/>
  <c r="AC256" i="18"/>
  <c r="AD256" i="18"/>
  <c r="AE256" i="18"/>
  <c r="Y257" i="18"/>
  <c r="Z257" i="18"/>
  <c r="AA257" i="18"/>
  <c r="AC257" i="18"/>
  <c r="AD257" i="18"/>
  <c r="AE257" i="18"/>
  <c r="Y258" i="18"/>
  <c r="Z258" i="18"/>
  <c r="AA258" i="18"/>
  <c r="AC258" i="18"/>
  <c r="AD258" i="18"/>
  <c r="AE258" i="18"/>
  <c r="Y259" i="18"/>
  <c r="Z259" i="18"/>
  <c r="AA259" i="18"/>
  <c r="AC259" i="18"/>
  <c r="AD259" i="18"/>
  <c r="AE259" i="18"/>
  <c r="Y260" i="18"/>
  <c r="D295" i="4"/>
  <c r="Z260" i="18"/>
  <c r="AA260" i="18"/>
  <c r="AC260" i="18"/>
  <c r="AD260" i="18"/>
  <c r="AE260" i="18"/>
  <c r="Y261" i="18"/>
  <c r="Z261" i="18"/>
  <c r="AA261" i="18"/>
  <c r="AC261" i="18"/>
  <c r="AD261" i="18"/>
  <c r="AE261" i="18"/>
  <c r="Y262" i="18"/>
  <c r="Z262" i="18"/>
  <c r="AA262" i="18"/>
  <c r="AC262" i="18"/>
  <c r="AD262" i="18"/>
  <c r="AE262" i="18"/>
  <c r="Y263" i="18"/>
  <c r="Z263" i="18"/>
  <c r="AA263" i="18"/>
  <c r="AC263" i="18"/>
  <c r="AD263" i="18"/>
  <c r="AE263" i="18"/>
  <c r="Y264" i="18"/>
  <c r="Z264" i="18"/>
  <c r="AA264" i="18"/>
  <c r="AC264" i="18"/>
  <c r="AD264" i="18"/>
  <c r="AE264" i="18"/>
  <c r="Y265" i="18"/>
  <c r="Z265" i="18"/>
  <c r="AA265" i="18"/>
  <c r="AC265" i="18"/>
  <c r="AD265" i="18"/>
  <c r="AE265" i="18"/>
  <c r="Y266" i="18"/>
  <c r="Z266" i="18"/>
  <c r="AA266" i="18"/>
  <c r="AC266" i="18"/>
  <c r="AD266" i="18"/>
  <c r="AE266" i="18"/>
  <c r="Y267" i="18"/>
  <c r="Z267" i="18"/>
  <c r="AA267" i="18"/>
  <c r="AC267" i="18"/>
  <c r="AD267" i="18"/>
  <c r="AE267" i="18"/>
  <c r="Y268" i="18"/>
  <c r="Z268" i="18"/>
  <c r="AA268" i="18"/>
  <c r="AC268" i="18"/>
  <c r="AD268" i="18"/>
  <c r="AE268" i="18"/>
  <c r="Y269" i="18"/>
  <c r="Z269" i="18"/>
  <c r="AA269" i="18"/>
  <c r="AC269" i="18"/>
  <c r="AD269" i="18"/>
  <c r="AE269" i="18"/>
  <c r="Y270" i="18"/>
  <c r="Z270" i="18"/>
  <c r="AA270" i="18"/>
  <c r="AC270" i="18"/>
  <c r="AD270" i="18"/>
  <c r="AE270" i="18"/>
  <c r="Y271" i="18"/>
  <c r="Z271" i="18"/>
  <c r="AA271" i="18"/>
  <c r="AC271" i="18"/>
  <c r="AD271" i="18"/>
  <c r="AE271" i="18"/>
  <c r="Y272" i="18"/>
  <c r="Z272" i="18"/>
  <c r="AA272" i="18"/>
  <c r="AC272" i="18"/>
  <c r="AD272" i="18"/>
  <c r="AE272" i="18"/>
  <c r="Y273" i="18"/>
  <c r="Z273" i="18"/>
  <c r="AA273" i="18"/>
  <c r="AC273" i="18"/>
  <c r="AD273" i="18"/>
  <c r="AE273" i="18"/>
  <c r="Y274" i="18"/>
  <c r="Z274" i="18"/>
  <c r="AA274" i="18"/>
  <c r="AC274" i="18"/>
  <c r="AD274" i="18"/>
  <c r="AE274" i="18"/>
  <c r="Y275" i="18"/>
  <c r="Z275" i="18"/>
  <c r="AA275" i="18"/>
  <c r="AC275" i="18"/>
  <c r="AD275" i="18"/>
  <c r="AE275" i="18"/>
  <c r="Y276" i="18"/>
  <c r="Z276" i="18"/>
  <c r="AA276" i="18"/>
  <c r="AC276" i="18"/>
  <c r="AD276" i="18"/>
  <c r="AE276" i="18"/>
  <c r="Y277" i="18"/>
  <c r="Z277" i="18"/>
  <c r="AA277" i="18"/>
  <c r="AC277" i="18"/>
  <c r="AD277" i="18"/>
  <c r="AE277" i="18"/>
  <c r="Y278" i="18"/>
  <c r="Z278" i="18"/>
  <c r="AA278" i="18"/>
  <c r="AC278" i="18"/>
  <c r="AD278" i="18"/>
  <c r="AE278" i="18"/>
  <c r="Y279" i="18"/>
  <c r="Z279" i="18"/>
  <c r="AA279" i="18"/>
  <c r="AC279" i="18"/>
  <c r="AD279" i="18"/>
  <c r="AE279" i="18"/>
  <c r="Y280" i="18"/>
  <c r="Z280" i="18"/>
  <c r="AA280" i="18"/>
  <c r="AC280" i="18"/>
  <c r="AD280" i="18"/>
  <c r="AE280" i="18"/>
  <c r="Y281" i="18"/>
  <c r="D298" i="4"/>
  <c r="Z281" i="18"/>
  <c r="AA281" i="18"/>
  <c r="AC281" i="18"/>
  <c r="AD281" i="18"/>
  <c r="AE281" i="18"/>
  <c r="Y282" i="18"/>
  <c r="Z282" i="18"/>
  <c r="AA282" i="18"/>
  <c r="AC282" i="18"/>
  <c r="AD282" i="18"/>
  <c r="AE282" i="18"/>
  <c r="Y283" i="18"/>
  <c r="Z283" i="18"/>
  <c r="AA283" i="18"/>
  <c r="AC283" i="18"/>
  <c r="AD283" i="18"/>
  <c r="AE283" i="18"/>
  <c r="Y284" i="18"/>
  <c r="Z284" i="18"/>
  <c r="AA284" i="18"/>
  <c r="AC284" i="18"/>
  <c r="AD284" i="18"/>
  <c r="AE284" i="18"/>
  <c r="Y285" i="18"/>
  <c r="Z285" i="18"/>
  <c r="AA285" i="18"/>
  <c r="AC285" i="18"/>
  <c r="AD285" i="18"/>
  <c r="AE285" i="18"/>
  <c r="Y286" i="18"/>
  <c r="Z286" i="18"/>
  <c r="AA286" i="18"/>
  <c r="AC286" i="18"/>
  <c r="AD286" i="18"/>
  <c r="AE286" i="18"/>
  <c r="Y287" i="18"/>
  <c r="Z287" i="18"/>
  <c r="AA287" i="18"/>
  <c r="AC287" i="18"/>
  <c r="AD287" i="18"/>
  <c r="AE287" i="18"/>
  <c r="Y288" i="18"/>
  <c r="Z288" i="18"/>
  <c r="AA288" i="18"/>
  <c r="AC288" i="18"/>
  <c r="AD288" i="18"/>
  <c r="AE288" i="18"/>
  <c r="Y289" i="18"/>
  <c r="Z289" i="18"/>
  <c r="AA289" i="18"/>
  <c r="AC289" i="18"/>
  <c r="AD289" i="18"/>
  <c r="AE289" i="18"/>
  <c r="Y290" i="18"/>
  <c r="Z290" i="18"/>
  <c r="AA290" i="18"/>
  <c r="AC290" i="18"/>
  <c r="AD290" i="18"/>
  <c r="AE290" i="18"/>
  <c r="Y291" i="18"/>
  <c r="Z291" i="18"/>
  <c r="AA291" i="18"/>
  <c r="AC291" i="18"/>
  <c r="AD291" i="18"/>
  <c r="AE291" i="18"/>
  <c r="Y292" i="18"/>
  <c r="Z292" i="18"/>
  <c r="AA292" i="18"/>
  <c r="AC292" i="18"/>
  <c r="AD292" i="18"/>
  <c r="AE292" i="18"/>
  <c r="Y293" i="18"/>
  <c r="Z293" i="18"/>
  <c r="AA293" i="18"/>
  <c r="AC293" i="18"/>
  <c r="AD293" i="18"/>
  <c r="AE293" i="18"/>
  <c r="Y294" i="18"/>
  <c r="Z294" i="18"/>
  <c r="AA294" i="18"/>
  <c r="AC294" i="18"/>
  <c r="AD294" i="18"/>
  <c r="AE294" i="18"/>
  <c r="Y295" i="18"/>
  <c r="Z295" i="18"/>
  <c r="AA295" i="18"/>
  <c r="AC295" i="18"/>
  <c r="AD295" i="18"/>
  <c r="AE295" i="18"/>
  <c r="Y296" i="18"/>
  <c r="Z296" i="18"/>
  <c r="AA296" i="18"/>
  <c r="AC296" i="18"/>
  <c r="AD296" i="18"/>
  <c r="AE296" i="18"/>
  <c r="Y297" i="18"/>
  <c r="Z297" i="18"/>
  <c r="AA297" i="18"/>
  <c r="AC297" i="18"/>
  <c r="AD297" i="18"/>
  <c r="AE297" i="18"/>
  <c r="Y298" i="18"/>
  <c r="Z298" i="18"/>
  <c r="AA298" i="18"/>
  <c r="AC298" i="18"/>
  <c r="AD298" i="18"/>
  <c r="AE298" i="18"/>
  <c r="Y299" i="18"/>
  <c r="Z299" i="18"/>
  <c r="AA299" i="18"/>
  <c r="AC299" i="18"/>
  <c r="AD299" i="18"/>
  <c r="AE299" i="18"/>
  <c r="Y300" i="18"/>
  <c r="Z300" i="18"/>
  <c r="AA300" i="18"/>
  <c r="AC300" i="18"/>
  <c r="AD300" i="18"/>
  <c r="AE300" i="18"/>
  <c r="Y301" i="18"/>
  <c r="Z301" i="18"/>
  <c r="AA301" i="18"/>
  <c r="AC301" i="18"/>
  <c r="AD301" i="18"/>
  <c r="AE301" i="18"/>
  <c r="Y302" i="18"/>
  <c r="D307" i="4"/>
  <c r="Z302" i="18"/>
  <c r="AA302" i="18"/>
  <c r="AC302" i="18"/>
  <c r="AD302" i="18"/>
  <c r="AE302" i="18"/>
  <c r="Y303" i="18"/>
  <c r="Z303" i="18"/>
  <c r="AA303" i="18"/>
  <c r="AC303" i="18"/>
  <c r="AD303" i="18"/>
  <c r="AE303" i="18"/>
  <c r="Y304" i="18"/>
  <c r="Z304" i="18"/>
  <c r="AA304" i="18"/>
  <c r="AC304" i="18"/>
  <c r="AD304" i="18"/>
  <c r="AE304" i="18"/>
  <c r="Y305" i="18"/>
  <c r="Z305" i="18"/>
  <c r="AA305" i="18"/>
  <c r="AC305" i="18"/>
  <c r="AD305" i="18"/>
  <c r="AE305" i="18"/>
  <c r="Y306" i="18"/>
  <c r="Z306" i="18"/>
  <c r="AA306" i="18"/>
  <c r="AC306" i="18"/>
  <c r="AD306" i="18"/>
  <c r="AE306" i="18"/>
  <c r="Y307" i="18"/>
  <c r="Z307" i="18"/>
  <c r="AA307" i="18"/>
  <c r="AC307" i="18"/>
  <c r="AD307" i="18"/>
  <c r="AE307" i="18"/>
  <c r="Y308" i="18"/>
  <c r="Z308" i="18"/>
  <c r="AA308" i="18"/>
  <c r="AC308" i="18"/>
  <c r="AD308" i="18"/>
  <c r="AE308" i="18"/>
  <c r="Y309" i="18"/>
  <c r="Z309" i="18"/>
  <c r="AA309" i="18"/>
  <c r="AC309" i="18"/>
  <c r="AD309" i="18"/>
  <c r="AE309" i="18"/>
  <c r="Y310" i="18"/>
  <c r="Z310" i="18"/>
  <c r="AA310" i="18"/>
  <c r="AC310" i="18"/>
  <c r="AD310" i="18"/>
  <c r="AE310" i="18"/>
  <c r="Y311" i="18"/>
  <c r="Z311" i="18"/>
  <c r="AA311" i="18"/>
  <c r="AC311" i="18"/>
  <c r="AD311" i="18"/>
  <c r="AE311" i="18"/>
  <c r="Z312" i="18"/>
  <c r="AA312" i="18"/>
  <c r="AC312" i="18"/>
  <c r="AD312" i="18"/>
  <c r="AE312" i="18"/>
  <c r="Z313" i="18"/>
  <c r="AA313" i="18"/>
  <c r="AC313" i="18"/>
  <c r="AD313" i="18"/>
  <c r="AE313" i="18"/>
  <c r="Y314" i="18"/>
  <c r="Z314" i="18"/>
  <c r="AA314" i="18"/>
  <c r="AC314" i="18"/>
  <c r="AD314" i="18"/>
  <c r="AE314" i="18"/>
  <c r="Y315" i="18"/>
  <c r="D312" i="4"/>
  <c r="Z315" i="18"/>
  <c r="AA315" i="18"/>
  <c r="AC315" i="18"/>
  <c r="AD315" i="18"/>
  <c r="AE315" i="18"/>
  <c r="Y316" i="18"/>
  <c r="Z316" i="18"/>
  <c r="AA316" i="18"/>
  <c r="AC316" i="18"/>
  <c r="AD316" i="18"/>
  <c r="AE316" i="18"/>
  <c r="Y317" i="18"/>
  <c r="D313" i="4"/>
  <c r="Z317" i="18"/>
  <c r="AA317" i="18"/>
  <c r="AC317" i="18"/>
  <c r="AD317" i="18"/>
  <c r="AE317" i="18"/>
  <c r="Y318" i="18"/>
  <c r="Z318" i="18"/>
  <c r="AA318" i="18"/>
  <c r="AC318" i="18"/>
  <c r="AD318" i="18"/>
  <c r="AE318" i="18"/>
  <c r="Y319" i="18"/>
  <c r="Z319" i="18"/>
  <c r="AA319" i="18"/>
  <c r="AC319" i="18"/>
  <c r="AD319" i="18"/>
  <c r="AE319" i="18"/>
  <c r="Y320" i="18"/>
  <c r="Z320" i="18"/>
  <c r="AA320" i="18"/>
  <c r="AC320" i="18"/>
  <c r="AD320" i="18"/>
  <c r="AE320" i="18"/>
  <c r="Y321" i="18"/>
  <c r="Z321" i="18"/>
  <c r="AA321" i="18"/>
  <c r="AC321" i="18"/>
  <c r="AD321" i="18"/>
  <c r="AE321" i="18"/>
  <c r="Z322" i="18"/>
  <c r="AA322" i="18"/>
  <c r="AC322" i="18"/>
  <c r="AD322" i="18"/>
  <c r="AE322" i="18"/>
  <c r="Y323" i="18"/>
  <c r="Z323" i="18"/>
  <c r="AA323" i="18"/>
  <c r="AC323" i="18"/>
  <c r="AD323" i="18"/>
  <c r="AE323" i="18"/>
  <c r="Y324" i="18"/>
  <c r="Z324" i="18"/>
  <c r="AA324" i="18"/>
  <c r="AC324" i="18"/>
  <c r="AD324" i="18"/>
  <c r="AE324" i="18"/>
  <c r="Y325" i="18"/>
  <c r="Z325" i="18"/>
  <c r="AA325" i="18"/>
  <c r="AC325" i="18"/>
  <c r="AD325" i="18"/>
  <c r="AE325" i="18"/>
  <c r="Y326" i="18"/>
  <c r="Z326" i="18"/>
  <c r="AA326" i="18"/>
  <c r="AC326" i="18"/>
  <c r="AD326" i="18"/>
  <c r="AE326" i="18"/>
  <c r="Y327" i="18"/>
  <c r="Z327" i="18"/>
  <c r="AA327" i="18"/>
  <c r="AC327" i="18"/>
  <c r="AD327" i="18"/>
  <c r="AE327" i="18"/>
  <c r="Y328" i="18"/>
  <c r="Z328" i="18"/>
  <c r="AA328" i="18"/>
  <c r="AC328" i="18"/>
  <c r="AD328" i="18"/>
  <c r="AE328" i="18"/>
  <c r="Y329" i="18"/>
  <c r="D316" i="4"/>
  <c r="Z329" i="18"/>
  <c r="AA329" i="18"/>
  <c r="AC329" i="18"/>
  <c r="AD329" i="18"/>
  <c r="AE329" i="18"/>
  <c r="Y330" i="18"/>
  <c r="Z330" i="18"/>
  <c r="AA330" i="18"/>
  <c r="AC330" i="18"/>
  <c r="AD330" i="18"/>
  <c r="AE330" i="18"/>
  <c r="Y331" i="18"/>
  <c r="Z331" i="18"/>
  <c r="AA331" i="18"/>
  <c r="AC331" i="18"/>
  <c r="AD331" i="18"/>
  <c r="AE331" i="18"/>
  <c r="Y332" i="18"/>
  <c r="Z332" i="18"/>
  <c r="AA332" i="18"/>
  <c r="AC332" i="18"/>
  <c r="AD332" i="18"/>
  <c r="AE332" i="18"/>
  <c r="Y333" i="18"/>
  <c r="Z333" i="18"/>
  <c r="AA333" i="18"/>
  <c r="AC333" i="18"/>
  <c r="AD333" i="18"/>
  <c r="AE333" i="18"/>
  <c r="Y334" i="18"/>
  <c r="Z334" i="18"/>
  <c r="AA334" i="18"/>
  <c r="AC334" i="18"/>
  <c r="AD334" i="18"/>
  <c r="AE334" i="18"/>
  <c r="Y335" i="18"/>
  <c r="D322" i="4"/>
  <c r="Z335" i="18"/>
  <c r="AA335" i="18"/>
  <c r="AC335" i="18"/>
  <c r="AD335" i="18"/>
  <c r="AE335" i="18"/>
  <c r="Y336" i="18"/>
  <c r="Z336" i="18"/>
  <c r="AA336" i="18"/>
  <c r="AC336" i="18"/>
  <c r="AD336" i="18"/>
  <c r="AE336" i="18"/>
  <c r="Y337" i="18"/>
  <c r="Z337" i="18"/>
  <c r="AA337" i="18"/>
  <c r="AC337" i="18"/>
  <c r="AD337" i="18"/>
  <c r="AE337" i="18"/>
  <c r="Z338" i="18"/>
  <c r="AA338" i="18"/>
  <c r="AC338" i="18"/>
  <c r="AD338" i="18"/>
  <c r="Y339" i="18"/>
  <c r="Z339" i="18"/>
  <c r="AA339" i="18"/>
  <c r="AC339" i="18"/>
  <c r="AD339" i="18"/>
  <c r="AE339" i="18"/>
  <c r="Y340" i="18"/>
  <c r="D325" i="4"/>
  <c r="Z340" i="18"/>
  <c r="AA340" i="18"/>
  <c r="AC340" i="18"/>
  <c r="AD340" i="18"/>
  <c r="AE340" i="18"/>
  <c r="Y341" i="18"/>
  <c r="D326" i="4"/>
  <c r="Z341" i="18"/>
  <c r="AA341" i="18"/>
  <c r="AC341" i="18"/>
  <c r="AD341" i="18"/>
  <c r="AE341" i="18"/>
  <c r="Y342" i="18"/>
  <c r="Z342" i="18"/>
  <c r="AA342" i="18"/>
  <c r="AC342" i="18"/>
  <c r="AD342" i="18"/>
  <c r="AE342" i="18"/>
  <c r="Y343" i="18"/>
  <c r="Z343" i="18"/>
  <c r="AA343" i="18"/>
  <c r="AC343" i="18"/>
  <c r="AD343" i="18"/>
  <c r="AE343" i="18"/>
  <c r="Y344" i="18"/>
  <c r="Z344" i="18"/>
  <c r="AA344" i="18"/>
  <c r="AC344" i="18"/>
  <c r="AD344" i="18"/>
  <c r="AE344" i="18"/>
  <c r="Y345" i="18"/>
  <c r="Z345" i="18"/>
  <c r="AA345" i="18"/>
  <c r="AC345" i="18"/>
  <c r="AD345" i="18"/>
  <c r="AE345" i="18"/>
  <c r="Y346" i="18"/>
  <c r="D331" i="4"/>
  <c r="Z346" i="18"/>
  <c r="AA346" i="18"/>
  <c r="AC346" i="18"/>
  <c r="AD346" i="18"/>
  <c r="AE346" i="18"/>
  <c r="Y347" i="18"/>
  <c r="Z347" i="18"/>
  <c r="AA347" i="18"/>
  <c r="AC347" i="18"/>
  <c r="AD347" i="18"/>
  <c r="AE347" i="18"/>
  <c r="Y348" i="18"/>
  <c r="Z348" i="18"/>
  <c r="AA348" i="18"/>
  <c r="AC348" i="18"/>
  <c r="AD348" i="18"/>
  <c r="AE348" i="18"/>
  <c r="Y349" i="18"/>
  <c r="D334" i="4"/>
  <c r="Z349" i="18"/>
  <c r="AC349" i="18"/>
  <c r="AD349" i="18"/>
  <c r="AE349" i="18"/>
  <c r="Y350" i="18"/>
  <c r="Z350" i="18"/>
  <c r="AA350" i="18"/>
  <c r="AC350" i="18"/>
  <c r="AD350" i="18"/>
  <c r="AE350" i="18"/>
  <c r="Y351" i="18"/>
  <c r="Z351" i="18"/>
  <c r="AA351" i="18"/>
  <c r="AC351" i="18"/>
  <c r="AD351" i="18"/>
  <c r="AE351" i="18"/>
  <c r="Y352" i="18"/>
  <c r="Z352" i="18"/>
  <c r="AA352" i="18"/>
  <c r="AC352" i="18"/>
  <c r="AD352" i="18"/>
  <c r="AE352" i="18"/>
  <c r="Y353" i="18"/>
  <c r="Z353" i="18"/>
  <c r="AA353" i="18"/>
  <c r="AC353" i="18"/>
  <c r="AD353" i="18"/>
  <c r="AE353" i="18"/>
  <c r="Y354" i="18"/>
  <c r="Z354" i="18"/>
  <c r="AA354" i="18"/>
  <c r="AC354" i="18"/>
  <c r="AD354" i="18"/>
  <c r="AE354" i="18"/>
  <c r="Y355" i="18"/>
  <c r="Z355" i="18"/>
  <c r="AA355" i="18"/>
  <c r="AC355" i="18"/>
  <c r="AD355" i="18"/>
  <c r="AE355" i="18"/>
  <c r="Y356" i="18"/>
  <c r="D338" i="4"/>
  <c r="Z356" i="18"/>
  <c r="AA356" i="18"/>
  <c r="AC356" i="18"/>
  <c r="AD356" i="18"/>
  <c r="AE356" i="18"/>
  <c r="Y357" i="18"/>
  <c r="Z357" i="18"/>
  <c r="AA357" i="18"/>
  <c r="AC357" i="18"/>
  <c r="AD357" i="18"/>
  <c r="AE357" i="18"/>
  <c r="Y358" i="18"/>
  <c r="Z358" i="18"/>
  <c r="AA358" i="18"/>
  <c r="AC358" i="18"/>
  <c r="AD358" i="18"/>
  <c r="AE358" i="18"/>
  <c r="Y359" i="18"/>
  <c r="Z359" i="18"/>
  <c r="AA359" i="18"/>
  <c r="AC359" i="18"/>
  <c r="AD359" i="18"/>
  <c r="AE359" i="18"/>
  <c r="Y360" i="18"/>
  <c r="Z360" i="18"/>
  <c r="AA360" i="18"/>
  <c r="AC360" i="18"/>
  <c r="AD360" i="18"/>
  <c r="AE360" i="18"/>
  <c r="Y361" i="18"/>
  <c r="Z361" i="18"/>
  <c r="AA361" i="18"/>
  <c r="AC361" i="18"/>
  <c r="AD361" i="18"/>
  <c r="AE361" i="18"/>
  <c r="Y362" i="18"/>
  <c r="Z362" i="18"/>
  <c r="AA362" i="18"/>
  <c r="AC362" i="18"/>
  <c r="AD362" i="18"/>
  <c r="AE362" i="18"/>
  <c r="Y363" i="18"/>
  <c r="Z363" i="18"/>
  <c r="AA363" i="18"/>
  <c r="AC363" i="18"/>
  <c r="AD363" i="18"/>
  <c r="AE363" i="18"/>
  <c r="Y364" i="18"/>
  <c r="Z364" i="18"/>
  <c r="AA364" i="18"/>
  <c r="AC364" i="18"/>
  <c r="AD364" i="18"/>
  <c r="AE364" i="18"/>
  <c r="Y365" i="18"/>
  <c r="Z365" i="18"/>
  <c r="AA365" i="18"/>
  <c r="AC365" i="18"/>
  <c r="AD365" i="18"/>
  <c r="AE365" i="18"/>
  <c r="Y366" i="18"/>
  <c r="Z366" i="18"/>
  <c r="AA366" i="18"/>
  <c r="AC366" i="18"/>
  <c r="AD366" i="18"/>
  <c r="AE366" i="18"/>
  <c r="Y367" i="18"/>
  <c r="Z367" i="18"/>
  <c r="AA367" i="18"/>
  <c r="AC367" i="18"/>
  <c r="AD367" i="18"/>
  <c r="AE367" i="18"/>
  <c r="Y368" i="18"/>
  <c r="D343" i="4"/>
  <c r="Z368" i="18"/>
  <c r="AA368" i="18"/>
  <c r="AC368" i="18"/>
  <c r="AD368" i="18"/>
  <c r="AE368" i="18"/>
  <c r="Y369" i="18"/>
  <c r="D344" i="4"/>
  <c r="Z369" i="18"/>
  <c r="AA369" i="18"/>
  <c r="AC369" i="18"/>
  <c r="AD369" i="18"/>
  <c r="AE369" i="18"/>
  <c r="Y370" i="18"/>
  <c r="Z370" i="18"/>
  <c r="AA370" i="18"/>
  <c r="AC370" i="18"/>
  <c r="AD370" i="18"/>
  <c r="AE370" i="18"/>
  <c r="Y371" i="18"/>
  <c r="Z371" i="18"/>
  <c r="AA371" i="18"/>
  <c r="AC371" i="18"/>
  <c r="AD371" i="18"/>
  <c r="AE371" i="18"/>
  <c r="Y372" i="18"/>
  <c r="Z372" i="18"/>
  <c r="AA372" i="18"/>
  <c r="AC372" i="18"/>
  <c r="AD372" i="18"/>
  <c r="AE372" i="18"/>
  <c r="Y373" i="18"/>
  <c r="Z373" i="18"/>
  <c r="AA373" i="18"/>
  <c r="AC373" i="18"/>
  <c r="AD373" i="18"/>
  <c r="AE373" i="18"/>
  <c r="Y374" i="18"/>
  <c r="Z374" i="18"/>
  <c r="AA374" i="18"/>
  <c r="AC374" i="18"/>
  <c r="AD374" i="18"/>
  <c r="AE374" i="18"/>
  <c r="Y375" i="18"/>
  <c r="Z375" i="18"/>
  <c r="AA375" i="18"/>
  <c r="AC375" i="18"/>
  <c r="AD375" i="18"/>
  <c r="AE375" i="18"/>
  <c r="Y376" i="18"/>
  <c r="Z376" i="18"/>
  <c r="AA376" i="18"/>
  <c r="AC376" i="18"/>
  <c r="AD376" i="18"/>
  <c r="AE376" i="18"/>
  <c r="Y377" i="18"/>
  <c r="Z377" i="18"/>
  <c r="AA377" i="18"/>
  <c r="AC377" i="18"/>
  <c r="AD377" i="18"/>
  <c r="AE377" i="18"/>
  <c r="Y378" i="18"/>
  <c r="Z378" i="18"/>
  <c r="AA378" i="18"/>
  <c r="AC378" i="18"/>
  <c r="AD378" i="18"/>
  <c r="AE378" i="18"/>
  <c r="Y379" i="18"/>
  <c r="Z379" i="18"/>
  <c r="AA379" i="18"/>
  <c r="AC379" i="18"/>
  <c r="AD379" i="18"/>
  <c r="AE379" i="18"/>
  <c r="Y380" i="18"/>
  <c r="Z380" i="18"/>
  <c r="AA380" i="18"/>
  <c r="AC380" i="18"/>
  <c r="AD380" i="18"/>
  <c r="AE380" i="18"/>
  <c r="Y381" i="18"/>
  <c r="Z381" i="18"/>
  <c r="AA381" i="18"/>
  <c r="AC381" i="18"/>
  <c r="AD381" i="18"/>
  <c r="AE381" i="18"/>
  <c r="Y382" i="18"/>
  <c r="Z382" i="18"/>
  <c r="AA382" i="18"/>
  <c r="AC382" i="18"/>
  <c r="AD382" i="18"/>
  <c r="AE382" i="18"/>
  <c r="Y383" i="18"/>
  <c r="Z383" i="18"/>
  <c r="AA383" i="18"/>
  <c r="AC383" i="18"/>
  <c r="AD383" i="18"/>
  <c r="AE383" i="18"/>
  <c r="Z384" i="18"/>
  <c r="AA384" i="18"/>
  <c r="AC384" i="18"/>
  <c r="AD384" i="18"/>
  <c r="AE384" i="18"/>
  <c r="Z385" i="18"/>
  <c r="AA385" i="18"/>
  <c r="AC385" i="18"/>
  <c r="AD385" i="18"/>
  <c r="AE385" i="18"/>
  <c r="Z386" i="18"/>
  <c r="AA386" i="18"/>
  <c r="AC386" i="18"/>
  <c r="AD386" i="18"/>
  <c r="AE386" i="18"/>
  <c r="Z387" i="18"/>
  <c r="AA387" i="18"/>
  <c r="AC387" i="18"/>
  <c r="AD387" i="18"/>
  <c r="AE387" i="18"/>
  <c r="Z388" i="18"/>
  <c r="AA388" i="18"/>
  <c r="AC388" i="18"/>
  <c r="AD388" i="18"/>
  <c r="AE388" i="18"/>
  <c r="Y389" i="18"/>
  <c r="Z389" i="18"/>
  <c r="AA389" i="18"/>
  <c r="AC389" i="18"/>
  <c r="AD389" i="18"/>
  <c r="AE389" i="18"/>
  <c r="Z390" i="18"/>
  <c r="AA390" i="18"/>
  <c r="AC390" i="18"/>
  <c r="AD390" i="18"/>
  <c r="AE390" i="18"/>
  <c r="Y391" i="18"/>
  <c r="Z391" i="18"/>
  <c r="AA391" i="18"/>
  <c r="AC391" i="18"/>
  <c r="AD391" i="18"/>
  <c r="AE391" i="18"/>
  <c r="Y392" i="18"/>
  <c r="Z392" i="18"/>
  <c r="AA392" i="18"/>
  <c r="AC392" i="18"/>
  <c r="AD392" i="18"/>
  <c r="AE392" i="18"/>
  <c r="Y393" i="18"/>
  <c r="Z393" i="18"/>
  <c r="AA393" i="18"/>
  <c r="AC393" i="18"/>
  <c r="AD393" i="18"/>
  <c r="AE393" i="18"/>
  <c r="Y394" i="18"/>
  <c r="Z394" i="18"/>
  <c r="AA394" i="18"/>
  <c r="AC394" i="18"/>
  <c r="AD394" i="18"/>
  <c r="AE394" i="18"/>
  <c r="Y395" i="18"/>
  <c r="Z395" i="18"/>
  <c r="AA395" i="18"/>
  <c r="AC395" i="18"/>
  <c r="AD395" i="18"/>
  <c r="AE395" i="18"/>
  <c r="Y396" i="18"/>
  <c r="Z396" i="18"/>
  <c r="AA396" i="18"/>
  <c r="AC396" i="18"/>
  <c r="AD396" i="18"/>
  <c r="AE396" i="18"/>
  <c r="Y397" i="18"/>
  <c r="Z397" i="18"/>
  <c r="AA397" i="18"/>
  <c r="AC397" i="18"/>
  <c r="AD397" i="18"/>
  <c r="AE397" i="18"/>
  <c r="Y398" i="18"/>
  <c r="Z398" i="18"/>
  <c r="AA398" i="18"/>
  <c r="AC398" i="18"/>
  <c r="AD398" i="18"/>
  <c r="AE398" i="18"/>
  <c r="Y399" i="18"/>
  <c r="Z399" i="18"/>
  <c r="AA399" i="18"/>
  <c r="AC399" i="18"/>
  <c r="AD399" i="18"/>
  <c r="AE399" i="18"/>
  <c r="Y400" i="18"/>
  <c r="Z400" i="18"/>
  <c r="AA400" i="18"/>
  <c r="AC400" i="18"/>
  <c r="AD400" i="18"/>
  <c r="AE400" i="18"/>
  <c r="Y401" i="18"/>
  <c r="Z401" i="18"/>
  <c r="AA401" i="18"/>
  <c r="AC401" i="18"/>
  <c r="AD401" i="18"/>
  <c r="AE401" i="18"/>
  <c r="Y402" i="18"/>
  <c r="D355" i="4"/>
  <c r="Z402" i="18"/>
  <c r="AA402" i="18"/>
  <c r="AC402" i="18"/>
  <c r="AD402" i="18"/>
  <c r="AE402" i="18"/>
  <c r="Y403" i="18"/>
  <c r="Z403" i="18"/>
  <c r="AA403" i="18"/>
  <c r="AC403" i="18"/>
  <c r="AD403" i="18"/>
  <c r="AE403" i="18"/>
  <c r="Y404" i="18"/>
  <c r="Z404" i="18"/>
  <c r="AA404" i="18"/>
  <c r="AC404" i="18"/>
  <c r="AD404" i="18"/>
  <c r="AE404" i="18"/>
  <c r="Y405" i="18"/>
  <c r="Z405" i="18"/>
  <c r="AA405" i="18"/>
  <c r="AC405" i="18"/>
  <c r="AD405" i="18"/>
  <c r="AE405" i="18"/>
  <c r="Y406" i="18"/>
  <c r="Z406" i="18"/>
  <c r="AA406" i="18"/>
  <c r="AC406" i="18"/>
  <c r="AD406" i="18"/>
  <c r="AE406" i="18"/>
  <c r="Y407" i="18"/>
  <c r="Z407" i="18"/>
  <c r="AA407" i="18"/>
  <c r="AC407" i="18"/>
  <c r="AD407" i="18"/>
  <c r="AE407" i="18"/>
  <c r="Y408" i="18"/>
  <c r="Z408" i="18"/>
  <c r="AA408" i="18"/>
  <c r="AC408" i="18"/>
  <c r="AD408" i="18"/>
  <c r="AE408" i="18"/>
  <c r="Y409" i="18"/>
  <c r="Z409" i="18"/>
  <c r="AA409" i="18"/>
  <c r="AC409" i="18"/>
  <c r="AD409" i="18"/>
  <c r="AE409" i="18"/>
  <c r="Y410" i="18"/>
  <c r="Z410" i="18"/>
  <c r="AA410" i="18"/>
  <c r="AC410" i="18"/>
  <c r="AD410" i="18"/>
  <c r="AE410" i="18"/>
  <c r="Y411" i="18"/>
  <c r="Z411" i="18"/>
  <c r="AA411" i="18"/>
  <c r="AC411" i="18"/>
  <c r="AD411" i="18"/>
  <c r="AE411" i="18"/>
  <c r="Y412" i="18"/>
  <c r="Z412" i="18"/>
  <c r="AA412" i="18"/>
  <c r="AC412" i="18"/>
  <c r="AD412" i="18"/>
  <c r="AE412" i="18"/>
  <c r="Y413" i="18"/>
  <c r="Z413" i="18"/>
  <c r="AA413" i="18"/>
  <c r="AC413" i="18"/>
  <c r="AD413" i="18"/>
  <c r="AE413" i="18"/>
  <c r="Y414" i="18"/>
  <c r="D362" i="4"/>
  <c r="Z414" i="18"/>
  <c r="AA414" i="18"/>
  <c r="AC414" i="18"/>
  <c r="AD414" i="18"/>
  <c r="AE414" i="18"/>
  <c r="Y415" i="18"/>
  <c r="Z415" i="18"/>
  <c r="AA415" i="18"/>
  <c r="AC415" i="18"/>
  <c r="AD415" i="18"/>
  <c r="AE415" i="18"/>
  <c r="Y416" i="18"/>
  <c r="AA416" i="18"/>
  <c r="AC416" i="18"/>
  <c r="AD416" i="18"/>
  <c r="AE416" i="18"/>
  <c r="Y417" i="18"/>
  <c r="D365" i="4"/>
  <c r="AA417" i="18"/>
  <c r="AC417" i="18"/>
  <c r="AD417" i="18"/>
  <c r="AE417" i="18"/>
  <c r="Y418" i="18"/>
  <c r="Z418" i="18"/>
  <c r="AA418" i="18"/>
  <c r="AC418" i="18"/>
  <c r="AD418" i="18"/>
  <c r="AE418" i="18"/>
  <c r="Y419" i="18"/>
  <c r="D367" i="4"/>
  <c r="Z419" i="18"/>
  <c r="AA419" i="18"/>
  <c r="AC419" i="18"/>
  <c r="AD419" i="18"/>
  <c r="AE419" i="18"/>
  <c r="Y420" i="18"/>
  <c r="Z420" i="18"/>
  <c r="AA420" i="18"/>
  <c r="AC420" i="18"/>
  <c r="AD420" i="18"/>
  <c r="AE420" i="18"/>
  <c r="Y421" i="18"/>
  <c r="Z421" i="18"/>
  <c r="AA421" i="18"/>
  <c r="AC421" i="18"/>
  <c r="AD421" i="18"/>
  <c r="AE421" i="18"/>
  <c r="Y422" i="18"/>
  <c r="Z422" i="18"/>
  <c r="AA422" i="18"/>
  <c r="AC422" i="18"/>
  <c r="AD422" i="18"/>
  <c r="AE422" i="18"/>
  <c r="Y423" i="18"/>
  <c r="Z423" i="18"/>
  <c r="AA423" i="18"/>
  <c r="AC423" i="18"/>
  <c r="AD423" i="18"/>
  <c r="AE423" i="18"/>
  <c r="Y424" i="18"/>
  <c r="D369" i="4"/>
  <c r="Z424" i="18"/>
  <c r="AA424" i="18"/>
  <c r="AC424" i="18"/>
  <c r="AD424" i="18"/>
  <c r="AE424" i="18"/>
  <c r="Y425" i="18"/>
  <c r="D370" i="4"/>
  <c r="Z425" i="18"/>
  <c r="AA425" i="18"/>
  <c r="AC425" i="18"/>
  <c r="AD425" i="18"/>
  <c r="AE425" i="18"/>
  <c r="Y426" i="18"/>
  <c r="Z426" i="18"/>
  <c r="AA426" i="18"/>
  <c r="AC426" i="18"/>
  <c r="AD426" i="18"/>
  <c r="AE426" i="18"/>
  <c r="Y427" i="18"/>
  <c r="Z427" i="18"/>
  <c r="AA427" i="18"/>
  <c r="AC427" i="18"/>
  <c r="AD427" i="18"/>
  <c r="AE427" i="18"/>
  <c r="Y428" i="18"/>
  <c r="Z428" i="18"/>
  <c r="AA428" i="18"/>
  <c r="AC428" i="18"/>
  <c r="AD428" i="18"/>
  <c r="AE428" i="18"/>
  <c r="Y429" i="18"/>
  <c r="Z429" i="18"/>
  <c r="AA429" i="18"/>
  <c r="AC429" i="18"/>
  <c r="AD429" i="18"/>
  <c r="AE429" i="18"/>
  <c r="Y430" i="18"/>
  <c r="Z430" i="18"/>
  <c r="AA430" i="18"/>
  <c r="AC430" i="18"/>
  <c r="AD430" i="18"/>
  <c r="AE430" i="18"/>
  <c r="Y431" i="18"/>
  <c r="D373" i="4"/>
  <c r="Z431" i="18"/>
  <c r="AA431" i="18"/>
  <c r="AC431" i="18"/>
  <c r="AD431" i="18"/>
  <c r="AE431" i="18"/>
  <c r="Y432" i="18"/>
  <c r="Z432" i="18"/>
  <c r="AA432" i="18"/>
  <c r="AC432" i="18"/>
  <c r="AD432" i="18"/>
  <c r="AE432" i="18"/>
  <c r="Y433" i="18"/>
  <c r="Z433" i="18"/>
  <c r="AA433" i="18"/>
  <c r="AC433" i="18"/>
  <c r="AD433" i="18"/>
  <c r="AE433" i="18"/>
  <c r="Y434" i="18"/>
  <c r="Z434" i="18"/>
  <c r="AA434" i="18"/>
  <c r="AC434" i="18"/>
  <c r="AD434" i="18"/>
  <c r="AE434" i="18"/>
  <c r="Y435" i="18"/>
  <c r="Z435" i="18"/>
  <c r="AA435" i="18"/>
  <c r="AC435" i="18"/>
  <c r="AD435" i="18"/>
  <c r="AE435" i="18"/>
  <c r="Y436" i="18"/>
  <c r="Z436" i="18"/>
  <c r="AA436" i="18"/>
  <c r="AC436" i="18"/>
  <c r="AD436" i="18"/>
  <c r="AE436" i="18"/>
  <c r="Z437" i="18"/>
  <c r="AA437" i="18"/>
  <c r="AC437" i="18"/>
  <c r="AD437" i="18"/>
  <c r="AE437" i="18"/>
  <c r="Y438" i="18"/>
  <c r="Z438" i="18"/>
  <c r="AA438" i="18"/>
  <c r="AC438" i="18"/>
  <c r="AD438" i="18"/>
  <c r="AE438" i="18"/>
  <c r="Y439" i="18"/>
  <c r="Z439" i="18"/>
  <c r="AA439" i="18"/>
  <c r="AC439" i="18"/>
  <c r="AD439" i="18"/>
  <c r="AE439" i="18"/>
  <c r="Y440" i="18"/>
  <c r="Z440" i="18"/>
  <c r="AA440" i="18"/>
  <c r="AC440" i="18"/>
  <c r="AD440" i="18"/>
  <c r="AE440" i="18"/>
  <c r="Y441" i="18"/>
  <c r="Z441" i="18"/>
  <c r="AA441" i="18"/>
  <c r="AC441" i="18"/>
  <c r="AD441" i="18"/>
  <c r="AE441" i="18"/>
  <c r="Y442" i="18"/>
  <c r="Z442" i="18"/>
  <c r="AA442" i="18"/>
  <c r="AC442" i="18"/>
  <c r="AD442" i="18"/>
  <c r="AE442" i="18"/>
  <c r="Y443" i="18"/>
  <c r="Z443" i="18"/>
  <c r="AA443" i="18"/>
  <c r="AC443" i="18"/>
  <c r="AD443" i="18"/>
  <c r="AE443" i="18"/>
  <c r="Y444" i="18"/>
  <c r="Z444" i="18"/>
  <c r="AA444" i="18"/>
  <c r="AC444" i="18"/>
  <c r="AD444" i="18"/>
  <c r="AE444" i="18"/>
  <c r="Y445" i="18"/>
  <c r="Z445" i="18"/>
  <c r="AA445" i="18"/>
  <c r="AC445" i="18"/>
  <c r="AD445" i="18"/>
  <c r="AE445" i="18"/>
  <c r="Y446" i="18"/>
  <c r="Z446" i="18"/>
  <c r="AA446" i="18"/>
  <c r="AC446" i="18"/>
  <c r="AD446" i="18"/>
  <c r="AE446" i="18"/>
  <c r="Y447" i="18"/>
  <c r="Z447" i="18"/>
  <c r="AA447" i="18"/>
  <c r="AC447" i="18"/>
  <c r="AD447" i="18"/>
  <c r="AE447" i="18"/>
  <c r="Y448" i="18"/>
  <c r="Z448" i="18"/>
  <c r="AA448" i="18"/>
  <c r="AC448" i="18"/>
  <c r="AD448" i="18"/>
  <c r="AE448" i="18"/>
  <c r="Y449" i="18"/>
  <c r="Z449" i="18"/>
  <c r="AA449" i="18"/>
  <c r="AC449" i="18"/>
  <c r="AD449" i="18"/>
  <c r="AE449" i="18"/>
  <c r="Y450" i="18"/>
  <c r="D382" i="4"/>
  <c r="Z450" i="18"/>
  <c r="AA450" i="18"/>
  <c r="AC450" i="18"/>
  <c r="AD450" i="18"/>
  <c r="AE450" i="18"/>
  <c r="Y451" i="18"/>
  <c r="Z451" i="18"/>
  <c r="AA451" i="18"/>
  <c r="AC451" i="18"/>
  <c r="AD451" i="18"/>
  <c r="AE451" i="18"/>
  <c r="Y452" i="18"/>
  <c r="Z452" i="18"/>
  <c r="AA452" i="18"/>
  <c r="AC452" i="18"/>
  <c r="AD452" i="18"/>
  <c r="AE452" i="18"/>
  <c r="Y453" i="18"/>
  <c r="Z453" i="18"/>
  <c r="AA453" i="18"/>
  <c r="AC453" i="18"/>
  <c r="AD453" i="18"/>
  <c r="AE453" i="18"/>
  <c r="Y454" i="18"/>
  <c r="Z454" i="18"/>
  <c r="AA454" i="18"/>
  <c r="AC454" i="18"/>
  <c r="AD454" i="18"/>
  <c r="AE454" i="18"/>
  <c r="Y455" i="18"/>
  <c r="Z455" i="18"/>
  <c r="AA455" i="18"/>
  <c r="AC455" i="18"/>
  <c r="AD455" i="18"/>
  <c r="AE455" i="18"/>
  <c r="AC456" i="18"/>
  <c r="AD456" i="18"/>
  <c r="AE456" i="18"/>
  <c r="Y457" i="18"/>
  <c r="Z457" i="18"/>
  <c r="AC457" i="18"/>
  <c r="AD457" i="18"/>
  <c r="AE457" i="18"/>
  <c r="Y458" i="18"/>
  <c r="Z458" i="18"/>
  <c r="AA458" i="18"/>
  <c r="AC458" i="18"/>
  <c r="AD458" i="18"/>
  <c r="AE458" i="18"/>
  <c r="Y459" i="18"/>
  <c r="Z459" i="18"/>
  <c r="AA459" i="18"/>
  <c r="AC459" i="18"/>
  <c r="AD459" i="18"/>
  <c r="AE459" i="18"/>
  <c r="Y460" i="18"/>
  <c r="Z460" i="18"/>
  <c r="AA460" i="18"/>
  <c r="AC460" i="18"/>
  <c r="AD460" i="18"/>
  <c r="AE460" i="18"/>
  <c r="Y461" i="18"/>
  <c r="Z461" i="18"/>
  <c r="AA461" i="18"/>
  <c r="AC461" i="18"/>
  <c r="AD461" i="18"/>
  <c r="AE461" i="18"/>
  <c r="Y462" i="18"/>
  <c r="Z462" i="18"/>
  <c r="AA462" i="18"/>
  <c r="AC462" i="18"/>
  <c r="AD462" i="18"/>
  <c r="AE462" i="18"/>
  <c r="Y463" i="18"/>
  <c r="Z463" i="18"/>
  <c r="AA463" i="18"/>
  <c r="AC463" i="18"/>
  <c r="AD463" i="18"/>
  <c r="AE463" i="18"/>
  <c r="Y464" i="18"/>
  <c r="Z464" i="18"/>
  <c r="AA464" i="18"/>
  <c r="AC464" i="18"/>
  <c r="AD464" i="18"/>
  <c r="AE464" i="18"/>
  <c r="Y465" i="18"/>
  <c r="Z465" i="18"/>
  <c r="AA465" i="18"/>
  <c r="AC465" i="18"/>
  <c r="AD465" i="18"/>
  <c r="AE465" i="18"/>
  <c r="Y466" i="18"/>
  <c r="Z466" i="18"/>
  <c r="AA466" i="18"/>
  <c r="AC466" i="18"/>
  <c r="AD466" i="18"/>
  <c r="AE466" i="18"/>
  <c r="Y467" i="18"/>
  <c r="Z467" i="18"/>
  <c r="AA467" i="18"/>
  <c r="AC467" i="18"/>
  <c r="AD467" i="18"/>
  <c r="AE467" i="18"/>
  <c r="Y468" i="18"/>
  <c r="Z468" i="18"/>
  <c r="AA468" i="18"/>
  <c r="AC468" i="18"/>
  <c r="AD468" i="18"/>
  <c r="AE468" i="18"/>
  <c r="Y469" i="18"/>
  <c r="Z469" i="18"/>
  <c r="AA469" i="18"/>
  <c r="AC469" i="18"/>
  <c r="AD469" i="18"/>
  <c r="AE469" i="18"/>
  <c r="Y470" i="18"/>
  <c r="Z470" i="18"/>
  <c r="AA470" i="18"/>
  <c r="AC470" i="18"/>
  <c r="AD470" i="18"/>
  <c r="AE470" i="18"/>
  <c r="Y471" i="18"/>
  <c r="Z471" i="18"/>
  <c r="AA471" i="18"/>
  <c r="AC471" i="18"/>
  <c r="AD471" i="18"/>
  <c r="AE471" i="18"/>
  <c r="Y472" i="18"/>
  <c r="Z472" i="18"/>
  <c r="AA472" i="18"/>
  <c r="AC472" i="18"/>
  <c r="AD472" i="18"/>
  <c r="AE472" i="18"/>
  <c r="Y473" i="18"/>
  <c r="Z473" i="18"/>
  <c r="AA473" i="18"/>
  <c r="AC473" i="18"/>
  <c r="AD473" i="18"/>
  <c r="Y474" i="18"/>
  <c r="Z474" i="18"/>
  <c r="AA474" i="18"/>
  <c r="AC474" i="18"/>
  <c r="AD474" i="18"/>
  <c r="Y475" i="18"/>
  <c r="Z475" i="18"/>
  <c r="AA475" i="18"/>
  <c r="AC475" i="18"/>
  <c r="AD475" i="18"/>
  <c r="AE475" i="18"/>
  <c r="Y476" i="18"/>
  <c r="Z476" i="18"/>
  <c r="AA476" i="18"/>
  <c r="AC476" i="18"/>
  <c r="AD476" i="18"/>
  <c r="AE476" i="18"/>
  <c r="Y477" i="18"/>
  <c r="Z477" i="18"/>
  <c r="AA477" i="18"/>
  <c r="AC477" i="18"/>
  <c r="AD477" i="18"/>
  <c r="AE477" i="18"/>
  <c r="Y478" i="18"/>
  <c r="Z478" i="18"/>
  <c r="AA478" i="18"/>
  <c r="AC478" i="18"/>
  <c r="AD478" i="18"/>
  <c r="AE478" i="18"/>
  <c r="Y479" i="18"/>
  <c r="Z479" i="18"/>
  <c r="AA479" i="18"/>
  <c r="AC479" i="18"/>
  <c r="AD479" i="18"/>
  <c r="AE479" i="18"/>
  <c r="Y480" i="18"/>
  <c r="Z480" i="18"/>
  <c r="AA480" i="18"/>
  <c r="AC480" i="18"/>
  <c r="AD480" i="18"/>
  <c r="AE480" i="18"/>
  <c r="Y481" i="18"/>
  <c r="Z481" i="18"/>
  <c r="AA481" i="18"/>
  <c r="AC481" i="18"/>
  <c r="AD481" i="18"/>
  <c r="AE481" i="18"/>
  <c r="Y482" i="18"/>
  <c r="Z482" i="18"/>
  <c r="AA482" i="18"/>
  <c r="AC482" i="18"/>
  <c r="AD482" i="18"/>
  <c r="AE482" i="18"/>
  <c r="Y483" i="18"/>
  <c r="Z483" i="18"/>
  <c r="AA483" i="18"/>
  <c r="AC483" i="18"/>
  <c r="AD483" i="18"/>
  <c r="AE483" i="18"/>
  <c r="Y484" i="18"/>
  <c r="Z484" i="18"/>
  <c r="AA484" i="18"/>
  <c r="AC484" i="18"/>
  <c r="AD484" i="18"/>
  <c r="AE484" i="18"/>
  <c r="Y485" i="18"/>
  <c r="Z485" i="18"/>
  <c r="AA485" i="18"/>
  <c r="AC485" i="18"/>
  <c r="AD485" i="18"/>
  <c r="AE485" i="18"/>
  <c r="Y486" i="18"/>
  <c r="Z486" i="18"/>
  <c r="AA486" i="18"/>
  <c r="AC486" i="18"/>
  <c r="AD486" i="18"/>
  <c r="AE486" i="18"/>
  <c r="Y487" i="18"/>
  <c r="Z487" i="18"/>
  <c r="AA487" i="18"/>
  <c r="AC487" i="18"/>
  <c r="AD487" i="18"/>
  <c r="AE487" i="18"/>
  <c r="Y488" i="18"/>
  <c r="Z488" i="18"/>
  <c r="AA488" i="18"/>
  <c r="AC488" i="18"/>
  <c r="AD488" i="18"/>
  <c r="AE488" i="18"/>
  <c r="Y489" i="18"/>
  <c r="D390" i="4"/>
  <c r="Z489" i="18"/>
  <c r="AA489" i="18"/>
  <c r="AC489" i="18"/>
  <c r="AD489" i="18"/>
  <c r="AE489" i="18"/>
  <c r="Y490" i="18"/>
  <c r="Z490" i="18"/>
  <c r="AA490" i="18"/>
  <c r="AC490" i="18"/>
  <c r="AD490" i="18"/>
  <c r="AE490" i="18"/>
  <c r="Y491" i="18"/>
  <c r="Z491" i="18"/>
  <c r="AA491" i="18"/>
  <c r="AC491" i="18"/>
  <c r="AD491" i="18"/>
  <c r="AE491" i="18"/>
  <c r="Y492" i="18"/>
  <c r="Z492" i="18"/>
  <c r="AA492" i="18"/>
  <c r="AC492" i="18"/>
  <c r="AD492" i="18"/>
  <c r="AE492" i="18"/>
  <c r="Y493" i="18"/>
  <c r="Z493" i="18"/>
  <c r="AA493" i="18"/>
  <c r="AC493" i="18"/>
  <c r="AD493" i="18"/>
  <c r="AE493" i="18"/>
  <c r="Y494" i="18"/>
  <c r="Z494" i="18"/>
  <c r="AA494" i="18"/>
  <c r="AC494" i="18"/>
  <c r="AD494" i="18"/>
  <c r="AE494" i="18"/>
  <c r="Y495" i="18"/>
  <c r="Z495" i="18"/>
  <c r="AA495" i="18"/>
  <c r="AC495" i="18"/>
  <c r="AD495" i="18"/>
  <c r="AE495" i="18"/>
  <c r="Y496" i="18"/>
  <c r="Z496" i="18"/>
  <c r="AA496" i="18"/>
  <c r="AC496" i="18"/>
  <c r="AD496" i="18"/>
  <c r="AE496" i="18"/>
  <c r="Y497" i="18"/>
  <c r="Z497" i="18"/>
  <c r="AA497" i="18"/>
  <c r="AC497" i="18"/>
  <c r="AD497" i="18"/>
  <c r="AE497" i="18"/>
  <c r="Y498" i="18"/>
  <c r="Z498" i="18"/>
  <c r="AA498" i="18"/>
  <c r="AC498" i="18"/>
  <c r="AD498" i="18"/>
  <c r="AE498" i="18"/>
  <c r="Y499" i="18"/>
  <c r="Z499" i="18"/>
  <c r="AA499" i="18"/>
  <c r="AC499" i="18"/>
  <c r="AD499" i="18"/>
  <c r="AE499" i="18"/>
  <c r="Y500" i="18"/>
  <c r="Z500" i="18"/>
  <c r="AA500" i="18"/>
  <c r="AC500" i="18"/>
  <c r="AD500" i="18"/>
  <c r="AE500" i="18"/>
  <c r="Y501" i="18"/>
  <c r="Z501" i="18"/>
  <c r="AA501" i="18"/>
  <c r="AC501" i="18"/>
  <c r="AD501" i="18"/>
  <c r="AE501" i="18"/>
  <c r="Y502" i="18"/>
  <c r="Z502" i="18"/>
  <c r="AA502" i="18"/>
  <c r="AC502" i="18"/>
  <c r="AD502" i="18"/>
  <c r="AE502" i="18"/>
  <c r="Y503" i="18"/>
  <c r="Z503" i="18"/>
  <c r="AA503" i="18"/>
  <c r="AC503" i="18"/>
  <c r="AD503" i="18"/>
  <c r="AE503" i="18"/>
  <c r="Y504" i="18"/>
  <c r="Z504" i="18"/>
  <c r="AA504" i="18"/>
  <c r="AC504" i="18"/>
  <c r="AD504" i="18"/>
  <c r="AE504" i="18"/>
  <c r="Y505" i="18"/>
  <c r="Z505" i="18"/>
  <c r="AA505" i="18"/>
  <c r="AC505" i="18"/>
  <c r="AD505" i="18"/>
  <c r="AE505" i="18"/>
  <c r="Y506" i="18"/>
  <c r="Z506" i="18"/>
  <c r="AA506" i="18"/>
  <c r="AC506" i="18"/>
  <c r="AD506" i="18"/>
  <c r="AE506" i="18"/>
  <c r="Y507" i="18"/>
  <c r="Z507" i="18"/>
  <c r="AA507" i="18"/>
  <c r="AC507" i="18"/>
  <c r="AD507" i="18"/>
  <c r="AE507" i="18"/>
  <c r="Y508" i="18"/>
  <c r="Z508" i="18"/>
  <c r="AA508" i="18"/>
  <c r="AC508" i="18"/>
  <c r="AD508" i="18"/>
  <c r="AE508" i="18"/>
  <c r="Y509" i="18"/>
  <c r="Z509" i="18"/>
  <c r="AA509" i="18"/>
  <c r="AC509" i="18"/>
  <c r="AD509" i="18"/>
  <c r="AE509" i="18"/>
  <c r="Y510" i="18"/>
  <c r="Z510" i="18"/>
  <c r="AA510" i="18"/>
  <c r="AC510" i="18"/>
  <c r="AD510" i="18"/>
  <c r="AE510" i="18"/>
  <c r="Y511" i="18"/>
  <c r="D394" i="4"/>
  <c r="Z511" i="18"/>
  <c r="AA511" i="18"/>
  <c r="AC511" i="18"/>
  <c r="AD511" i="18"/>
  <c r="AE511" i="18"/>
  <c r="Y512" i="18"/>
  <c r="Z512" i="18"/>
  <c r="AA512" i="18"/>
  <c r="AC512" i="18"/>
  <c r="AD512" i="18"/>
  <c r="AE512" i="18"/>
  <c r="Y513" i="18"/>
  <c r="Z513" i="18"/>
  <c r="AA513" i="18"/>
  <c r="AC513" i="18"/>
  <c r="AD513" i="18"/>
  <c r="AE513" i="18"/>
  <c r="Y514" i="18"/>
  <c r="Z514" i="18"/>
  <c r="AA514" i="18"/>
  <c r="AC514" i="18"/>
  <c r="AD514" i="18"/>
  <c r="AE514" i="18"/>
  <c r="Y515" i="18"/>
  <c r="Z515" i="18"/>
  <c r="AA515" i="18"/>
  <c r="AC515" i="18"/>
  <c r="AD515" i="18"/>
  <c r="AE515" i="18"/>
  <c r="Y516" i="18"/>
  <c r="Z516" i="18"/>
  <c r="AA516" i="18"/>
  <c r="AC516" i="18"/>
  <c r="AD516" i="18"/>
  <c r="AE516" i="18"/>
  <c r="Y517" i="18"/>
  <c r="Z517" i="18"/>
  <c r="AA517" i="18"/>
  <c r="AC517" i="18"/>
  <c r="AD517" i="18"/>
  <c r="AE517" i="18"/>
  <c r="Y518" i="18"/>
  <c r="Z518" i="18"/>
  <c r="AA518" i="18"/>
  <c r="AC518" i="18"/>
  <c r="AD518" i="18"/>
  <c r="AE518" i="18"/>
  <c r="Y519" i="18"/>
  <c r="Z519" i="18"/>
  <c r="AA519" i="18"/>
  <c r="AC519" i="18"/>
  <c r="AD519" i="18"/>
  <c r="AE519" i="18"/>
  <c r="Y520" i="18"/>
  <c r="Z520" i="18"/>
  <c r="AA520" i="18"/>
  <c r="AC520" i="18"/>
  <c r="AD520" i="18"/>
  <c r="AE520" i="18"/>
  <c r="Y521" i="18"/>
  <c r="Z521" i="18"/>
  <c r="AA521" i="18"/>
  <c r="AC521" i="18"/>
  <c r="AD521" i="18"/>
  <c r="AE521" i="18"/>
  <c r="Y522" i="18"/>
  <c r="Z522" i="18"/>
  <c r="AA522" i="18"/>
  <c r="AC522" i="18"/>
  <c r="AD522" i="18"/>
  <c r="AE522" i="18"/>
  <c r="Y523" i="18"/>
  <c r="Z523" i="18"/>
  <c r="AA523" i="18"/>
  <c r="AC523" i="18"/>
  <c r="AD523" i="18"/>
  <c r="AE523" i="18"/>
  <c r="Y524" i="18"/>
  <c r="Z524" i="18"/>
  <c r="AA524" i="18"/>
  <c r="AC524" i="18"/>
  <c r="AD524" i="18"/>
  <c r="AE524" i="18"/>
  <c r="Z525" i="18"/>
  <c r="AA525" i="18"/>
  <c r="AC525" i="18"/>
  <c r="AD525" i="18"/>
  <c r="Y526" i="18"/>
  <c r="Z526" i="18"/>
  <c r="AA526" i="18"/>
  <c r="AC526" i="18"/>
  <c r="AD526" i="18"/>
  <c r="AE526" i="18"/>
  <c r="Y527" i="18"/>
  <c r="Z527" i="18"/>
  <c r="AA527" i="18"/>
  <c r="AC527" i="18"/>
  <c r="AD527" i="18"/>
  <c r="AE527" i="18"/>
  <c r="Y528" i="18"/>
  <c r="Z528" i="18"/>
  <c r="AA528" i="18"/>
  <c r="AC528" i="18"/>
  <c r="AD528" i="18"/>
  <c r="AE528" i="18"/>
  <c r="Y529" i="18"/>
  <c r="Z529" i="18"/>
  <c r="AA529" i="18"/>
  <c r="AC529" i="18"/>
  <c r="AD529" i="18"/>
  <c r="AE529" i="18"/>
  <c r="Y530" i="18"/>
  <c r="Z530" i="18"/>
  <c r="AA530" i="18"/>
  <c r="AC530" i="18"/>
  <c r="AD530" i="18"/>
  <c r="AE530" i="18"/>
  <c r="Y531" i="18"/>
  <c r="Z531" i="18"/>
  <c r="AA531" i="18"/>
  <c r="AC531" i="18"/>
  <c r="AD531" i="18"/>
  <c r="AE531" i="18"/>
  <c r="Y532" i="18"/>
  <c r="Z532" i="18"/>
  <c r="AA532" i="18"/>
  <c r="AC532" i="18"/>
  <c r="AD532" i="18"/>
  <c r="AE532" i="18"/>
  <c r="Y533" i="18"/>
  <c r="Z533" i="18"/>
  <c r="AA533" i="18"/>
  <c r="AC533" i="18"/>
  <c r="AD533" i="18"/>
  <c r="AE533" i="18"/>
  <c r="Z534" i="18"/>
  <c r="AA534" i="18"/>
  <c r="AC534" i="18"/>
  <c r="AD534" i="18"/>
  <c r="Y535" i="18"/>
  <c r="Z535" i="18"/>
  <c r="AA535" i="18"/>
  <c r="AC535" i="18"/>
  <c r="AD535" i="18"/>
  <c r="AE535" i="18"/>
  <c r="Y536" i="18"/>
  <c r="Z536" i="18"/>
  <c r="AA536" i="18"/>
  <c r="AC536" i="18"/>
  <c r="AD536" i="18"/>
  <c r="AE536" i="18"/>
  <c r="Y537" i="18"/>
  <c r="Z537" i="18"/>
  <c r="AA537" i="18"/>
  <c r="AC537" i="18"/>
  <c r="AD537" i="18"/>
  <c r="AE537" i="18"/>
  <c r="Y538" i="18"/>
  <c r="Z538" i="18"/>
  <c r="AA538" i="18"/>
  <c r="AC538" i="18"/>
  <c r="AD538" i="18"/>
  <c r="AE538" i="18"/>
  <c r="Y539" i="18"/>
  <c r="Z539" i="18"/>
  <c r="AA539" i="18"/>
  <c r="AC539" i="18"/>
  <c r="AD539" i="18"/>
  <c r="AE539" i="18"/>
  <c r="Y540" i="18"/>
  <c r="Z540" i="18"/>
  <c r="AA540" i="18"/>
  <c r="AC540" i="18"/>
  <c r="AD540" i="18"/>
  <c r="AE540" i="18"/>
  <c r="Y541" i="18"/>
  <c r="Z541" i="18"/>
  <c r="AA541" i="18"/>
  <c r="AC541" i="18"/>
  <c r="AD541" i="18"/>
  <c r="AE541" i="18"/>
  <c r="Y542" i="18"/>
  <c r="Z542" i="18"/>
  <c r="AA542" i="18"/>
  <c r="AC542" i="18"/>
  <c r="AD542" i="18"/>
  <c r="AE542" i="18"/>
  <c r="Y543" i="18"/>
  <c r="Z543" i="18"/>
  <c r="AA543" i="18"/>
  <c r="AC543" i="18"/>
  <c r="AD543" i="18"/>
  <c r="AE543" i="18"/>
  <c r="Y544" i="18"/>
  <c r="Z544" i="18"/>
  <c r="AA544" i="18"/>
  <c r="AC544" i="18"/>
  <c r="AD544" i="18"/>
  <c r="AE544" i="18"/>
  <c r="Y545" i="18"/>
  <c r="Z545" i="18"/>
  <c r="AA545" i="18"/>
  <c r="AC545" i="18"/>
  <c r="AD545" i="18"/>
  <c r="AE545" i="18"/>
  <c r="Y546" i="18"/>
  <c r="Z546" i="18"/>
  <c r="AA546" i="18"/>
  <c r="AC546" i="18"/>
  <c r="AD546" i="18"/>
  <c r="AE546" i="18"/>
  <c r="Y547" i="18"/>
  <c r="Z547" i="18"/>
  <c r="AA547" i="18"/>
  <c r="AC547" i="18"/>
  <c r="AD547" i="18"/>
  <c r="AE547" i="18"/>
  <c r="Y548" i="18"/>
  <c r="Z548" i="18"/>
  <c r="AA548" i="18"/>
  <c r="AC548" i="18"/>
  <c r="AD548" i="18"/>
  <c r="AE548" i="18"/>
  <c r="Y549" i="18"/>
  <c r="Z549" i="18"/>
  <c r="AA549" i="18"/>
  <c r="AC549" i="18"/>
  <c r="AD549" i="18"/>
  <c r="AE549" i="18"/>
  <c r="Y550" i="18"/>
  <c r="Z550" i="18"/>
  <c r="AA550" i="18"/>
  <c r="AC550" i="18"/>
  <c r="AD550" i="18"/>
  <c r="AE550" i="18"/>
  <c r="Y551" i="18"/>
  <c r="Z551" i="18"/>
  <c r="AA551" i="18"/>
  <c r="AC551" i="18"/>
  <c r="AD551" i="18"/>
  <c r="AE551" i="18"/>
  <c r="Y552" i="18"/>
  <c r="Z552" i="18"/>
  <c r="AA552" i="18"/>
  <c r="AC552" i="18"/>
  <c r="AD552" i="18"/>
  <c r="AE552" i="18"/>
  <c r="Y553" i="18"/>
  <c r="Z553" i="18"/>
  <c r="AA553" i="18"/>
  <c r="AC553" i="18"/>
  <c r="AD553" i="18"/>
  <c r="AE553" i="18"/>
  <c r="Y554" i="18"/>
  <c r="Z554" i="18"/>
  <c r="AA554" i="18"/>
  <c r="AC554" i="18"/>
  <c r="AD554" i="18"/>
  <c r="AE554" i="18"/>
  <c r="Y555" i="18"/>
  <c r="Z555" i="18"/>
  <c r="AA555" i="18"/>
  <c r="AC555" i="18"/>
  <c r="AD555" i="18"/>
  <c r="AE555" i="18"/>
  <c r="Y556" i="18"/>
  <c r="Z556" i="18"/>
  <c r="AA556" i="18"/>
  <c r="AC556" i="18"/>
  <c r="AD556" i="18"/>
  <c r="AE556" i="18"/>
  <c r="Y557" i="18"/>
  <c r="Z557" i="18"/>
  <c r="AA557" i="18"/>
  <c r="AC557" i="18"/>
  <c r="AD557" i="18"/>
  <c r="AE557" i="18"/>
  <c r="Y558" i="18"/>
  <c r="D403" i="4"/>
  <c r="Z558" i="18"/>
  <c r="AA558" i="18"/>
  <c r="AC558" i="18"/>
  <c r="AD558" i="18"/>
  <c r="AE558" i="18"/>
  <c r="Y559" i="18"/>
  <c r="Z559" i="18"/>
  <c r="AA559" i="18"/>
  <c r="AC559" i="18"/>
  <c r="AD559" i="18"/>
  <c r="AE559" i="18"/>
  <c r="Y560" i="18"/>
  <c r="Z560" i="18"/>
  <c r="AA560" i="18"/>
  <c r="AC560" i="18"/>
  <c r="AD560" i="18"/>
  <c r="AE560" i="18"/>
  <c r="Y561" i="18"/>
  <c r="Z561" i="18"/>
  <c r="AA561" i="18"/>
  <c r="AC561" i="18"/>
  <c r="AD561" i="18"/>
  <c r="AE561" i="18"/>
  <c r="Y562" i="18"/>
  <c r="Z562" i="18"/>
  <c r="AA562" i="18"/>
  <c r="AC562" i="18"/>
  <c r="AD562" i="18"/>
  <c r="AE562" i="18"/>
  <c r="Y563" i="18"/>
  <c r="Z563" i="18"/>
  <c r="AA563" i="18"/>
  <c r="AC563" i="18"/>
  <c r="AD563" i="18"/>
  <c r="AE563" i="18"/>
  <c r="Y564" i="18"/>
  <c r="Z564" i="18"/>
  <c r="AA564" i="18"/>
  <c r="AC564" i="18"/>
  <c r="AD564" i="18"/>
  <c r="AE564" i="18"/>
  <c r="Y565" i="18"/>
  <c r="Z565" i="18"/>
  <c r="AA565" i="18"/>
  <c r="AC565" i="18"/>
  <c r="AD565" i="18"/>
  <c r="AE565" i="18"/>
  <c r="Y566" i="18"/>
  <c r="Z566" i="18"/>
  <c r="AA566" i="18"/>
  <c r="AC566" i="18"/>
  <c r="AD566" i="18"/>
  <c r="AE566" i="18"/>
  <c r="Y567" i="18"/>
  <c r="Z567" i="18"/>
  <c r="AA567" i="18"/>
  <c r="AC567" i="18"/>
  <c r="AD567" i="18"/>
  <c r="AE567" i="18"/>
  <c r="Y568" i="18"/>
  <c r="Z568" i="18"/>
  <c r="AA568" i="18"/>
  <c r="AC568" i="18"/>
  <c r="AD568" i="18"/>
  <c r="AE568" i="18"/>
  <c r="Y569" i="18"/>
  <c r="Z569" i="18"/>
  <c r="AA569" i="18"/>
  <c r="AC569" i="18"/>
  <c r="AD569" i="18"/>
  <c r="AE569" i="18"/>
  <c r="Y570" i="18"/>
  <c r="Z570" i="18"/>
  <c r="AA570" i="18"/>
  <c r="AC570" i="18"/>
  <c r="AD570" i="18"/>
  <c r="AE570" i="18"/>
  <c r="Y571" i="18"/>
  <c r="Z571" i="18"/>
  <c r="AA571" i="18"/>
  <c r="AC571" i="18"/>
  <c r="AD571" i="18"/>
  <c r="AE571" i="18"/>
  <c r="Y572" i="18"/>
  <c r="Z572" i="18"/>
  <c r="AA572" i="18"/>
  <c r="AC572" i="18"/>
  <c r="AD572" i="18"/>
  <c r="AE572" i="18"/>
  <c r="Y573" i="18"/>
  <c r="Z573" i="18"/>
  <c r="AA573" i="18"/>
  <c r="AC573" i="18"/>
  <c r="AD573" i="18"/>
  <c r="AE573" i="18"/>
  <c r="Y574" i="18"/>
  <c r="Z574" i="18"/>
  <c r="AA574" i="18"/>
  <c r="AC574" i="18"/>
  <c r="AD574" i="18"/>
  <c r="AE574" i="18"/>
  <c r="Y575" i="18"/>
  <c r="Z575" i="18"/>
  <c r="AA575" i="18"/>
  <c r="AC575" i="18"/>
  <c r="AD575" i="18"/>
  <c r="AE575" i="18"/>
  <c r="Y576" i="18"/>
  <c r="Z576" i="18"/>
  <c r="AA576" i="18"/>
  <c r="AC576" i="18"/>
  <c r="AD576" i="18"/>
  <c r="AE576" i="18"/>
  <c r="Y577" i="18"/>
  <c r="Z577" i="18"/>
  <c r="AA577" i="18"/>
  <c r="AC577" i="18"/>
  <c r="AD577" i="18"/>
  <c r="AE577" i="18"/>
  <c r="Y578" i="18"/>
  <c r="Z578" i="18"/>
  <c r="AA578" i="18"/>
  <c r="AC578" i="18"/>
  <c r="AD578" i="18"/>
  <c r="AE578" i="18"/>
  <c r="Y579" i="18"/>
  <c r="Z579" i="18"/>
  <c r="AA579" i="18"/>
  <c r="AC579" i="18"/>
  <c r="AD579" i="18"/>
  <c r="AE579" i="18"/>
  <c r="Y580" i="18"/>
  <c r="Z580" i="18"/>
  <c r="AA580" i="18"/>
  <c r="AC580" i="18"/>
  <c r="AD580" i="18"/>
  <c r="AE580" i="18"/>
  <c r="Y581" i="18"/>
  <c r="Z581" i="18"/>
  <c r="AA581" i="18"/>
  <c r="AC581" i="18"/>
  <c r="AD581" i="18"/>
  <c r="AE581" i="18"/>
  <c r="Y582" i="18"/>
  <c r="D407" i="4"/>
  <c r="Z582" i="18"/>
  <c r="AA582" i="18"/>
  <c r="AC582" i="18"/>
  <c r="AD582" i="18"/>
  <c r="AE582" i="18"/>
  <c r="Y583" i="18"/>
  <c r="Z583" i="18"/>
  <c r="AA583" i="18"/>
  <c r="AC583" i="18"/>
  <c r="AD583" i="18"/>
  <c r="AE583" i="18"/>
  <c r="Y584" i="18"/>
  <c r="Z584" i="18"/>
  <c r="AA584" i="18"/>
  <c r="AC584" i="18"/>
  <c r="AD584" i="18"/>
  <c r="AE584" i="18"/>
  <c r="Y585" i="18"/>
  <c r="Z585" i="18"/>
  <c r="AA585" i="18"/>
  <c r="AC585" i="18"/>
  <c r="AD585" i="18"/>
  <c r="AE585" i="18"/>
  <c r="Y586" i="18"/>
  <c r="Z586" i="18"/>
  <c r="AA586" i="18"/>
  <c r="AC586" i="18"/>
  <c r="AD586" i="18"/>
  <c r="AE586" i="18"/>
  <c r="Y587" i="18"/>
  <c r="Z587" i="18"/>
  <c r="AA587" i="18"/>
  <c r="AC587" i="18"/>
  <c r="AD587" i="18"/>
  <c r="AE587" i="18"/>
  <c r="Y588" i="18"/>
  <c r="Z588" i="18"/>
  <c r="AA588" i="18"/>
  <c r="AC588" i="18"/>
  <c r="AD588" i="18"/>
  <c r="AE588" i="18"/>
  <c r="Y589" i="18"/>
  <c r="Z589" i="18"/>
  <c r="AA589" i="18"/>
  <c r="AC589" i="18"/>
  <c r="AD589" i="18"/>
  <c r="AE589" i="18"/>
  <c r="Y590" i="18"/>
  <c r="Z590" i="18"/>
  <c r="AA590" i="18"/>
  <c r="AC590" i="18"/>
  <c r="AD590" i="18"/>
  <c r="AE590" i="18"/>
  <c r="Y591" i="18"/>
  <c r="Z591" i="18"/>
  <c r="AA591" i="18"/>
  <c r="AC591" i="18"/>
  <c r="AD591" i="18"/>
  <c r="AE591" i="18"/>
  <c r="Y592" i="18"/>
  <c r="Z592" i="18"/>
  <c r="AA592" i="18"/>
  <c r="AC592" i="18"/>
  <c r="AD592" i="18"/>
  <c r="AE592" i="18"/>
  <c r="Y593" i="18"/>
  <c r="Z593" i="18"/>
  <c r="AA593" i="18"/>
  <c r="AC593" i="18"/>
  <c r="AD593" i="18"/>
  <c r="AE593" i="18"/>
  <c r="Y594" i="18"/>
  <c r="Z594" i="18"/>
  <c r="AA594" i="18"/>
  <c r="AC594" i="18"/>
  <c r="AD594" i="18"/>
  <c r="AE594" i="18"/>
  <c r="Y595" i="18"/>
  <c r="Z595" i="18"/>
  <c r="AA595" i="18"/>
  <c r="AC595" i="18"/>
  <c r="AD595" i="18"/>
  <c r="AE595" i="18"/>
  <c r="Y596" i="18"/>
  <c r="Z596" i="18"/>
  <c r="AA596" i="18"/>
  <c r="AC596" i="18"/>
  <c r="AD596" i="18"/>
  <c r="AE596" i="18"/>
  <c r="Y597" i="18"/>
  <c r="Z597" i="18"/>
  <c r="AA597" i="18"/>
  <c r="AC597" i="18"/>
  <c r="AD597" i="18"/>
  <c r="AE597" i="18"/>
  <c r="Y598" i="18"/>
  <c r="Z598" i="18"/>
  <c r="AA598" i="18"/>
  <c r="AC598" i="18"/>
  <c r="AD598" i="18"/>
  <c r="AE598" i="18"/>
  <c r="Y599" i="18"/>
  <c r="Z599" i="18"/>
  <c r="AA599" i="18"/>
  <c r="AC599" i="18"/>
  <c r="AD599" i="18"/>
  <c r="AE599" i="18"/>
  <c r="Y600" i="18"/>
  <c r="Z600" i="18"/>
  <c r="AA600" i="18"/>
  <c r="AC600" i="18"/>
  <c r="AD600" i="18"/>
  <c r="AE600" i="18"/>
  <c r="Y601" i="18"/>
  <c r="Z601" i="18"/>
  <c r="AA601" i="18"/>
  <c r="AC601" i="18"/>
  <c r="AD601" i="18"/>
  <c r="AE601" i="18"/>
  <c r="Y602" i="18"/>
  <c r="Z602" i="18"/>
  <c r="AA602" i="18"/>
  <c r="AC602" i="18"/>
  <c r="AD602" i="18"/>
  <c r="AE602" i="18"/>
  <c r="Y603" i="18"/>
  <c r="Z603" i="18"/>
  <c r="AA603" i="18"/>
  <c r="AC603" i="18"/>
  <c r="AD603" i="18"/>
  <c r="AE603" i="18"/>
  <c r="Y604" i="18"/>
  <c r="Z604" i="18"/>
  <c r="AA604" i="18"/>
  <c r="AC604" i="18"/>
  <c r="AD604" i="18"/>
  <c r="AE604" i="18"/>
  <c r="Y605" i="18"/>
  <c r="Z605" i="18"/>
  <c r="AA605" i="18"/>
  <c r="AC605" i="18"/>
  <c r="AD605" i="18"/>
  <c r="AE605" i="18"/>
  <c r="Y606" i="18"/>
  <c r="Z606" i="18"/>
  <c r="AA606" i="18"/>
  <c r="AC606" i="18"/>
  <c r="AD606" i="18"/>
  <c r="AE606" i="18"/>
  <c r="Y607" i="18"/>
  <c r="Z607" i="18"/>
  <c r="AA607" i="18"/>
  <c r="AC607" i="18"/>
  <c r="AD607" i="18"/>
  <c r="AE607" i="18"/>
  <c r="Y608" i="18"/>
  <c r="Z608" i="18"/>
  <c r="AA608" i="18"/>
  <c r="AC608" i="18"/>
  <c r="AD608" i="18"/>
  <c r="AE608" i="18"/>
  <c r="Y609" i="18"/>
  <c r="Z609" i="18"/>
  <c r="AA609" i="18"/>
  <c r="AC609" i="18"/>
  <c r="AD609" i="18"/>
  <c r="AE609" i="18"/>
  <c r="Y610" i="18"/>
  <c r="Z610" i="18"/>
  <c r="AA610" i="18"/>
  <c r="AC610" i="18"/>
  <c r="AD610" i="18"/>
  <c r="AE610" i="18"/>
  <c r="Y611" i="18"/>
  <c r="Z611" i="18"/>
  <c r="AA611" i="18"/>
  <c r="AC611" i="18"/>
  <c r="AD611" i="18"/>
  <c r="AE611" i="18"/>
  <c r="Y612" i="18"/>
  <c r="Z612" i="18"/>
  <c r="AA612" i="18"/>
  <c r="AC612" i="18"/>
  <c r="AD612" i="18"/>
  <c r="AE612" i="18"/>
  <c r="Y613" i="18"/>
  <c r="Z613" i="18"/>
  <c r="AA613" i="18"/>
  <c r="AC613" i="18"/>
  <c r="AD613" i="18"/>
  <c r="AE613" i="18"/>
  <c r="Y614" i="18"/>
  <c r="Z614" i="18"/>
  <c r="AA614" i="18"/>
  <c r="AC614" i="18"/>
  <c r="AD614" i="18"/>
  <c r="AE614" i="18"/>
  <c r="Y615" i="18"/>
  <c r="Z615" i="18"/>
  <c r="AA615" i="18"/>
  <c r="AC615" i="18"/>
  <c r="AD615" i="18"/>
  <c r="AE615" i="18"/>
  <c r="Y616" i="18"/>
  <c r="Z616" i="18"/>
  <c r="AA616" i="18"/>
  <c r="AC616" i="18"/>
  <c r="AD616" i="18"/>
  <c r="AE616" i="18"/>
  <c r="Y617" i="18"/>
  <c r="Z617" i="18"/>
  <c r="AA617" i="18"/>
  <c r="AC617" i="18"/>
  <c r="AD617" i="18"/>
  <c r="AE617" i="18"/>
  <c r="Y618" i="18"/>
  <c r="Z618" i="18"/>
  <c r="AA618" i="18"/>
  <c r="AC618" i="18"/>
  <c r="AD618" i="18"/>
  <c r="AE618" i="18"/>
  <c r="Y619" i="18"/>
  <c r="Z619" i="18"/>
  <c r="AA619" i="18"/>
  <c r="AC619" i="18"/>
  <c r="AD619" i="18"/>
  <c r="AE619" i="18"/>
  <c r="Y620" i="18"/>
  <c r="Z620" i="18"/>
  <c r="AA620" i="18"/>
  <c r="AC620" i="18"/>
  <c r="AD620" i="18"/>
  <c r="AE620" i="18"/>
  <c r="Y621" i="18"/>
  <c r="Z621" i="18"/>
  <c r="AA621" i="18"/>
  <c r="AC621" i="18"/>
  <c r="AD621" i="18"/>
  <c r="AE621" i="18"/>
  <c r="Y622" i="18"/>
  <c r="Z622" i="18"/>
  <c r="AA622" i="18"/>
  <c r="AC622" i="18"/>
  <c r="AD622" i="18"/>
  <c r="AE622" i="18"/>
  <c r="Y623" i="18"/>
  <c r="Z623" i="18"/>
  <c r="AA623" i="18"/>
  <c r="AC623" i="18"/>
  <c r="AD623" i="18"/>
  <c r="AE623" i="18"/>
  <c r="Y624" i="18"/>
  <c r="Z624" i="18"/>
  <c r="AA624" i="18"/>
  <c r="AC624" i="18"/>
  <c r="AD624" i="18"/>
  <c r="AE624" i="18"/>
  <c r="Y625" i="18"/>
  <c r="Z625" i="18"/>
  <c r="AA625" i="18"/>
  <c r="AC625" i="18"/>
  <c r="AD625" i="18"/>
  <c r="AE625" i="18"/>
  <c r="Y626" i="18"/>
  <c r="Z626" i="18"/>
  <c r="AA626" i="18"/>
  <c r="AC626" i="18"/>
  <c r="AD626" i="18"/>
  <c r="AE626" i="18"/>
  <c r="Y627" i="18"/>
  <c r="Z627" i="18"/>
  <c r="AA627" i="18"/>
  <c r="AC627" i="18"/>
  <c r="AD627" i="18"/>
  <c r="AE627" i="18"/>
  <c r="Y628" i="18"/>
  <c r="Z628" i="18"/>
  <c r="AA628" i="18"/>
  <c r="AC628" i="18"/>
  <c r="AD628" i="18"/>
  <c r="AE628" i="18"/>
  <c r="Y629" i="18"/>
  <c r="Z629" i="18"/>
  <c r="AA629" i="18"/>
  <c r="AC629" i="18"/>
  <c r="AD629" i="18"/>
  <c r="AE629" i="18"/>
  <c r="Y630" i="18"/>
  <c r="Z630" i="18"/>
  <c r="AA630" i="18"/>
  <c r="AC630" i="18"/>
  <c r="AD630" i="18"/>
  <c r="AE630" i="18"/>
  <c r="Y631" i="18"/>
  <c r="Z631" i="18"/>
  <c r="AA631" i="18"/>
  <c r="AC631" i="18"/>
  <c r="AD631" i="18"/>
  <c r="AE631" i="18"/>
  <c r="Y632" i="18"/>
  <c r="Z632" i="18"/>
  <c r="AA632" i="18"/>
  <c r="AC632" i="18"/>
  <c r="AD632" i="18"/>
  <c r="AE632" i="18"/>
  <c r="Y633" i="18"/>
  <c r="Z633" i="18"/>
  <c r="AA633" i="18"/>
  <c r="AC633" i="18"/>
  <c r="AD633" i="18"/>
  <c r="AE633" i="18"/>
  <c r="Y634" i="18"/>
  <c r="Z634" i="18"/>
  <c r="AA634" i="18"/>
  <c r="AC634" i="18"/>
  <c r="AD634" i="18"/>
  <c r="AE634" i="18"/>
  <c r="Y635" i="18"/>
  <c r="Z635" i="18"/>
  <c r="AA635" i="18"/>
  <c r="AC635" i="18"/>
  <c r="AD635" i="18"/>
  <c r="AE635" i="18"/>
  <c r="Y636" i="18"/>
  <c r="Z636" i="18"/>
  <c r="AA636" i="18"/>
  <c r="AC636" i="18"/>
  <c r="AD636" i="18"/>
  <c r="AE636" i="18"/>
  <c r="Y637" i="18"/>
  <c r="Z637" i="18"/>
  <c r="AA637" i="18"/>
  <c r="AC637" i="18"/>
  <c r="AD637" i="18"/>
  <c r="AE637" i="18"/>
  <c r="Y638" i="18"/>
  <c r="Z638" i="18"/>
  <c r="AA638" i="18"/>
  <c r="AC638" i="18"/>
  <c r="AD638" i="18"/>
  <c r="AE638" i="18"/>
  <c r="Y639" i="18"/>
  <c r="Z639" i="18"/>
  <c r="AA639" i="18"/>
  <c r="AC639" i="18"/>
  <c r="AD639" i="18"/>
  <c r="AE639" i="18"/>
  <c r="Y640" i="18"/>
  <c r="Z640" i="18"/>
  <c r="AA640" i="18"/>
  <c r="AC640" i="18"/>
  <c r="AD640" i="18"/>
  <c r="AE640" i="18"/>
  <c r="Y641" i="18"/>
  <c r="Z641" i="18"/>
  <c r="AA641" i="18"/>
  <c r="AC641" i="18"/>
  <c r="AD641" i="18"/>
  <c r="AE641" i="18"/>
  <c r="Y642" i="18"/>
  <c r="Z642" i="18"/>
  <c r="AA642" i="18"/>
  <c r="AC642" i="18"/>
  <c r="AD642" i="18"/>
  <c r="AE642" i="18"/>
  <c r="Y643" i="18"/>
  <c r="Z643" i="18"/>
  <c r="AA643" i="18"/>
  <c r="AC643" i="18"/>
  <c r="AD643" i="18"/>
  <c r="AE643" i="18"/>
  <c r="Y644" i="18"/>
  <c r="Z644" i="18"/>
  <c r="AA644" i="18"/>
  <c r="AC644" i="18"/>
  <c r="AD644" i="18"/>
  <c r="AE644" i="18"/>
  <c r="Y645" i="18"/>
  <c r="Z645" i="18"/>
  <c r="AA645" i="18"/>
  <c r="AC645" i="18"/>
  <c r="AD645" i="18"/>
  <c r="AE645" i="18"/>
  <c r="Y646" i="18"/>
  <c r="Z646" i="18"/>
  <c r="AA646" i="18"/>
  <c r="AC646" i="18"/>
  <c r="AD646" i="18"/>
  <c r="AE646" i="18"/>
  <c r="Y647" i="18"/>
  <c r="Z647" i="18"/>
  <c r="AA647" i="18"/>
  <c r="AC647" i="18"/>
  <c r="AD647" i="18"/>
  <c r="AE647" i="18"/>
  <c r="Y648" i="18"/>
  <c r="Z648" i="18"/>
  <c r="AA648" i="18"/>
  <c r="AC648" i="18"/>
  <c r="AD648" i="18"/>
  <c r="AE648" i="18"/>
  <c r="Y649" i="18"/>
  <c r="Z649" i="18"/>
  <c r="AA649" i="18"/>
  <c r="AC649" i="18"/>
  <c r="AD649" i="18"/>
  <c r="AE649" i="18"/>
  <c r="Y650" i="18"/>
  <c r="Z650" i="18"/>
  <c r="AA650" i="18"/>
  <c r="AC650" i="18"/>
  <c r="AD650" i="18"/>
  <c r="AE650" i="18"/>
  <c r="Y651" i="18"/>
  <c r="Z651" i="18"/>
  <c r="AA651" i="18"/>
  <c r="AC651" i="18"/>
  <c r="AD651" i="18"/>
  <c r="AE651" i="18"/>
  <c r="Y652" i="18"/>
  <c r="Z652" i="18"/>
  <c r="AA652" i="18"/>
  <c r="AC652" i="18"/>
  <c r="AD652" i="18"/>
  <c r="AE652" i="18"/>
  <c r="Y653" i="18"/>
  <c r="Z653" i="18"/>
  <c r="AA653" i="18"/>
  <c r="AC653" i="18"/>
  <c r="AD653" i="18"/>
  <c r="AE653" i="18"/>
  <c r="Y654" i="18"/>
  <c r="Z654" i="18"/>
  <c r="AA654" i="18"/>
  <c r="AC654" i="18"/>
  <c r="AD654" i="18"/>
  <c r="AE654" i="18"/>
  <c r="Y655" i="18"/>
  <c r="Z655" i="18"/>
  <c r="AA655" i="18"/>
  <c r="AC655" i="18"/>
  <c r="AD655" i="18"/>
  <c r="AE655" i="18"/>
  <c r="Y656" i="18"/>
  <c r="Z656" i="18"/>
  <c r="AA656" i="18"/>
  <c r="AC656" i="18"/>
  <c r="AD656" i="18"/>
  <c r="AE656" i="18"/>
  <c r="Y657" i="18"/>
  <c r="Z657" i="18"/>
  <c r="AA657" i="18"/>
  <c r="AC657" i="18"/>
  <c r="AD657" i="18"/>
  <c r="AE657" i="18"/>
  <c r="Y658" i="18"/>
  <c r="Z658" i="18"/>
  <c r="AA658" i="18"/>
  <c r="AC658" i="18"/>
  <c r="AD658" i="18"/>
  <c r="AE658" i="18"/>
  <c r="Y659" i="18"/>
  <c r="Z659" i="18"/>
  <c r="AA659" i="18"/>
  <c r="AC659" i="18"/>
  <c r="AD659" i="18"/>
  <c r="AE659" i="18"/>
  <c r="Y660" i="18"/>
  <c r="Z660" i="18"/>
  <c r="AA660" i="18"/>
  <c r="AC660" i="18"/>
  <c r="AD660" i="18"/>
  <c r="AE660" i="18"/>
  <c r="Y661" i="18"/>
  <c r="Z661" i="18"/>
  <c r="AA661" i="18"/>
  <c r="AC661" i="18"/>
  <c r="AD661" i="18"/>
  <c r="AE661" i="18"/>
  <c r="Y662" i="18"/>
  <c r="Z662" i="18"/>
  <c r="AA662" i="18"/>
  <c r="AC662" i="18"/>
  <c r="AD662" i="18"/>
  <c r="AE662" i="18"/>
  <c r="Y663" i="18"/>
  <c r="Z663" i="18"/>
  <c r="AA663" i="18"/>
  <c r="AC663" i="18"/>
  <c r="AD663" i="18"/>
  <c r="AE663" i="18"/>
  <c r="Y664" i="18"/>
  <c r="Z664" i="18"/>
  <c r="AA664" i="18"/>
  <c r="AC664" i="18"/>
  <c r="AD664" i="18"/>
  <c r="AE664" i="18"/>
  <c r="Y665" i="18"/>
  <c r="Z665" i="18"/>
  <c r="AA665" i="18"/>
  <c r="AC665" i="18"/>
  <c r="AD665" i="18"/>
  <c r="AE665" i="18"/>
  <c r="Y666" i="18"/>
  <c r="Z666" i="18"/>
  <c r="AA666" i="18"/>
  <c r="AC666" i="18"/>
  <c r="AD666" i="18"/>
  <c r="AE666" i="18"/>
  <c r="Y667" i="18"/>
  <c r="Z667" i="18"/>
  <c r="AA667" i="18"/>
  <c r="AC667" i="18"/>
  <c r="AD667" i="18"/>
  <c r="AE667" i="18"/>
  <c r="Y668" i="18"/>
  <c r="Z668" i="18"/>
  <c r="AA668" i="18"/>
  <c r="AC668" i="18"/>
  <c r="AD668" i="18"/>
  <c r="AE668" i="18"/>
  <c r="Y669" i="18"/>
  <c r="Z669" i="18"/>
  <c r="AA669" i="18"/>
  <c r="AC669" i="18"/>
  <c r="AD669" i="18"/>
  <c r="AE669" i="18"/>
  <c r="Y670" i="18"/>
  <c r="Z670" i="18"/>
  <c r="AA670" i="18"/>
  <c r="AC670" i="18"/>
  <c r="AD670" i="18"/>
  <c r="AE670" i="18"/>
  <c r="Y671" i="18"/>
  <c r="Z671" i="18"/>
  <c r="AA671" i="18"/>
  <c r="AC671" i="18"/>
  <c r="AD671" i="18"/>
  <c r="AE671" i="18"/>
  <c r="Y672" i="18"/>
  <c r="Z672" i="18"/>
  <c r="AA672" i="18"/>
  <c r="AC672" i="18"/>
  <c r="AD672" i="18"/>
  <c r="AE672" i="18"/>
  <c r="Y673" i="18"/>
  <c r="Z673" i="18"/>
  <c r="AA673" i="18"/>
  <c r="AC673" i="18"/>
  <c r="AD673" i="18"/>
  <c r="AE673" i="18"/>
  <c r="Y674" i="18"/>
  <c r="Z674" i="18"/>
  <c r="AA674" i="18"/>
  <c r="AC674" i="18"/>
  <c r="AD674" i="18"/>
  <c r="AE674" i="18"/>
  <c r="Y675" i="18"/>
  <c r="Z675" i="18"/>
  <c r="AA675" i="18"/>
  <c r="AC675" i="18"/>
  <c r="AD675" i="18"/>
  <c r="AE675" i="18"/>
  <c r="Y676" i="18"/>
  <c r="D425" i="4"/>
  <c r="Z676" i="18"/>
  <c r="AA676" i="18"/>
  <c r="AC676" i="18"/>
  <c r="AD676" i="18"/>
  <c r="AE676" i="18"/>
  <c r="Y677" i="18"/>
  <c r="Z677" i="18"/>
  <c r="AA677" i="18"/>
  <c r="AC677" i="18"/>
  <c r="AD677" i="18"/>
  <c r="AE677" i="18"/>
  <c r="Y678" i="18"/>
  <c r="Z678" i="18"/>
  <c r="AA678" i="18"/>
  <c r="AC678" i="18"/>
  <c r="AD678" i="18"/>
  <c r="AE678" i="18"/>
  <c r="Y679" i="18"/>
  <c r="Z679" i="18"/>
  <c r="AA679" i="18"/>
  <c r="AC679" i="18"/>
  <c r="AD679" i="18"/>
  <c r="AE679" i="18"/>
  <c r="Y680" i="18"/>
  <c r="Z680" i="18"/>
  <c r="AA680" i="18"/>
  <c r="AC680" i="18"/>
  <c r="AD680" i="18"/>
  <c r="AE680" i="18"/>
  <c r="Y681" i="18"/>
  <c r="Z681" i="18"/>
  <c r="AA681" i="18"/>
  <c r="AC681" i="18"/>
  <c r="AD681" i="18"/>
  <c r="AE681" i="18"/>
  <c r="Y682" i="18"/>
  <c r="Z682" i="18"/>
  <c r="AA682" i="18"/>
  <c r="AC682" i="18"/>
  <c r="AD682" i="18"/>
  <c r="AE682" i="18"/>
  <c r="Y683" i="18"/>
  <c r="Z683" i="18"/>
  <c r="AA683" i="18"/>
  <c r="AC683" i="18"/>
  <c r="AD683" i="18"/>
  <c r="AE683" i="18"/>
  <c r="Y684" i="18"/>
  <c r="Z684" i="18"/>
  <c r="AA684" i="18"/>
  <c r="AC684" i="18"/>
  <c r="AD684" i="18"/>
  <c r="AE684" i="18"/>
  <c r="Y685" i="18"/>
  <c r="Z685" i="18"/>
  <c r="AA685" i="18"/>
  <c r="AC685" i="18"/>
  <c r="AD685" i="18"/>
  <c r="AE685" i="18"/>
  <c r="Y686" i="18"/>
  <c r="D428" i="4"/>
  <c r="Z686" i="18"/>
  <c r="AA686" i="18"/>
  <c r="AC686" i="18"/>
  <c r="AD686" i="18"/>
  <c r="AE686" i="18"/>
  <c r="Y687" i="18"/>
  <c r="Z687" i="18"/>
  <c r="AA687" i="18"/>
  <c r="AC687" i="18"/>
  <c r="AD687" i="18"/>
  <c r="AE687" i="18"/>
  <c r="Y688" i="18"/>
  <c r="Z688" i="18"/>
  <c r="AA688" i="18"/>
  <c r="AC688" i="18"/>
  <c r="AD688" i="18"/>
  <c r="AE688" i="18"/>
  <c r="Y689" i="18"/>
  <c r="Z689" i="18"/>
  <c r="AA689" i="18"/>
  <c r="AC689" i="18"/>
  <c r="AD689" i="18"/>
  <c r="AE689" i="18"/>
  <c r="Y690" i="18"/>
  <c r="Z690" i="18"/>
  <c r="AA690" i="18"/>
  <c r="AC690" i="18"/>
  <c r="AD690" i="18"/>
  <c r="AE690" i="18"/>
  <c r="Y691" i="18"/>
  <c r="Z691" i="18"/>
  <c r="AA691" i="18"/>
  <c r="AC691" i="18"/>
  <c r="AD691" i="18"/>
  <c r="AE691" i="18"/>
  <c r="Y692" i="18"/>
  <c r="Z692" i="18"/>
  <c r="AA692" i="18"/>
  <c r="AC692" i="18"/>
  <c r="AD692" i="18"/>
  <c r="AE692" i="18"/>
  <c r="Y693" i="18"/>
  <c r="Z693" i="18"/>
  <c r="AA693" i="18"/>
  <c r="AC693" i="18"/>
  <c r="AD693" i="18"/>
  <c r="AE693" i="18"/>
  <c r="Y694" i="18"/>
  <c r="Z694" i="18"/>
  <c r="AA694" i="18"/>
  <c r="AC694" i="18"/>
  <c r="AD694" i="18"/>
  <c r="AE694" i="18"/>
  <c r="Y695" i="18"/>
  <c r="Z695" i="18"/>
  <c r="AA695" i="18"/>
  <c r="AC695" i="18"/>
  <c r="AD695" i="18"/>
  <c r="AE695" i="18"/>
  <c r="Y696" i="18"/>
  <c r="Z696" i="18"/>
  <c r="AA696" i="18"/>
  <c r="AC696" i="18"/>
  <c r="AD696" i="18"/>
  <c r="AE696" i="18"/>
  <c r="Y697" i="18"/>
  <c r="Z697" i="18"/>
  <c r="AA697" i="18"/>
  <c r="AC697" i="18"/>
  <c r="AD697" i="18"/>
  <c r="AE697" i="18"/>
  <c r="Y698" i="18"/>
  <c r="Z698" i="18"/>
  <c r="AA698" i="18"/>
  <c r="AC698" i="18"/>
  <c r="AD698" i="18"/>
  <c r="AE698" i="18"/>
  <c r="Y699" i="18"/>
  <c r="Z699" i="18"/>
  <c r="AA699" i="18"/>
  <c r="AC699" i="18"/>
  <c r="AD699" i="18"/>
  <c r="AE699" i="18"/>
  <c r="Y700" i="18"/>
  <c r="Z700" i="18"/>
  <c r="AA700" i="18"/>
  <c r="AC700" i="18"/>
  <c r="AD700" i="18"/>
  <c r="AE700" i="18"/>
  <c r="Y701" i="18"/>
  <c r="Z701" i="18"/>
  <c r="AA701" i="18"/>
  <c r="AC701" i="18"/>
  <c r="AD701" i="18"/>
  <c r="AE701" i="18"/>
  <c r="Y702" i="18"/>
  <c r="Z702" i="18"/>
  <c r="AA702" i="18"/>
  <c r="AC702" i="18"/>
  <c r="AD702" i="18"/>
  <c r="AE702" i="18"/>
  <c r="Y703" i="18"/>
  <c r="Z703" i="18"/>
  <c r="AA703" i="18"/>
  <c r="AC703" i="18"/>
  <c r="AD703" i="18"/>
  <c r="AE703" i="18"/>
  <c r="Y704" i="18"/>
  <c r="Z704" i="18"/>
  <c r="AA704" i="18"/>
  <c r="AC704" i="18"/>
  <c r="AD704" i="18"/>
  <c r="AE704" i="18"/>
  <c r="Y705" i="18"/>
  <c r="D432" i="4"/>
  <c r="Z705" i="18"/>
  <c r="AA705" i="18"/>
  <c r="AC705" i="18"/>
  <c r="AD705" i="18"/>
  <c r="AE705" i="18"/>
  <c r="Y706" i="18"/>
  <c r="Z706" i="18"/>
  <c r="AA706" i="18"/>
  <c r="AC706" i="18"/>
  <c r="AD706" i="18"/>
  <c r="AE706" i="18"/>
  <c r="Y707" i="18"/>
  <c r="Z707" i="18"/>
  <c r="AA707" i="18"/>
  <c r="AC707" i="18"/>
  <c r="AD707" i="18"/>
  <c r="AE707" i="18"/>
  <c r="Y708" i="18"/>
  <c r="Z708" i="18"/>
  <c r="AA708" i="18"/>
  <c r="AC708" i="18"/>
  <c r="AD708" i="18"/>
  <c r="AE708" i="18"/>
  <c r="Y709" i="18"/>
  <c r="Z709" i="18"/>
  <c r="AA709" i="18"/>
  <c r="AC709" i="18"/>
  <c r="AD709" i="18"/>
  <c r="AE709" i="18"/>
  <c r="Y710" i="18"/>
  <c r="Z710" i="18"/>
  <c r="AA710" i="18"/>
  <c r="AC710" i="18"/>
  <c r="AD710" i="18"/>
  <c r="AE710" i="18"/>
  <c r="Y711" i="18"/>
  <c r="Z711" i="18"/>
  <c r="AA711" i="18"/>
  <c r="AC711" i="18"/>
  <c r="AD711" i="18"/>
  <c r="AE711" i="18"/>
  <c r="Y712" i="18"/>
  <c r="Z712" i="18"/>
  <c r="AA712" i="18"/>
  <c r="AC712" i="18"/>
  <c r="AD712" i="18"/>
  <c r="AE712" i="18"/>
  <c r="Y713" i="18"/>
  <c r="Z713" i="18"/>
  <c r="AA713" i="18"/>
  <c r="AC713" i="18"/>
  <c r="AD713" i="18"/>
  <c r="AE713" i="18"/>
  <c r="Y714" i="18"/>
  <c r="Z714" i="18"/>
  <c r="AA714" i="18"/>
  <c r="AC714" i="18"/>
  <c r="AD714" i="18"/>
  <c r="AE714" i="18"/>
  <c r="Y715" i="18"/>
  <c r="Z715" i="18"/>
  <c r="AA715" i="18"/>
  <c r="AC715" i="18"/>
  <c r="AD715" i="18"/>
  <c r="AE715" i="18"/>
  <c r="Y716" i="18"/>
  <c r="Z716" i="18"/>
  <c r="AA716" i="18"/>
  <c r="AC716" i="18"/>
  <c r="AD716" i="18"/>
  <c r="AE716" i="18"/>
  <c r="Y717" i="18"/>
  <c r="Z717" i="18"/>
  <c r="AA717" i="18"/>
  <c r="AC717" i="18"/>
  <c r="AD717" i="18"/>
  <c r="AE717" i="18"/>
  <c r="Y718" i="18"/>
  <c r="D438" i="4"/>
  <c r="Z718" i="18"/>
  <c r="AA718" i="18"/>
  <c r="AC718" i="18"/>
  <c r="AD718" i="18"/>
  <c r="AE718" i="18"/>
  <c r="Y719" i="18"/>
  <c r="Z719" i="18"/>
  <c r="AA719" i="18"/>
  <c r="AC719" i="18"/>
  <c r="AD719" i="18"/>
  <c r="AE719" i="18"/>
  <c r="Y720" i="18"/>
  <c r="Z720" i="18"/>
  <c r="AA720" i="18"/>
  <c r="AC720" i="18"/>
  <c r="AD720" i="18"/>
  <c r="AE720" i="18"/>
  <c r="Y721" i="18"/>
  <c r="Z721" i="18"/>
  <c r="AA721" i="18"/>
  <c r="AC721" i="18"/>
  <c r="AD721" i="18"/>
  <c r="AE721" i="18"/>
  <c r="Y722" i="18"/>
  <c r="Z722" i="18"/>
  <c r="AA722" i="18"/>
  <c r="AC722" i="18"/>
  <c r="AD722" i="18"/>
  <c r="AE722" i="18"/>
  <c r="Y723" i="18"/>
  <c r="Z723" i="18"/>
  <c r="AA723" i="18"/>
  <c r="AC723" i="18"/>
  <c r="AD723" i="18"/>
  <c r="AE723" i="18"/>
  <c r="Y724" i="18"/>
  <c r="Z724" i="18"/>
  <c r="AA724" i="18"/>
  <c r="AC724" i="18"/>
  <c r="AD724" i="18"/>
  <c r="AE724" i="18"/>
  <c r="Y725" i="18"/>
  <c r="Z725" i="18"/>
  <c r="AA725" i="18"/>
  <c r="AC725" i="18"/>
  <c r="AD725" i="18"/>
  <c r="AE725" i="18"/>
  <c r="Y726" i="18"/>
  <c r="Z726" i="18"/>
  <c r="AA726" i="18"/>
  <c r="AC726" i="18"/>
  <c r="AD726" i="18"/>
  <c r="AE726" i="18"/>
  <c r="Y727" i="18"/>
  <c r="Z727" i="18"/>
  <c r="AA727" i="18"/>
  <c r="AC727" i="18"/>
  <c r="AD727" i="18"/>
  <c r="AE727" i="18"/>
  <c r="Y728" i="18"/>
  <c r="Z728" i="18"/>
  <c r="AA728" i="18"/>
  <c r="AC728" i="18"/>
  <c r="AD728" i="18"/>
  <c r="AE728" i="18"/>
  <c r="Y729" i="18"/>
  <c r="Z729" i="18"/>
  <c r="AA729" i="18"/>
  <c r="AC729" i="18"/>
  <c r="AD729" i="18"/>
  <c r="AE729" i="18"/>
  <c r="Y730" i="18"/>
  <c r="Z730" i="18"/>
  <c r="AA730" i="18"/>
  <c r="AC730" i="18"/>
  <c r="AD730" i="18"/>
  <c r="AE730" i="18"/>
  <c r="Y731" i="18"/>
  <c r="Z731" i="18"/>
  <c r="AA731" i="18"/>
  <c r="AC731" i="18"/>
  <c r="AD731" i="18"/>
  <c r="AE731" i="18"/>
  <c r="Y732" i="18"/>
  <c r="Z732" i="18"/>
  <c r="AA732" i="18"/>
  <c r="AC732" i="18"/>
  <c r="AD732" i="18"/>
  <c r="AE732" i="18"/>
  <c r="Y733" i="18"/>
  <c r="Z733" i="18"/>
  <c r="AA733" i="18"/>
  <c r="AC733" i="18"/>
  <c r="AD733" i="18"/>
  <c r="AE733" i="18"/>
  <c r="Y734" i="18"/>
  <c r="Z734" i="18"/>
  <c r="AA734" i="18"/>
  <c r="AC734" i="18"/>
  <c r="AD734" i="18"/>
  <c r="AE734" i="18"/>
  <c r="Y735" i="18"/>
  <c r="Z735" i="18"/>
  <c r="AA735" i="18"/>
  <c r="AC735" i="18"/>
  <c r="AD735" i="18"/>
  <c r="AE735" i="18"/>
  <c r="Y736" i="18"/>
  <c r="Z736" i="18"/>
  <c r="AA736" i="18"/>
  <c r="AC736" i="18"/>
  <c r="AD736" i="18"/>
  <c r="AE736" i="18"/>
  <c r="Y737" i="18"/>
  <c r="Z737" i="18"/>
  <c r="AA737" i="18"/>
  <c r="AC737" i="18"/>
  <c r="AD737" i="18"/>
  <c r="AE737" i="18"/>
  <c r="Y738" i="18"/>
  <c r="Z738" i="18"/>
  <c r="AA738" i="18"/>
  <c r="AC738" i="18"/>
  <c r="AD738" i="18"/>
  <c r="AE738" i="18"/>
  <c r="Y739" i="18"/>
  <c r="Z739" i="18"/>
  <c r="AA739" i="18"/>
  <c r="AC739" i="18"/>
  <c r="AD739" i="18"/>
  <c r="AE739" i="18"/>
  <c r="Y740" i="18"/>
  <c r="Z740" i="18"/>
  <c r="AA740" i="18"/>
  <c r="AC740" i="18"/>
  <c r="AD740" i="18"/>
  <c r="AE740" i="18"/>
  <c r="Y741" i="18"/>
  <c r="Z741" i="18"/>
  <c r="AA741" i="18"/>
  <c r="AC741" i="18"/>
  <c r="AD741" i="18"/>
  <c r="AE741" i="18"/>
  <c r="Y742" i="18"/>
  <c r="Z742" i="18"/>
  <c r="AA742" i="18"/>
  <c r="AC742" i="18"/>
  <c r="AD742" i="18"/>
  <c r="AE742" i="18"/>
  <c r="Y743" i="18"/>
  <c r="Z743" i="18"/>
  <c r="AA743" i="18"/>
  <c r="AC743" i="18"/>
  <c r="AD743" i="18"/>
  <c r="AE743" i="18"/>
  <c r="Y744" i="18"/>
  <c r="Z744" i="18"/>
  <c r="AA744" i="18"/>
  <c r="AC744" i="18"/>
  <c r="AD744" i="18"/>
  <c r="AE744" i="18"/>
  <c r="Y745" i="18"/>
  <c r="Z745" i="18"/>
  <c r="AA745" i="18"/>
  <c r="AC745" i="18"/>
  <c r="AD745" i="18"/>
  <c r="AE745" i="18"/>
  <c r="Y746" i="18"/>
  <c r="Z746" i="18"/>
  <c r="AA746" i="18"/>
  <c r="AC746" i="18"/>
  <c r="AD746" i="18"/>
  <c r="AE746" i="18"/>
  <c r="Y747" i="18"/>
  <c r="Z747" i="18"/>
  <c r="AA747" i="18"/>
  <c r="AC747" i="18"/>
  <c r="AD747" i="18"/>
  <c r="AE747" i="18"/>
  <c r="Y748" i="18"/>
  <c r="Z748" i="18"/>
  <c r="AA748" i="18"/>
  <c r="AC748" i="18"/>
  <c r="AD748" i="18"/>
  <c r="AE748" i="18"/>
  <c r="Y749" i="18"/>
  <c r="Z749" i="18"/>
  <c r="AA749" i="18"/>
  <c r="AC749" i="18"/>
  <c r="AD749" i="18"/>
  <c r="AE749" i="18"/>
  <c r="Y750" i="18"/>
  <c r="Z750" i="18"/>
  <c r="AA750" i="18"/>
  <c r="AC750" i="18"/>
  <c r="AD750" i="18"/>
  <c r="AE750" i="18"/>
  <c r="Y751" i="18"/>
  <c r="Z751" i="18"/>
  <c r="AA751" i="18"/>
  <c r="AC751" i="18"/>
  <c r="AD751" i="18"/>
  <c r="AE751" i="18"/>
  <c r="Y752" i="18"/>
  <c r="Z752" i="18"/>
  <c r="AA752" i="18"/>
  <c r="AC752" i="18"/>
  <c r="AD752" i="18"/>
  <c r="AE752" i="18"/>
  <c r="Y753" i="18"/>
  <c r="Z753" i="18"/>
  <c r="AA753" i="18"/>
  <c r="AC753" i="18"/>
  <c r="AD753" i="18"/>
  <c r="AE753" i="18"/>
  <c r="Y754" i="18"/>
  <c r="Z754" i="18"/>
  <c r="AA754" i="18"/>
  <c r="AC754" i="18"/>
  <c r="AD754" i="18"/>
  <c r="AE754" i="18"/>
  <c r="Y755" i="18"/>
  <c r="Z755" i="18"/>
  <c r="AA755" i="18"/>
  <c r="AC755" i="18"/>
  <c r="AD755" i="18"/>
  <c r="AE755" i="18"/>
  <c r="Y756" i="18"/>
  <c r="Z756" i="18"/>
  <c r="AA756" i="18"/>
  <c r="AC756" i="18"/>
  <c r="AD756" i="18"/>
  <c r="AE756" i="18"/>
  <c r="Y757" i="18"/>
  <c r="Z757" i="18"/>
  <c r="AA757" i="18"/>
  <c r="AC757" i="18"/>
  <c r="AD757" i="18"/>
  <c r="AE757" i="18"/>
  <c r="Y758" i="18"/>
  <c r="Z758" i="18"/>
  <c r="AA758" i="18"/>
  <c r="AC758" i="18"/>
  <c r="AD758" i="18"/>
  <c r="AE758" i="18"/>
  <c r="Y759" i="18"/>
  <c r="Z759" i="18"/>
  <c r="AA759" i="18"/>
  <c r="AC759" i="18"/>
  <c r="AD759" i="18"/>
  <c r="AE759" i="18"/>
  <c r="Y760" i="18"/>
  <c r="Z760" i="18"/>
  <c r="AA760" i="18"/>
  <c r="AC760" i="18"/>
  <c r="AD760" i="18"/>
  <c r="AE760" i="18"/>
  <c r="Y761" i="18"/>
  <c r="Z761" i="18"/>
  <c r="AA761" i="18"/>
  <c r="AC761" i="18"/>
  <c r="AD761" i="18"/>
  <c r="AE761" i="18"/>
  <c r="Y762" i="18"/>
  <c r="Z762" i="18"/>
  <c r="AA762" i="18"/>
  <c r="AC762" i="18"/>
  <c r="AD762" i="18"/>
  <c r="AE762" i="18"/>
  <c r="Y763" i="18"/>
  <c r="Z763" i="18"/>
  <c r="AA763" i="18"/>
  <c r="AC763" i="18"/>
  <c r="AD763" i="18"/>
  <c r="AE763" i="18"/>
  <c r="Y764" i="18"/>
  <c r="Z764" i="18"/>
  <c r="AA764" i="18"/>
  <c r="AC764" i="18"/>
  <c r="AD764" i="18"/>
  <c r="AE764" i="18"/>
  <c r="Y765" i="18"/>
  <c r="Z765" i="18"/>
  <c r="AA765" i="18"/>
  <c r="AC765" i="18"/>
  <c r="AD765" i="18"/>
  <c r="AE765" i="18"/>
  <c r="Y766" i="18"/>
  <c r="Z766" i="18"/>
  <c r="AA766" i="18"/>
  <c r="AC766" i="18"/>
  <c r="AD766" i="18"/>
  <c r="AE766" i="18"/>
  <c r="Y767" i="18"/>
  <c r="Z767" i="18"/>
  <c r="AA767" i="18"/>
  <c r="AC767" i="18"/>
  <c r="AD767" i="18"/>
  <c r="AE767" i="18"/>
  <c r="Y768" i="18"/>
  <c r="Z768" i="18"/>
  <c r="AA768" i="18"/>
  <c r="AC768" i="18"/>
  <c r="AD768" i="18"/>
  <c r="AE768" i="18"/>
  <c r="Y769" i="18"/>
  <c r="Z769" i="18"/>
  <c r="AA769" i="18"/>
  <c r="AC769" i="18"/>
  <c r="AD769" i="18"/>
  <c r="AE769" i="18"/>
  <c r="Y770" i="18"/>
  <c r="Z770" i="18"/>
  <c r="AA770" i="18"/>
  <c r="AC770" i="18"/>
  <c r="AD770" i="18"/>
  <c r="AE770" i="18"/>
  <c r="Y771" i="18"/>
  <c r="Z771" i="18"/>
  <c r="AA771" i="18"/>
  <c r="AC771" i="18"/>
  <c r="AD771" i="18"/>
  <c r="AE771" i="18"/>
  <c r="Y772" i="18"/>
  <c r="Z772" i="18"/>
  <c r="AA772" i="18"/>
  <c r="AC772" i="18"/>
  <c r="AD772" i="18"/>
  <c r="AE772" i="18"/>
  <c r="Y773" i="18"/>
  <c r="Z773" i="18"/>
  <c r="AA773" i="18"/>
  <c r="AC773" i="18"/>
  <c r="AD773" i="18"/>
  <c r="AE773" i="18"/>
  <c r="Y774" i="18"/>
  <c r="Z774" i="18"/>
  <c r="AA774" i="18"/>
  <c r="AC774" i="18"/>
  <c r="AD774" i="18"/>
  <c r="AE774" i="18"/>
  <c r="Y775" i="18"/>
  <c r="Z775" i="18"/>
  <c r="AA775" i="18"/>
  <c r="AC775" i="18"/>
  <c r="AD775" i="18"/>
  <c r="AE775" i="18"/>
  <c r="Y776" i="18"/>
  <c r="Z776" i="18"/>
  <c r="AA776" i="18"/>
  <c r="AC776" i="18"/>
  <c r="AD776" i="18"/>
  <c r="AE776" i="18"/>
  <c r="Y777" i="18"/>
  <c r="Z777" i="18"/>
  <c r="AA777" i="18"/>
  <c r="AC777" i="18"/>
  <c r="AD777" i="18"/>
  <c r="AE777" i="18"/>
  <c r="Y778" i="18"/>
  <c r="Z778" i="18"/>
  <c r="AA778" i="18"/>
  <c r="AC778" i="18"/>
  <c r="AD778" i="18"/>
  <c r="AE778" i="18"/>
  <c r="Y779" i="18"/>
  <c r="Z779" i="18"/>
  <c r="AA779" i="18"/>
  <c r="AC779" i="18"/>
  <c r="AD779" i="18"/>
  <c r="AE779" i="18"/>
  <c r="Y780" i="18"/>
  <c r="Z780" i="18"/>
  <c r="AA780" i="18"/>
  <c r="AC780" i="18"/>
  <c r="AD780" i="18"/>
  <c r="AE780" i="18"/>
  <c r="Y781" i="18"/>
  <c r="Z781" i="18"/>
  <c r="AA781" i="18"/>
  <c r="AC781" i="18"/>
  <c r="AD781" i="18"/>
  <c r="AE781" i="18"/>
  <c r="Y782" i="18"/>
  <c r="Z782" i="18"/>
  <c r="AA782" i="18"/>
  <c r="AC782" i="18"/>
  <c r="AD782" i="18"/>
  <c r="AE782" i="18"/>
  <c r="Y783" i="18"/>
  <c r="Z783" i="18"/>
  <c r="AA783" i="18"/>
  <c r="AC783" i="18"/>
  <c r="AD783" i="18"/>
  <c r="AE783" i="18"/>
  <c r="Y784" i="18"/>
  <c r="Z784" i="18"/>
  <c r="AA784" i="18"/>
  <c r="AC784" i="18"/>
  <c r="AD784" i="18"/>
  <c r="AE784" i="18"/>
  <c r="Y785" i="18"/>
  <c r="Z785" i="18"/>
  <c r="AA785" i="18"/>
  <c r="AC785" i="18"/>
  <c r="AD785" i="18"/>
  <c r="AE785" i="18"/>
  <c r="Y786" i="18"/>
  <c r="Z786" i="18"/>
  <c r="AA786" i="18"/>
  <c r="AC786" i="18"/>
  <c r="AD786" i="18"/>
  <c r="AE786" i="18"/>
  <c r="Y787" i="18"/>
  <c r="Z787" i="18"/>
  <c r="AA787" i="18"/>
  <c r="AC787" i="18"/>
  <c r="AD787" i="18"/>
  <c r="AE787" i="18"/>
  <c r="Y788" i="18"/>
  <c r="Z788" i="18"/>
  <c r="AA788" i="18"/>
  <c r="AC788" i="18"/>
  <c r="AD788" i="18"/>
  <c r="AE788" i="18"/>
  <c r="Y789" i="18"/>
  <c r="Z789" i="18"/>
  <c r="AA789" i="18"/>
  <c r="AC789" i="18"/>
  <c r="AD789" i="18"/>
  <c r="AE789" i="18"/>
  <c r="Y790" i="18"/>
  <c r="Z790" i="18"/>
  <c r="AA790" i="18"/>
  <c r="AC790" i="18"/>
  <c r="AD790" i="18"/>
  <c r="AE790" i="18"/>
  <c r="Y791" i="18"/>
  <c r="Z791" i="18"/>
  <c r="AA791" i="18"/>
  <c r="AC791" i="18"/>
  <c r="AD791" i="18"/>
  <c r="AE791" i="18"/>
  <c r="Y792" i="18"/>
  <c r="Z792" i="18"/>
  <c r="AA792" i="18"/>
  <c r="AC792" i="18"/>
  <c r="AD792" i="18"/>
  <c r="AE792" i="18"/>
  <c r="Y793" i="18"/>
  <c r="Z793" i="18"/>
  <c r="AA793" i="18"/>
  <c r="AC793" i="18"/>
  <c r="AD793" i="18"/>
  <c r="AE793" i="18"/>
  <c r="Y794" i="18"/>
  <c r="Z794" i="18"/>
  <c r="AA794" i="18"/>
  <c r="AC794" i="18"/>
  <c r="AD794" i="18"/>
  <c r="AE794" i="18"/>
  <c r="Y795" i="18"/>
  <c r="Z795" i="18"/>
  <c r="AA795" i="18"/>
  <c r="AC795" i="18"/>
  <c r="AD795" i="18"/>
  <c r="AE795" i="18"/>
  <c r="Y796" i="18"/>
  <c r="Z796" i="18"/>
  <c r="AA796" i="18"/>
  <c r="AC796" i="18"/>
  <c r="AD796" i="18"/>
  <c r="AE796" i="18"/>
  <c r="Y797" i="18"/>
  <c r="Z797" i="18"/>
  <c r="AA797" i="18"/>
  <c r="AC797" i="18"/>
  <c r="AD797" i="18"/>
  <c r="AE797" i="18"/>
  <c r="Y798" i="18"/>
  <c r="Z798" i="18"/>
  <c r="AA798" i="18"/>
  <c r="AC798" i="18"/>
  <c r="AD798" i="18"/>
  <c r="AE798" i="18"/>
  <c r="Y799" i="18"/>
  <c r="Z799" i="18"/>
  <c r="AA799" i="18"/>
  <c r="AC799" i="18"/>
  <c r="AD799" i="18"/>
  <c r="AE799" i="18"/>
  <c r="Y800" i="18"/>
  <c r="Z800" i="18"/>
  <c r="AA800" i="18"/>
  <c r="AC800" i="18"/>
  <c r="AD800" i="18"/>
  <c r="AE800" i="18"/>
  <c r="Y801" i="18"/>
  <c r="Z801" i="18"/>
  <c r="AA801" i="18"/>
  <c r="AC801" i="18"/>
  <c r="AD801" i="18"/>
  <c r="AE801" i="18"/>
  <c r="Y802" i="18"/>
  <c r="Z802" i="18"/>
  <c r="AA802" i="18"/>
  <c r="AC802" i="18"/>
  <c r="AD802" i="18"/>
  <c r="AE802" i="18"/>
  <c r="Y803" i="18"/>
  <c r="D455" i="4"/>
  <c r="Z803" i="18"/>
  <c r="AA803" i="18"/>
  <c r="AC803" i="18"/>
  <c r="AD803" i="18"/>
  <c r="AE803" i="18"/>
  <c r="Y804" i="18"/>
  <c r="Z804" i="18"/>
  <c r="AA804" i="18"/>
  <c r="AC804" i="18"/>
  <c r="AD804" i="18"/>
  <c r="AE804" i="18"/>
  <c r="Y805" i="18"/>
  <c r="D457" i="4"/>
  <c r="Z805" i="18"/>
  <c r="AA805" i="18"/>
  <c r="AC805" i="18"/>
  <c r="AD805" i="18"/>
  <c r="AE805" i="18"/>
  <c r="Y806" i="18"/>
  <c r="Z806" i="18"/>
  <c r="AA806" i="18"/>
  <c r="AC806" i="18"/>
  <c r="AD806" i="18"/>
  <c r="AE806" i="18"/>
  <c r="Y807" i="18"/>
  <c r="D459" i="4"/>
  <c r="Z807" i="18"/>
  <c r="AA807" i="18"/>
  <c r="AC807" i="18"/>
  <c r="AD807" i="18"/>
  <c r="AE807" i="18"/>
  <c r="Y808" i="18"/>
  <c r="Z808" i="18"/>
  <c r="AA808" i="18"/>
  <c r="AC808" i="18"/>
  <c r="AD808" i="18"/>
  <c r="AE808" i="18"/>
  <c r="Y809" i="18"/>
  <c r="Z809" i="18"/>
  <c r="AA809" i="18"/>
  <c r="AC809" i="18"/>
  <c r="AD809" i="18"/>
  <c r="AE809" i="18"/>
  <c r="Y810" i="18"/>
  <c r="Z810" i="18"/>
  <c r="AA810" i="18"/>
  <c r="AC810" i="18"/>
  <c r="AD810" i="18"/>
  <c r="AE810" i="18"/>
  <c r="Y811" i="18"/>
  <c r="Z811" i="18"/>
  <c r="AA811" i="18"/>
  <c r="AC811" i="18"/>
  <c r="AD811" i="18"/>
  <c r="AE811" i="18"/>
  <c r="Y812" i="18"/>
  <c r="Z812" i="18"/>
  <c r="AA812" i="18"/>
  <c r="AC812" i="18"/>
  <c r="AD812" i="18"/>
  <c r="AE812" i="18"/>
  <c r="Y813" i="18"/>
  <c r="D465" i="4"/>
  <c r="Z813" i="18"/>
  <c r="AA813" i="18"/>
  <c r="AC813" i="18"/>
  <c r="AD813" i="18"/>
  <c r="AE813" i="18"/>
  <c r="Y814" i="18"/>
  <c r="D466" i="4"/>
  <c r="Z814" i="18"/>
  <c r="AA814" i="18"/>
  <c r="AC814" i="18"/>
  <c r="AD814" i="18"/>
  <c r="AE814" i="18"/>
  <c r="Y815" i="18"/>
  <c r="Z815" i="18"/>
  <c r="AA815" i="18"/>
  <c r="AC815" i="18"/>
  <c r="AD815" i="18"/>
  <c r="AE815" i="18"/>
  <c r="Y816" i="18"/>
  <c r="Z816" i="18"/>
  <c r="AA816" i="18"/>
  <c r="AC816" i="18"/>
  <c r="AD816" i="18"/>
  <c r="AE816" i="18"/>
  <c r="Y817" i="18"/>
  <c r="Z817" i="18"/>
  <c r="AA817" i="18"/>
  <c r="AC817" i="18"/>
  <c r="AD817" i="18"/>
  <c r="AE817" i="18"/>
  <c r="Y818" i="18"/>
  <c r="Z818" i="18"/>
  <c r="AA818" i="18"/>
  <c r="AC818" i="18"/>
  <c r="AD818" i="18"/>
  <c r="AE818" i="18"/>
  <c r="Y819" i="18"/>
  <c r="Z819" i="18"/>
  <c r="AA819" i="18"/>
  <c r="AC819" i="18"/>
  <c r="AD819" i="18"/>
  <c r="AE819" i="18"/>
  <c r="Y820" i="18"/>
  <c r="D469" i="4"/>
  <c r="Z820" i="18"/>
  <c r="AA820" i="18"/>
  <c r="AC820" i="18"/>
  <c r="AD820" i="18"/>
  <c r="AE820" i="18"/>
  <c r="Y821" i="18"/>
  <c r="Z821" i="18"/>
  <c r="AA821" i="18"/>
  <c r="AC821" i="18"/>
  <c r="AD821" i="18"/>
  <c r="AE821" i="18"/>
  <c r="Y822" i="18"/>
  <c r="Z822" i="18"/>
  <c r="AA822" i="18"/>
  <c r="AC822" i="18"/>
  <c r="AD822" i="18"/>
  <c r="AE822" i="18"/>
  <c r="Y823" i="18"/>
  <c r="Z823" i="18"/>
  <c r="AA823" i="18"/>
  <c r="AC823" i="18"/>
  <c r="AD823" i="18"/>
  <c r="AE823" i="18"/>
  <c r="Y824" i="18"/>
  <c r="Z824" i="18"/>
  <c r="AA824" i="18"/>
  <c r="AC824" i="18"/>
  <c r="AD824" i="18"/>
  <c r="AE824" i="18"/>
  <c r="Y825" i="18"/>
  <c r="Z825" i="18"/>
  <c r="AA825" i="18"/>
  <c r="AC825" i="18"/>
  <c r="AD825" i="18"/>
  <c r="AE825" i="18"/>
  <c r="Y826" i="18"/>
  <c r="D473" i="4"/>
  <c r="Z826" i="18"/>
  <c r="AA826" i="18"/>
  <c r="AC826" i="18"/>
  <c r="AD826" i="18"/>
  <c r="AE826" i="18"/>
  <c r="Y827" i="18"/>
  <c r="Z827" i="18"/>
  <c r="AA827" i="18"/>
  <c r="AC827" i="18"/>
  <c r="AD827" i="18"/>
  <c r="AE827" i="18"/>
  <c r="D475" i="4"/>
  <c r="Z828" i="18"/>
  <c r="AA828" i="18"/>
  <c r="AC828" i="18"/>
  <c r="AD828" i="18"/>
  <c r="AE828" i="18"/>
  <c r="Y829" i="18"/>
  <c r="Z829" i="18"/>
  <c r="AA829" i="18"/>
  <c r="AC829" i="18"/>
  <c r="AD829" i="18"/>
  <c r="AE829" i="18"/>
  <c r="Y830" i="18"/>
  <c r="Z830" i="18"/>
  <c r="AA830" i="18"/>
  <c r="AC830" i="18"/>
  <c r="AD830" i="18"/>
  <c r="AE830" i="18"/>
  <c r="Y831" i="18"/>
  <c r="Z831" i="18"/>
  <c r="AA831" i="18"/>
  <c r="AC831" i="18"/>
  <c r="AD831" i="18"/>
  <c r="AE831" i="18"/>
  <c r="Y832" i="18"/>
  <c r="Z832" i="18"/>
  <c r="AA832" i="18"/>
  <c r="AC832" i="18"/>
  <c r="AD832" i="18"/>
  <c r="AE832" i="18"/>
  <c r="Y833" i="18"/>
  <c r="Z833" i="18"/>
  <c r="AA833" i="18"/>
  <c r="AC833" i="18"/>
  <c r="AD833" i="18"/>
  <c r="AE833" i="18"/>
  <c r="Y834" i="18"/>
  <c r="Z834" i="18"/>
  <c r="AA834" i="18"/>
  <c r="AC834" i="18"/>
  <c r="AD834" i="18"/>
  <c r="AE834" i="18"/>
  <c r="Y835" i="18"/>
  <c r="Z835" i="18"/>
  <c r="AA835" i="18"/>
  <c r="AC835" i="18"/>
  <c r="AD835" i="18"/>
  <c r="AE835" i="18"/>
  <c r="Y836" i="18"/>
  <c r="D481" i="4"/>
  <c r="Z836" i="18"/>
  <c r="AA836" i="18"/>
  <c r="AC836" i="18"/>
  <c r="AD836" i="18"/>
  <c r="AE836" i="18"/>
  <c r="Y837" i="18"/>
  <c r="Z837" i="18"/>
  <c r="AA837" i="18"/>
  <c r="AC837" i="18"/>
  <c r="AD837" i="18"/>
  <c r="AE837" i="18"/>
  <c r="Y838" i="18"/>
  <c r="Z838" i="18"/>
  <c r="AA838" i="18"/>
  <c r="AC838" i="18"/>
  <c r="AD838" i="18"/>
  <c r="AE838" i="18"/>
  <c r="Y839" i="18"/>
  <c r="Z839" i="18"/>
  <c r="AA839" i="18"/>
  <c r="AC839" i="18"/>
  <c r="AD839" i="18"/>
  <c r="AE839" i="18"/>
  <c r="Y840" i="18"/>
  <c r="D485" i="4"/>
  <c r="Z840" i="18"/>
  <c r="AA840" i="18"/>
  <c r="AC840" i="18"/>
  <c r="AD840" i="18"/>
  <c r="AE840" i="18"/>
  <c r="Y841" i="18"/>
  <c r="Z841" i="18"/>
  <c r="AA841" i="18"/>
  <c r="AC841" i="18"/>
  <c r="AD841" i="18"/>
  <c r="AE841" i="18"/>
  <c r="Y842" i="18"/>
  <c r="Z842" i="18"/>
  <c r="AA842" i="18"/>
  <c r="AC842" i="18"/>
  <c r="AD842" i="18"/>
  <c r="AE842" i="18"/>
  <c r="Y843" i="18"/>
  <c r="Z843" i="18"/>
  <c r="AA843" i="18"/>
  <c r="AC843" i="18"/>
  <c r="AD843" i="18"/>
  <c r="AE843" i="18"/>
  <c r="Y844" i="18"/>
  <c r="Z844" i="18"/>
  <c r="AA844" i="18"/>
  <c r="AC844" i="18"/>
  <c r="AD844" i="18"/>
  <c r="AE844" i="18"/>
  <c r="Y845" i="18"/>
  <c r="Z845" i="18"/>
  <c r="AA845" i="18"/>
  <c r="AC845" i="18"/>
  <c r="AD845" i="18"/>
  <c r="AE845" i="18"/>
  <c r="Y846" i="18"/>
  <c r="Z846" i="18"/>
  <c r="AA846" i="18"/>
  <c r="AC846" i="18"/>
  <c r="AD846" i="18"/>
  <c r="AE846" i="18"/>
  <c r="Y847" i="18"/>
  <c r="Z847" i="18"/>
  <c r="AA847" i="18"/>
  <c r="AC847" i="18"/>
  <c r="AD847" i="18"/>
  <c r="AE847" i="18"/>
  <c r="Y848" i="18"/>
  <c r="Z848" i="18"/>
  <c r="AA848" i="18"/>
  <c r="AC848" i="18"/>
  <c r="AD848" i="18"/>
  <c r="AE848" i="18"/>
  <c r="Y849" i="18"/>
  <c r="Z849" i="18"/>
  <c r="AA849" i="18"/>
  <c r="AC849" i="18"/>
  <c r="AD849" i="18"/>
  <c r="AE849" i="18"/>
  <c r="Y850" i="18"/>
  <c r="Z850" i="18"/>
  <c r="AA850" i="18"/>
  <c r="AC850" i="18"/>
  <c r="AD850" i="18"/>
  <c r="AE850" i="18"/>
  <c r="Y851" i="18"/>
  <c r="D506" i="4"/>
  <c r="Z851" i="18"/>
  <c r="AA851" i="18"/>
  <c r="AC851" i="18"/>
  <c r="AD851" i="18"/>
  <c r="AE851" i="18"/>
  <c r="Y852" i="18"/>
  <c r="D507" i="4"/>
  <c r="Z852" i="18"/>
  <c r="AA852" i="18"/>
  <c r="AC852" i="18"/>
  <c r="AD852" i="18"/>
  <c r="AE852" i="18"/>
  <c r="Y853" i="18"/>
  <c r="Z853" i="18"/>
  <c r="AA853" i="18"/>
  <c r="AC853" i="18"/>
  <c r="AD853" i="18"/>
  <c r="AE853" i="18"/>
  <c r="Y854" i="18"/>
  <c r="Z854" i="18"/>
  <c r="AA854" i="18"/>
  <c r="AC854" i="18"/>
  <c r="AD854" i="18"/>
  <c r="AE854" i="18"/>
  <c r="Y855" i="18"/>
  <c r="D541" i="4"/>
  <c r="D104" i="1"/>
  <c r="Z855" i="18"/>
  <c r="AA855" i="18"/>
  <c r="AC855" i="18"/>
  <c r="AD855" i="18"/>
  <c r="AE855" i="18"/>
  <c r="Y856" i="18"/>
  <c r="Z856" i="18"/>
  <c r="AA856" i="18"/>
  <c r="AC856" i="18"/>
  <c r="AD856" i="18"/>
  <c r="AE856" i="18"/>
  <c r="Y857" i="18"/>
  <c r="Z857" i="18"/>
  <c r="AA857" i="18"/>
  <c r="AC857" i="18"/>
  <c r="AD857" i="18"/>
  <c r="AE857" i="18"/>
  <c r="Y858" i="18"/>
  <c r="Z858" i="18"/>
  <c r="AA858" i="18"/>
  <c r="AC858" i="18"/>
  <c r="AD858" i="18"/>
  <c r="AE858" i="18"/>
  <c r="Y859" i="18"/>
  <c r="Z859" i="18"/>
  <c r="AA859" i="18"/>
  <c r="AC859" i="18"/>
  <c r="AD859" i="18"/>
  <c r="AE859" i="18"/>
  <c r="Y860" i="18"/>
  <c r="Z860" i="18"/>
  <c r="AA860" i="18"/>
  <c r="AC860" i="18"/>
  <c r="AD860" i="18"/>
  <c r="AE860" i="18"/>
  <c r="Y861" i="18"/>
  <c r="Z861" i="18"/>
  <c r="AA861" i="18"/>
  <c r="AC861" i="18"/>
  <c r="AD861" i="18"/>
  <c r="AE861" i="18"/>
  <c r="Y862" i="18"/>
  <c r="Z862" i="18"/>
  <c r="AA862" i="18"/>
  <c r="AC862" i="18"/>
  <c r="AD862" i="18"/>
  <c r="AE862" i="18"/>
  <c r="Y863" i="18"/>
  <c r="Z863" i="18"/>
  <c r="AA863" i="18"/>
  <c r="AC863" i="18"/>
  <c r="AD863" i="18"/>
  <c r="AE863" i="18"/>
  <c r="Y864" i="18"/>
  <c r="D550" i="4"/>
  <c r="Z864" i="18"/>
  <c r="AA864" i="18"/>
  <c r="AC864" i="18"/>
  <c r="AD864" i="18"/>
  <c r="AE864" i="18"/>
  <c r="Y865" i="18"/>
  <c r="Z865" i="18"/>
  <c r="AA865" i="18"/>
  <c r="AC865" i="18"/>
  <c r="AD865" i="18"/>
  <c r="AE865" i="18"/>
  <c r="Y866" i="18"/>
  <c r="D552" i="4"/>
  <c r="Z866" i="18"/>
  <c r="AA866" i="18"/>
  <c r="AC866" i="18"/>
  <c r="AD866" i="18"/>
  <c r="AE866" i="18"/>
  <c r="Y867" i="18"/>
  <c r="Z867" i="18"/>
  <c r="AA867" i="18"/>
  <c r="AC867" i="18"/>
  <c r="AD867" i="18"/>
  <c r="AE867" i="18"/>
  <c r="Y868" i="18"/>
  <c r="Z868" i="18"/>
  <c r="AA868" i="18"/>
  <c r="AC868" i="18"/>
  <c r="AD868" i="18"/>
  <c r="AE868" i="18"/>
  <c r="Y869" i="18"/>
  <c r="Z869" i="18"/>
  <c r="AA869" i="18"/>
  <c r="AC869" i="18"/>
  <c r="AD869" i="18"/>
  <c r="AE869" i="18"/>
  <c r="Y870" i="18"/>
  <c r="Z870" i="18"/>
  <c r="AA870" i="18"/>
  <c r="AC870" i="18"/>
  <c r="AD870" i="18"/>
  <c r="AE870" i="18"/>
  <c r="Y871" i="18"/>
  <c r="Z871" i="18"/>
  <c r="AA871" i="18"/>
  <c r="AC871" i="18"/>
  <c r="AD871" i="18"/>
  <c r="AE871" i="18"/>
  <c r="Y872" i="18"/>
  <c r="D558" i="4"/>
  <c r="Z872" i="18"/>
  <c r="AA872" i="18"/>
  <c r="AC872" i="18"/>
  <c r="AD872" i="18"/>
  <c r="AE872" i="18"/>
  <c r="Y873" i="18"/>
  <c r="Z873" i="18"/>
  <c r="AA873" i="18"/>
  <c r="AC873" i="18"/>
  <c r="AD873" i="18"/>
  <c r="AE873" i="18"/>
  <c r="Y874" i="18"/>
  <c r="Z874" i="18"/>
  <c r="AA874" i="18"/>
  <c r="AC874" i="18"/>
  <c r="AD874" i="18"/>
  <c r="AE874" i="18"/>
  <c r="Y875" i="18"/>
  <c r="D561" i="4"/>
  <c r="Z875" i="18"/>
  <c r="AA875" i="18"/>
  <c r="AC875" i="18"/>
  <c r="AD875" i="18"/>
  <c r="AE875" i="18"/>
  <c r="Y876" i="18"/>
  <c r="D562" i="4"/>
  <c r="Z876" i="18"/>
  <c r="AA876" i="18"/>
  <c r="AC876" i="18"/>
  <c r="AD876" i="18"/>
  <c r="AE876" i="18"/>
  <c r="Y877" i="18"/>
  <c r="Z877" i="18"/>
  <c r="AA877" i="18"/>
  <c r="AC877" i="18"/>
  <c r="AD877" i="18"/>
  <c r="AE877" i="18"/>
  <c r="Y878" i="18"/>
  <c r="D564" i="4"/>
  <c r="Z878" i="18"/>
  <c r="AA878" i="18"/>
  <c r="AC878" i="18"/>
  <c r="AD878" i="18"/>
  <c r="AE878" i="18"/>
  <c r="Y879" i="18"/>
  <c r="Z879" i="18"/>
  <c r="AA879" i="18"/>
  <c r="AC879" i="18"/>
  <c r="AD879" i="18"/>
  <c r="AE879" i="18"/>
  <c r="Y880" i="18"/>
  <c r="D566" i="4"/>
  <c r="Z880" i="18"/>
  <c r="AA880" i="18"/>
  <c r="AC880" i="18"/>
  <c r="AD880" i="18"/>
  <c r="AE880" i="18"/>
  <c r="Y881" i="18"/>
  <c r="Z881" i="18"/>
  <c r="AA881" i="18"/>
  <c r="AC881" i="18"/>
  <c r="AD881" i="18"/>
  <c r="AE881" i="18"/>
  <c r="Y882" i="18"/>
  <c r="D568" i="4"/>
  <c r="Z882" i="18"/>
  <c r="AA882" i="18"/>
  <c r="AC882" i="18"/>
  <c r="AD882" i="18"/>
  <c r="AE882" i="18"/>
  <c r="Y883" i="18"/>
  <c r="Z883" i="18"/>
  <c r="AA883" i="18"/>
  <c r="AC883" i="18"/>
  <c r="AD883" i="18"/>
  <c r="AE883" i="18"/>
  <c r="Y884" i="18"/>
  <c r="Z884" i="18"/>
  <c r="AA884" i="18"/>
  <c r="AC884" i="18"/>
  <c r="AD884" i="18"/>
  <c r="AE884" i="18"/>
  <c r="Y885" i="18"/>
  <c r="Z885" i="18"/>
  <c r="AA885" i="18"/>
  <c r="AC885" i="18"/>
  <c r="AD885" i="18"/>
  <c r="AE885" i="18"/>
  <c r="Y886" i="18"/>
  <c r="Z886" i="18"/>
  <c r="AA886" i="18"/>
  <c r="AC886" i="18"/>
  <c r="AD886" i="18"/>
  <c r="AE886" i="18"/>
  <c r="Y887" i="18"/>
  <c r="D576" i="4"/>
  <c r="D112" i="1"/>
  <c r="Z887" i="18"/>
  <c r="AA887" i="18"/>
  <c r="AC887" i="18"/>
  <c r="AD887" i="18"/>
  <c r="AE887" i="18"/>
  <c r="Z888" i="18"/>
  <c r="AA888" i="18"/>
  <c r="AC888" i="18"/>
  <c r="AD888" i="18"/>
  <c r="AE888" i="18"/>
  <c r="Y889" i="18"/>
  <c r="D578" i="4"/>
  <c r="D114" i="1"/>
  <c r="F114" i="1"/>
  <c r="G114" i="1"/>
  <c r="Z889" i="18"/>
  <c r="AA889" i="18"/>
  <c r="AC889" i="18"/>
  <c r="AD889" i="18"/>
  <c r="AE889" i="18"/>
  <c r="Y890" i="18"/>
  <c r="Z890" i="18"/>
  <c r="AA890" i="18"/>
  <c r="AC890" i="18"/>
  <c r="AD890" i="18"/>
  <c r="AE890" i="18"/>
  <c r="Y891" i="18"/>
  <c r="Z891" i="18"/>
  <c r="AA891" i="18"/>
  <c r="AC891" i="18"/>
  <c r="AD891" i="18"/>
  <c r="AE891" i="18"/>
  <c r="Y892" i="18"/>
  <c r="Z892" i="18"/>
  <c r="AA892" i="18"/>
  <c r="AC892" i="18"/>
  <c r="AD892" i="18"/>
  <c r="AE892" i="18"/>
  <c r="Y893" i="18"/>
  <c r="Z893" i="18"/>
  <c r="AA893" i="18"/>
  <c r="AC893" i="18"/>
  <c r="AD893" i="18"/>
  <c r="AE893" i="18"/>
  <c r="Y894" i="18"/>
  <c r="Z894" i="18"/>
  <c r="AA894" i="18"/>
  <c r="AC894" i="18"/>
  <c r="AD894" i="18"/>
  <c r="AE894" i="18"/>
  <c r="Y896" i="18"/>
  <c r="Z896" i="18"/>
  <c r="AA896" i="18"/>
  <c r="AB896" i="18"/>
  <c r="AC896" i="18"/>
  <c r="AD896" i="18"/>
  <c r="AE896" i="18"/>
  <c r="Y897" i="18"/>
  <c r="Z897" i="18"/>
  <c r="AA897" i="18"/>
  <c r="AB897" i="18"/>
  <c r="AC897" i="18"/>
  <c r="AD897" i="18"/>
  <c r="AE897" i="18"/>
  <c r="Y898" i="18"/>
  <c r="Z898" i="18"/>
  <c r="AA898" i="18"/>
  <c r="AB898" i="18"/>
  <c r="AC898" i="18"/>
  <c r="AD898" i="18"/>
  <c r="AE898" i="18"/>
  <c r="Z899" i="18"/>
  <c r="AA899" i="18"/>
  <c r="AC899" i="18"/>
  <c r="AD899" i="18"/>
  <c r="AE899" i="18"/>
  <c r="AA900" i="18"/>
  <c r="AC900" i="18"/>
  <c r="AD900" i="18"/>
  <c r="AE900" i="18"/>
  <c r="Z901" i="18"/>
  <c r="AA901" i="18"/>
  <c r="AC901" i="18"/>
  <c r="AD901" i="18"/>
  <c r="AE901" i="18"/>
  <c r="Z902" i="18"/>
  <c r="AA902" i="18"/>
  <c r="AC902" i="18"/>
  <c r="AD902" i="18"/>
  <c r="AE902" i="18"/>
  <c r="Z903" i="18"/>
  <c r="AA903" i="18"/>
  <c r="AC903" i="18"/>
  <c r="AD903" i="18"/>
  <c r="AE903" i="18"/>
  <c r="Y904" i="18"/>
  <c r="Z904" i="18"/>
  <c r="AA904" i="18"/>
  <c r="AC904" i="18"/>
  <c r="AD904" i="18"/>
  <c r="AE904" i="18"/>
  <c r="Y905" i="18"/>
  <c r="Z905" i="18"/>
  <c r="AA905" i="18"/>
  <c r="AC905" i="18"/>
  <c r="AD905" i="18"/>
  <c r="AE905" i="18"/>
  <c r="Y906" i="18"/>
  <c r="Z906" i="18"/>
  <c r="AA906" i="18"/>
  <c r="AC906" i="18"/>
  <c r="AD906" i="18"/>
  <c r="AE906" i="18"/>
  <c r="Y907" i="18"/>
  <c r="Z907" i="18"/>
  <c r="AA907" i="18"/>
  <c r="AC907" i="18"/>
  <c r="AD907" i="18"/>
  <c r="AE907" i="18"/>
  <c r="Y908" i="18"/>
  <c r="Z908" i="18"/>
  <c r="AA908" i="18"/>
  <c r="AC908" i="18"/>
  <c r="AD908" i="18"/>
  <c r="AE908" i="18"/>
  <c r="Y909" i="18"/>
  <c r="Z909" i="18"/>
  <c r="AA909" i="18"/>
  <c r="AC909" i="18"/>
  <c r="AD909" i="18"/>
  <c r="AE909" i="18"/>
  <c r="Y910" i="18"/>
  <c r="Z910" i="18"/>
  <c r="AA910" i="18"/>
  <c r="AC910" i="18"/>
  <c r="AD910" i="18"/>
  <c r="AE910" i="18"/>
  <c r="Y911" i="18"/>
  <c r="Z911" i="18"/>
  <c r="AA911" i="18"/>
  <c r="AC911" i="18"/>
  <c r="AD911" i="18"/>
  <c r="AE911" i="18"/>
  <c r="Y912" i="18"/>
  <c r="Z912" i="18"/>
  <c r="AA912" i="18"/>
  <c r="AC912" i="18"/>
  <c r="AD912" i="18"/>
  <c r="AE912" i="18"/>
  <c r="Y913" i="18"/>
  <c r="Z913" i="18"/>
  <c r="AA913" i="18"/>
  <c r="AC913" i="18"/>
  <c r="AD913" i="18"/>
  <c r="AE913" i="18"/>
  <c r="Y914" i="18"/>
  <c r="Z914" i="18"/>
  <c r="AA914" i="18"/>
  <c r="AC914" i="18"/>
  <c r="AD914" i="18"/>
  <c r="AE914" i="18"/>
  <c r="Y915" i="18"/>
  <c r="Z915" i="18"/>
  <c r="AA915" i="18"/>
  <c r="AC915" i="18"/>
  <c r="AD915" i="18"/>
  <c r="AE915" i="18"/>
  <c r="Y916" i="18"/>
  <c r="Z916" i="18"/>
  <c r="AA916" i="18"/>
  <c r="AC916" i="18"/>
  <c r="AD916" i="18"/>
  <c r="AE916" i="18"/>
  <c r="Y917" i="18"/>
  <c r="Z917" i="18"/>
  <c r="AA917" i="18"/>
  <c r="AC917" i="18"/>
  <c r="AD917" i="18"/>
  <c r="AE917" i="18"/>
  <c r="Y918" i="18"/>
  <c r="Z918" i="18"/>
  <c r="AA918" i="18"/>
  <c r="AC918" i="18"/>
  <c r="AD918" i="18"/>
  <c r="AE918" i="18"/>
  <c r="Y919" i="18"/>
  <c r="Z919" i="18"/>
  <c r="AA919" i="18"/>
  <c r="AC919" i="18"/>
  <c r="AD919" i="18"/>
  <c r="AE919" i="18"/>
  <c r="Y920" i="18"/>
  <c r="Z920" i="18"/>
  <c r="AA920" i="18"/>
  <c r="AC920" i="18"/>
  <c r="AD920" i="18"/>
  <c r="AE920" i="18"/>
  <c r="Y921" i="18"/>
  <c r="Z921" i="18"/>
  <c r="AA921" i="18"/>
  <c r="AC921" i="18"/>
  <c r="AD921" i="18"/>
  <c r="AE921" i="18"/>
  <c r="Y922" i="18"/>
  <c r="Z922" i="18"/>
  <c r="AA922" i="18"/>
  <c r="AC922" i="18"/>
  <c r="AD922" i="18"/>
  <c r="AE922" i="18"/>
  <c r="Y923" i="18"/>
  <c r="Z923" i="18"/>
  <c r="AA923" i="18"/>
  <c r="AC923" i="18"/>
  <c r="AD923" i="18"/>
  <c r="AE923" i="18"/>
  <c r="Y924" i="18"/>
  <c r="Z924" i="18"/>
  <c r="AA924" i="18"/>
  <c r="AC924" i="18"/>
  <c r="AD924" i="18"/>
  <c r="AE924" i="18"/>
  <c r="Y925" i="18"/>
  <c r="D43" i="4"/>
  <c r="Z925" i="18"/>
  <c r="AA925" i="18"/>
  <c r="AC925" i="18"/>
  <c r="AD925" i="18"/>
  <c r="AE925" i="18"/>
  <c r="Y926" i="18"/>
  <c r="Z926" i="18"/>
  <c r="AA926" i="18"/>
  <c r="AC926" i="18"/>
  <c r="AD926" i="18"/>
  <c r="AE926" i="18"/>
  <c r="Y927" i="18"/>
  <c r="Z927" i="18"/>
  <c r="AA927" i="18"/>
  <c r="AC927" i="18"/>
  <c r="AD927" i="18"/>
  <c r="AE927" i="18"/>
  <c r="Y928" i="18"/>
  <c r="Z928" i="18"/>
  <c r="AA928" i="18"/>
  <c r="AC928" i="18"/>
  <c r="AD928" i="18"/>
  <c r="AE928" i="18"/>
  <c r="Y929" i="18"/>
  <c r="Z929" i="18"/>
  <c r="AA929" i="18"/>
  <c r="AC929" i="18"/>
  <c r="AD929" i="18"/>
  <c r="AE929" i="18"/>
  <c r="Y930" i="18"/>
  <c r="Z930" i="18"/>
  <c r="AA930" i="18"/>
  <c r="AC930" i="18"/>
  <c r="AD930" i="18"/>
  <c r="AE930" i="18"/>
  <c r="Y931" i="18"/>
  <c r="Z931" i="18"/>
  <c r="AA931" i="18"/>
  <c r="AC931" i="18"/>
  <c r="AD931" i="18"/>
  <c r="AE931" i="18"/>
  <c r="Y932" i="18"/>
  <c r="Z932" i="18"/>
  <c r="AA932" i="18"/>
  <c r="AC932" i="18"/>
  <c r="AD932" i="18"/>
  <c r="AE932" i="18"/>
  <c r="Y933" i="18"/>
  <c r="Z933" i="18"/>
  <c r="AA933" i="18"/>
  <c r="AC933" i="18"/>
  <c r="AD933" i="18"/>
  <c r="AE933" i="18"/>
  <c r="Y934" i="18"/>
  <c r="Z934" i="18"/>
  <c r="AA934" i="18"/>
  <c r="AC934" i="18"/>
  <c r="AD934" i="18"/>
  <c r="AE934" i="18"/>
  <c r="Y935" i="18"/>
  <c r="Z935" i="18"/>
  <c r="AA935" i="18"/>
  <c r="AB935" i="18"/>
  <c r="AC935" i="18"/>
  <c r="AD935" i="18"/>
  <c r="AE935" i="18"/>
  <c r="Y936" i="18"/>
  <c r="Z936" i="18"/>
  <c r="AA936" i="18"/>
  <c r="AC936" i="18"/>
  <c r="AD936" i="18"/>
  <c r="AE936" i="18"/>
  <c r="Z937" i="18"/>
  <c r="AA937" i="18"/>
  <c r="AC937" i="18"/>
  <c r="AD937" i="18"/>
  <c r="AE937" i="18"/>
  <c r="Z938" i="18"/>
  <c r="AA938" i="18"/>
  <c r="AC938" i="18"/>
  <c r="AD938" i="18"/>
  <c r="AE938" i="18"/>
  <c r="Y939" i="18"/>
  <c r="Z939" i="18"/>
  <c r="AA939" i="18"/>
  <c r="AC939" i="18"/>
  <c r="AD939" i="18"/>
  <c r="AE939" i="18"/>
  <c r="Z940" i="18"/>
  <c r="AA940" i="18"/>
  <c r="AB940" i="18"/>
  <c r="AC940" i="18"/>
  <c r="AD940" i="18"/>
  <c r="AE940" i="18"/>
  <c r="Z941" i="18"/>
  <c r="AA941" i="18"/>
  <c r="AC941" i="18"/>
  <c r="AD941" i="18"/>
  <c r="AE941" i="18"/>
  <c r="Z942" i="18"/>
  <c r="AA942" i="18"/>
  <c r="AC942" i="18"/>
  <c r="AD942" i="18"/>
  <c r="AE942" i="18"/>
  <c r="Y943" i="18"/>
  <c r="Z943" i="18"/>
  <c r="AA943" i="18"/>
  <c r="AC943" i="18"/>
  <c r="AD943" i="18"/>
  <c r="AE943" i="18"/>
  <c r="Y944" i="18"/>
  <c r="Z944" i="18"/>
  <c r="AA944" i="18"/>
  <c r="AC944" i="18"/>
  <c r="AD944" i="18"/>
  <c r="AE944" i="18"/>
  <c r="Y945" i="18"/>
  <c r="D55" i="4"/>
  <c r="D7" i="17"/>
  <c r="Z945" i="18"/>
  <c r="AA945" i="18"/>
  <c r="AC945" i="18"/>
  <c r="AD945" i="18"/>
  <c r="AE945" i="18"/>
  <c r="Z946" i="18"/>
  <c r="AA946" i="18"/>
  <c r="AC946" i="18"/>
  <c r="AD946" i="18"/>
  <c r="AE946" i="18"/>
  <c r="Y947" i="18"/>
  <c r="Z947" i="18"/>
  <c r="AA947" i="18"/>
  <c r="AC947" i="18"/>
  <c r="AD947" i="18"/>
  <c r="AE947" i="18"/>
  <c r="Y948" i="18"/>
  <c r="D58" i="4"/>
  <c r="Z948" i="18"/>
  <c r="AA948" i="18"/>
  <c r="AC948" i="18"/>
  <c r="AD948" i="18"/>
  <c r="AE948" i="18"/>
  <c r="Y949" i="18"/>
  <c r="Z949" i="18"/>
  <c r="AA949" i="18"/>
  <c r="AC949" i="18"/>
  <c r="AD949" i="18"/>
  <c r="AE949" i="18"/>
  <c r="Z950" i="18"/>
  <c r="AA950" i="18"/>
  <c r="AC950" i="18"/>
  <c r="AD950" i="18"/>
  <c r="AE950" i="18"/>
  <c r="Y951" i="18"/>
  <c r="Z951" i="18"/>
  <c r="AA951" i="18"/>
  <c r="AC951" i="18"/>
  <c r="AD951" i="18"/>
  <c r="AE951" i="18"/>
  <c r="Y952" i="18"/>
  <c r="Z952" i="18"/>
  <c r="AA952" i="18"/>
  <c r="AC952" i="18"/>
  <c r="AD952" i="18"/>
  <c r="AE952" i="18"/>
  <c r="Y953" i="18"/>
  <c r="Z953" i="18"/>
  <c r="AA953" i="18"/>
  <c r="AC953" i="18"/>
  <c r="AD953" i="18"/>
  <c r="AE953" i="18"/>
  <c r="Y954" i="18"/>
  <c r="Z954" i="18"/>
  <c r="AA954" i="18"/>
  <c r="AC954" i="18"/>
  <c r="AD954" i="18"/>
  <c r="AE954" i="18"/>
  <c r="Y955" i="18"/>
  <c r="Z955" i="18"/>
  <c r="AA955" i="18"/>
  <c r="AC955" i="18"/>
  <c r="AD955" i="18"/>
  <c r="AE955" i="18"/>
  <c r="Y956" i="18"/>
  <c r="Z956" i="18"/>
  <c r="AA956" i="18"/>
  <c r="AC956" i="18"/>
  <c r="AD956" i="18"/>
  <c r="AE956" i="18"/>
  <c r="Y957" i="18"/>
  <c r="AA957" i="18"/>
  <c r="AB957" i="18"/>
  <c r="AC957" i="18"/>
  <c r="AD957" i="18"/>
  <c r="AE957" i="18"/>
  <c r="Y958" i="18"/>
  <c r="Z958" i="18"/>
  <c r="AA958" i="18"/>
  <c r="AB958" i="18"/>
  <c r="AC958" i="18"/>
  <c r="AD958" i="18"/>
  <c r="AE958" i="18"/>
  <c r="Y959" i="18"/>
  <c r="Z959" i="18"/>
  <c r="AA959" i="18"/>
  <c r="AB959" i="18"/>
  <c r="AC959" i="18"/>
  <c r="AD959" i="18"/>
  <c r="AE959" i="18"/>
  <c r="Y960" i="18"/>
  <c r="AA960" i="18"/>
  <c r="AB960" i="18"/>
  <c r="AC960" i="18"/>
  <c r="AD960" i="18"/>
  <c r="AE960" i="18"/>
  <c r="Y961" i="18"/>
  <c r="Z961" i="18"/>
  <c r="AA961" i="18"/>
  <c r="AB961" i="18"/>
  <c r="AC961" i="18"/>
  <c r="AD961" i="18"/>
  <c r="AE961" i="18"/>
  <c r="Y962" i="18"/>
  <c r="D68" i="4"/>
  <c r="AB962" i="18"/>
  <c r="AC962" i="18"/>
  <c r="AD962" i="18"/>
  <c r="AE962" i="18"/>
  <c r="Y963" i="18"/>
  <c r="Z963" i="18"/>
  <c r="AA963" i="18"/>
  <c r="AB963" i="18"/>
  <c r="AC963" i="18"/>
  <c r="AD963" i="18"/>
  <c r="AE963" i="18"/>
  <c r="Y964" i="18"/>
  <c r="Z964" i="18"/>
  <c r="AA964" i="18"/>
  <c r="AB964" i="18"/>
  <c r="AC964" i="18"/>
  <c r="AD964" i="18"/>
  <c r="AE964" i="18"/>
  <c r="Y965" i="18"/>
  <c r="Z965" i="18"/>
  <c r="AA965" i="18"/>
  <c r="AC965" i="18"/>
  <c r="AD965" i="18"/>
  <c r="AE965" i="18"/>
  <c r="Y966" i="18"/>
  <c r="Z966" i="18"/>
  <c r="AA966" i="18"/>
  <c r="AC966" i="18"/>
  <c r="AD966" i="18"/>
  <c r="AE966" i="18"/>
  <c r="Y967" i="18"/>
  <c r="Z967" i="18"/>
  <c r="AA967" i="18"/>
  <c r="AC967" i="18"/>
  <c r="AD967" i="18"/>
  <c r="AE967" i="18"/>
  <c r="Y968" i="18"/>
  <c r="Z968" i="18"/>
  <c r="AA968" i="18"/>
  <c r="AC968" i="18"/>
  <c r="AD968" i="18"/>
  <c r="AE968" i="18"/>
  <c r="Y969" i="18"/>
  <c r="Z969" i="18"/>
  <c r="AA969" i="18"/>
  <c r="AC969" i="18"/>
  <c r="AD969" i="18"/>
  <c r="AE969" i="18"/>
  <c r="Y970" i="18"/>
  <c r="Z970" i="18"/>
  <c r="AA970" i="18"/>
  <c r="AC970" i="18"/>
  <c r="AD970" i="18"/>
  <c r="AE970" i="18"/>
  <c r="Y971" i="18"/>
  <c r="Z971" i="18"/>
  <c r="AA971" i="18"/>
  <c r="AC971" i="18"/>
  <c r="AD971" i="18"/>
  <c r="AE971" i="18"/>
  <c r="Y972" i="18"/>
  <c r="Z972" i="18"/>
  <c r="AA972" i="18"/>
  <c r="AC972" i="18"/>
  <c r="AD972" i="18"/>
  <c r="AE972" i="18"/>
  <c r="Y973" i="18"/>
  <c r="Z973" i="18"/>
  <c r="AA973" i="18"/>
  <c r="AC973" i="18"/>
  <c r="AD973" i="18"/>
  <c r="AE973" i="18"/>
  <c r="Y974" i="18"/>
  <c r="Z974" i="18"/>
  <c r="AA974" i="18"/>
  <c r="AC974" i="18"/>
  <c r="AD974" i="18"/>
  <c r="AE974" i="18"/>
  <c r="Y975" i="18"/>
  <c r="Z975" i="18"/>
  <c r="AA975" i="18"/>
  <c r="AC975" i="18"/>
  <c r="AD975" i="18"/>
  <c r="AE975" i="18"/>
  <c r="Y976" i="18"/>
  <c r="Z976" i="18"/>
  <c r="AA976" i="18"/>
  <c r="AC976" i="18"/>
  <c r="AD976" i="18"/>
  <c r="AE976" i="18"/>
  <c r="Y977" i="18"/>
  <c r="Z977" i="18"/>
  <c r="AA977" i="18"/>
  <c r="AC977" i="18"/>
  <c r="AD977" i="18"/>
  <c r="AE977" i="18"/>
  <c r="Y978" i="18"/>
  <c r="Z978" i="18"/>
  <c r="AA978" i="18"/>
  <c r="AC978" i="18"/>
  <c r="AD978" i="18"/>
  <c r="AE978" i="18"/>
  <c r="Y979" i="18"/>
  <c r="Z979" i="18"/>
  <c r="AA979" i="18"/>
  <c r="AC979" i="18"/>
  <c r="AD979" i="18"/>
  <c r="AE979" i="18"/>
  <c r="Y980" i="18"/>
  <c r="Z980" i="18"/>
  <c r="AA980" i="18"/>
  <c r="AC980" i="18"/>
  <c r="AD980" i="18"/>
  <c r="AE980" i="18"/>
  <c r="Y981" i="18"/>
  <c r="Z981" i="18"/>
  <c r="AA981" i="18"/>
  <c r="AC981" i="18"/>
  <c r="AD981" i="18"/>
  <c r="AE981" i="18"/>
  <c r="Y982" i="18"/>
  <c r="Z982" i="18"/>
  <c r="AA982" i="18"/>
  <c r="AC982" i="18"/>
  <c r="AD982" i="18"/>
  <c r="AE982" i="18"/>
  <c r="Y983" i="18"/>
  <c r="D84" i="4"/>
  <c r="Z983" i="18"/>
  <c r="AA983" i="18"/>
  <c r="AC983" i="18"/>
  <c r="AD983" i="18"/>
  <c r="AE983" i="18"/>
  <c r="Y984" i="18"/>
  <c r="Z984" i="18"/>
  <c r="AA984" i="18"/>
  <c r="AC984" i="18"/>
  <c r="AD984" i="18"/>
  <c r="AE984" i="18"/>
  <c r="Y985" i="18"/>
  <c r="Z985" i="18"/>
  <c r="AA985" i="18"/>
  <c r="AC985" i="18"/>
  <c r="AD985" i="18"/>
  <c r="AE985" i="18"/>
  <c r="Y986" i="18"/>
  <c r="Z986" i="18"/>
  <c r="AA986" i="18"/>
  <c r="AC986" i="18"/>
  <c r="AD986" i="18"/>
  <c r="AE986" i="18"/>
  <c r="Y987" i="18"/>
  <c r="Z987" i="18"/>
  <c r="AA987" i="18"/>
  <c r="AC987" i="18"/>
  <c r="AD987" i="18"/>
  <c r="AE987" i="18"/>
  <c r="Y988" i="18"/>
  <c r="Z988" i="18"/>
  <c r="AA988" i="18"/>
  <c r="AC988" i="18"/>
  <c r="AD988" i="18"/>
  <c r="AE988" i="18"/>
  <c r="Y989" i="18"/>
  <c r="Z989" i="18"/>
  <c r="AA989" i="18"/>
  <c r="AC989" i="18"/>
  <c r="AD989" i="18"/>
  <c r="AE989" i="18"/>
  <c r="Y990" i="18"/>
  <c r="Z990" i="18"/>
  <c r="AA990" i="18"/>
  <c r="AC990" i="18"/>
  <c r="AD990" i="18"/>
  <c r="AE990" i="18"/>
  <c r="Y991" i="18"/>
  <c r="D91" i="4"/>
  <c r="Z991" i="18"/>
  <c r="AA991" i="18"/>
  <c r="AC991" i="18"/>
  <c r="AD991" i="18"/>
  <c r="AE991" i="18"/>
  <c r="Y992" i="18"/>
  <c r="Z992" i="18"/>
  <c r="AA992" i="18"/>
  <c r="AC992" i="18"/>
  <c r="AD992" i="18"/>
  <c r="AE992" i="18"/>
  <c r="Y993" i="18"/>
  <c r="Z993" i="18"/>
  <c r="AA993" i="18"/>
  <c r="AC993" i="18"/>
  <c r="AD993" i="18"/>
  <c r="AE993" i="18"/>
  <c r="Y994" i="18"/>
  <c r="Z994" i="18"/>
  <c r="AA994" i="18"/>
  <c r="AC994" i="18"/>
  <c r="AD994" i="18"/>
  <c r="AE994" i="18"/>
  <c r="Y995" i="18"/>
  <c r="Z995" i="18"/>
  <c r="AA995" i="18"/>
  <c r="AC995" i="18"/>
  <c r="AD995" i="18"/>
  <c r="AE995" i="18"/>
  <c r="Y996" i="18"/>
  <c r="Z996" i="18"/>
  <c r="AA996" i="18"/>
  <c r="AC996" i="18"/>
  <c r="AD996" i="18"/>
  <c r="AE996" i="18"/>
  <c r="Y997" i="18"/>
  <c r="Z997" i="18"/>
  <c r="AA997" i="18"/>
  <c r="AC997" i="18"/>
  <c r="AD997" i="18"/>
  <c r="AE997" i="18"/>
  <c r="Y998" i="18"/>
  <c r="Z998" i="18"/>
  <c r="AA998" i="18"/>
  <c r="AC998" i="18"/>
  <c r="AD998" i="18"/>
  <c r="AE998" i="18"/>
  <c r="Y999" i="18"/>
  <c r="Z999" i="18"/>
  <c r="AA999" i="18"/>
  <c r="AC999" i="18"/>
  <c r="AD999" i="18"/>
  <c r="AE999" i="18"/>
  <c r="Y1000" i="18"/>
  <c r="Z1000" i="18"/>
  <c r="AA1000" i="18"/>
  <c r="AC1000" i="18"/>
  <c r="AD1000" i="18"/>
  <c r="AE1000" i="18"/>
  <c r="Y1001" i="18"/>
  <c r="Z1001" i="18"/>
  <c r="AA1001" i="18"/>
  <c r="AC1001" i="18"/>
  <c r="AD1001" i="18"/>
  <c r="AE1001" i="18"/>
  <c r="Y1002" i="18"/>
  <c r="Z1002" i="18"/>
  <c r="AA1002" i="18"/>
  <c r="AB1002" i="18"/>
  <c r="AC1002" i="18"/>
  <c r="AD1002" i="18"/>
  <c r="AE1002" i="18"/>
  <c r="Y1003" i="18"/>
  <c r="Z1003" i="18"/>
  <c r="AA1003" i="18"/>
  <c r="AC1003" i="18"/>
  <c r="AD1003" i="18"/>
  <c r="AE1003" i="18"/>
  <c r="Y1004" i="18"/>
  <c r="Z1004" i="18"/>
  <c r="AA1004" i="18"/>
  <c r="AC1004" i="18"/>
  <c r="AD1004" i="18"/>
  <c r="AE1004" i="18"/>
  <c r="Y1005" i="18"/>
  <c r="Z1005" i="18"/>
  <c r="AA1005" i="18"/>
  <c r="AC1005" i="18"/>
  <c r="AD1005" i="18"/>
  <c r="AE1005" i="18"/>
  <c r="Y1006" i="18"/>
  <c r="Z1006" i="18"/>
  <c r="AA1006" i="18"/>
  <c r="AC1006" i="18"/>
  <c r="AD1006" i="18"/>
  <c r="AE1006" i="18"/>
  <c r="Y1007" i="18"/>
  <c r="Z1007" i="18"/>
  <c r="AA1007" i="18"/>
  <c r="AC1007" i="18"/>
  <c r="AD1007" i="18"/>
  <c r="AE1007" i="18"/>
  <c r="Y1008" i="18"/>
  <c r="D106" i="4"/>
  <c r="Z1008" i="18"/>
  <c r="AA1008" i="18"/>
  <c r="AC1008" i="18"/>
  <c r="AD1008" i="18"/>
  <c r="AE1008" i="18"/>
  <c r="Y1009" i="18"/>
  <c r="Z1009" i="18"/>
  <c r="AA1009" i="18"/>
  <c r="AC1009" i="18"/>
  <c r="AD1009" i="18"/>
  <c r="AE1009" i="18"/>
  <c r="Y1010" i="18"/>
  <c r="Z1010" i="18"/>
  <c r="AA1010" i="18"/>
  <c r="AC1010" i="18"/>
  <c r="AD1010" i="18"/>
  <c r="AE1010" i="18"/>
  <c r="Y1011" i="18"/>
  <c r="Z1011" i="18"/>
  <c r="AA1011" i="18"/>
  <c r="AC1011" i="18"/>
  <c r="AD1011" i="18"/>
  <c r="AE1011" i="18"/>
  <c r="Y1012" i="18"/>
  <c r="Z1012" i="18"/>
  <c r="AA1012" i="18"/>
  <c r="AC1012" i="18"/>
  <c r="AD1012" i="18"/>
  <c r="AE1012" i="18"/>
  <c r="Y1013" i="18"/>
  <c r="Z1013" i="18"/>
  <c r="AA1013" i="18"/>
  <c r="AC1013" i="18"/>
  <c r="AD1013" i="18"/>
  <c r="AE1013" i="18"/>
  <c r="Y1014" i="18"/>
  <c r="Z1014" i="18"/>
  <c r="AA1014" i="18"/>
  <c r="AC1014" i="18"/>
  <c r="AD1014" i="18"/>
  <c r="AE1014" i="18"/>
  <c r="Y1015" i="18"/>
  <c r="Z1015" i="18"/>
  <c r="AA1015" i="18"/>
  <c r="AC1015" i="18"/>
  <c r="AD1015" i="18"/>
  <c r="AE1015" i="18"/>
  <c r="Y1016" i="18"/>
  <c r="Z1016" i="18"/>
  <c r="AA1016" i="18"/>
  <c r="AC1016" i="18"/>
  <c r="AD1016" i="18"/>
  <c r="AE1016" i="18"/>
  <c r="Y1017" i="18"/>
  <c r="Z1017" i="18"/>
  <c r="AA1017" i="18"/>
  <c r="AB1017" i="18"/>
  <c r="AC1017" i="18"/>
  <c r="AD1017" i="18"/>
  <c r="AE1017" i="18"/>
  <c r="Y1018" i="18"/>
  <c r="Z1018" i="18"/>
  <c r="AA1018" i="18"/>
  <c r="AB1018" i="18"/>
  <c r="AC1018" i="18"/>
  <c r="AD1018" i="18"/>
  <c r="AE1018" i="18"/>
  <c r="Y1019" i="18"/>
  <c r="Z1019" i="18"/>
  <c r="AA1019" i="18"/>
  <c r="AB1019" i="18"/>
  <c r="AC1019" i="18"/>
  <c r="AD1019" i="18"/>
  <c r="AE1019" i="18"/>
  <c r="Y1020" i="18"/>
  <c r="Z1020" i="18"/>
  <c r="AA1020" i="18"/>
  <c r="AC1020" i="18"/>
  <c r="AD1020" i="18"/>
  <c r="AE1020" i="18"/>
  <c r="Y1021" i="18"/>
  <c r="Z1021" i="18"/>
  <c r="AA1021" i="18"/>
  <c r="AC1021" i="18"/>
  <c r="AD1021" i="18"/>
  <c r="AE1021" i="18"/>
  <c r="Y1022" i="18"/>
  <c r="Z1022" i="18"/>
  <c r="AA1022" i="18"/>
  <c r="AC1022" i="18"/>
  <c r="AD1022" i="18"/>
  <c r="AE1022" i="18"/>
  <c r="Y1023" i="18"/>
  <c r="Z1023" i="18"/>
  <c r="AA1023" i="18"/>
  <c r="AC1023" i="18"/>
  <c r="AD1023" i="18"/>
  <c r="AE1023" i="18"/>
  <c r="Y1024" i="18"/>
  <c r="Z1024" i="18"/>
  <c r="AA1024" i="18"/>
  <c r="AC1024" i="18"/>
  <c r="AD1024" i="18"/>
  <c r="AE1024" i="18"/>
  <c r="Y1025" i="18"/>
  <c r="Z1025" i="18"/>
  <c r="AA1025" i="18"/>
  <c r="AC1025" i="18"/>
  <c r="AD1025" i="18"/>
  <c r="AE1025" i="18"/>
  <c r="Y1026" i="18"/>
  <c r="Z1026" i="18"/>
  <c r="AA1026" i="18"/>
  <c r="AC1026" i="18"/>
  <c r="AD1026" i="18"/>
  <c r="AE1026" i="18"/>
  <c r="Y1027" i="18"/>
  <c r="Z1027" i="18"/>
  <c r="AA1027" i="18"/>
  <c r="AC1027" i="18"/>
  <c r="AD1027" i="18"/>
  <c r="AE1027" i="18"/>
  <c r="Y1028" i="18"/>
  <c r="Z1028" i="18"/>
  <c r="AA1028" i="18"/>
  <c r="AC1028" i="18"/>
  <c r="AD1028" i="18"/>
  <c r="AE1028" i="18"/>
  <c r="Y1029" i="18"/>
  <c r="Z1029" i="18"/>
  <c r="AA1029" i="18"/>
  <c r="AC1029" i="18"/>
  <c r="AD1029" i="18"/>
  <c r="AE1029" i="18"/>
  <c r="Y1030" i="18"/>
  <c r="Z1030" i="18"/>
  <c r="AA1030" i="18"/>
  <c r="AC1030" i="18"/>
  <c r="AD1030" i="18"/>
  <c r="AE1030" i="18"/>
  <c r="Y1031" i="18"/>
  <c r="Z1031" i="18"/>
  <c r="AA1031" i="18"/>
  <c r="AC1031" i="18"/>
  <c r="AD1031" i="18"/>
  <c r="AE1031" i="18"/>
  <c r="Y1032" i="18"/>
  <c r="Z1032" i="18"/>
  <c r="AA1032" i="18"/>
  <c r="AC1032" i="18"/>
  <c r="AD1032" i="18"/>
  <c r="AE1032" i="18"/>
  <c r="Y1033" i="18"/>
  <c r="Z1033" i="18"/>
  <c r="AA1033" i="18"/>
  <c r="AC1033" i="18"/>
  <c r="AD1033" i="18"/>
  <c r="AE1033" i="18"/>
  <c r="Y1034" i="18"/>
  <c r="Z1034" i="18"/>
  <c r="AA1034" i="18"/>
  <c r="AC1034" i="18"/>
  <c r="AD1034" i="18"/>
  <c r="AE1034" i="18"/>
  <c r="Y1035" i="18"/>
  <c r="Z1035" i="18"/>
  <c r="AA1035" i="18"/>
  <c r="AC1035" i="18"/>
  <c r="AD1035" i="18"/>
  <c r="AE1035" i="18"/>
  <c r="Y1036" i="18"/>
  <c r="Z1036" i="18"/>
  <c r="AA1036" i="18"/>
  <c r="AC1036" i="18"/>
  <c r="AD1036" i="18"/>
  <c r="AE1036" i="18"/>
  <c r="Y1037" i="18"/>
  <c r="Z1037" i="18"/>
  <c r="AA1037" i="18"/>
  <c r="AC1037" i="18"/>
  <c r="AD1037" i="18"/>
  <c r="AE1037" i="18"/>
  <c r="Y1038" i="18"/>
  <c r="Z1038" i="18"/>
  <c r="AA1038" i="18"/>
  <c r="AC1038" i="18"/>
  <c r="AD1038" i="18"/>
  <c r="AE1038" i="18"/>
  <c r="Y1039" i="18"/>
  <c r="Z1039" i="18"/>
  <c r="AA1039" i="18"/>
  <c r="AC1039" i="18"/>
  <c r="AD1039" i="18"/>
  <c r="AE1039" i="18"/>
  <c r="Y1040" i="18"/>
  <c r="Z1040" i="18"/>
  <c r="AA1040" i="18"/>
  <c r="AC1040" i="18"/>
  <c r="AD1040" i="18"/>
  <c r="AE1040" i="18"/>
  <c r="Y1041" i="18"/>
  <c r="Z1041" i="18"/>
  <c r="AA1041" i="18"/>
  <c r="AB1041" i="18"/>
  <c r="AC1041" i="18"/>
  <c r="AD1041" i="18"/>
  <c r="AE1041" i="18"/>
  <c r="Y1042" i="18"/>
  <c r="Z1042" i="18"/>
  <c r="AA1042" i="18"/>
  <c r="AB1042" i="18"/>
  <c r="AC1042" i="18"/>
  <c r="AD1042" i="18"/>
  <c r="AE1042" i="18"/>
  <c r="Y1043" i="18"/>
  <c r="Z1043" i="18"/>
  <c r="AA1043" i="18"/>
  <c r="AB1043" i="18"/>
  <c r="AC1043" i="18"/>
  <c r="AD1043" i="18"/>
  <c r="AE1043" i="18"/>
  <c r="Y1044" i="18"/>
  <c r="Z1044" i="18"/>
  <c r="AA1044" i="18"/>
  <c r="AB1044" i="18"/>
  <c r="AC1044" i="18"/>
  <c r="AD1044" i="18"/>
  <c r="AE1044" i="18"/>
  <c r="Y1045" i="18"/>
  <c r="Z1045" i="18"/>
  <c r="AA1045" i="18"/>
  <c r="AB1045" i="18"/>
  <c r="AC1045" i="18"/>
  <c r="AD1045" i="18"/>
  <c r="AE1045" i="18"/>
  <c r="Y1046" i="18"/>
  <c r="Z1046" i="18"/>
  <c r="AA1046" i="18"/>
  <c r="AB1046" i="18"/>
  <c r="AC1046" i="18"/>
  <c r="AD1046" i="18"/>
  <c r="AE1046" i="18"/>
  <c r="Y1047" i="18"/>
  <c r="Z1047" i="18"/>
  <c r="AA1047" i="18"/>
  <c r="AB1047" i="18"/>
  <c r="AC1047" i="18"/>
  <c r="AD1047" i="18"/>
  <c r="AE1047" i="18"/>
  <c r="Y1048" i="18"/>
  <c r="Z1048" i="18"/>
  <c r="AA1048" i="18"/>
  <c r="AB1048" i="18"/>
  <c r="AC1048" i="18"/>
  <c r="AD1048" i="18"/>
  <c r="AE1048" i="18"/>
  <c r="Y1049" i="18"/>
  <c r="Z1049" i="18"/>
  <c r="AA1049" i="18"/>
  <c r="AC1049" i="18"/>
  <c r="AD1049" i="18"/>
  <c r="AE1049" i="18"/>
  <c r="Y1050" i="18"/>
  <c r="Z1050" i="18"/>
  <c r="AA1050" i="18"/>
  <c r="AC1050" i="18"/>
  <c r="AD1050" i="18"/>
  <c r="AE1050" i="18"/>
  <c r="Y1051" i="18"/>
  <c r="Z1051" i="18"/>
  <c r="AA1051" i="18"/>
  <c r="AC1051" i="18"/>
  <c r="AD1051" i="18"/>
  <c r="AE1051" i="18"/>
  <c r="Y1052" i="18"/>
  <c r="Z1052" i="18"/>
  <c r="AA1052" i="18"/>
  <c r="AC1052" i="18"/>
  <c r="AD1052" i="18"/>
  <c r="AE1052" i="18"/>
  <c r="Y1053" i="18"/>
  <c r="Z1053" i="18"/>
  <c r="AA1053" i="18"/>
  <c r="AC1053" i="18"/>
  <c r="AD1053" i="18"/>
  <c r="AE1053" i="18"/>
  <c r="Y1054" i="18"/>
  <c r="Z1054" i="18"/>
  <c r="AA1054" i="18"/>
  <c r="AC1054" i="18"/>
  <c r="AD1054" i="18"/>
  <c r="AE1054" i="18"/>
  <c r="Y1055" i="18"/>
  <c r="Z1055" i="18"/>
  <c r="AA1055" i="18"/>
  <c r="AC1055" i="18"/>
  <c r="AD1055" i="18"/>
  <c r="AE1055" i="18"/>
  <c r="Y1056" i="18"/>
  <c r="Z1056" i="18"/>
  <c r="AA1056" i="18"/>
  <c r="AC1056" i="18"/>
  <c r="AD1056" i="18"/>
  <c r="AE1056" i="18"/>
  <c r="Y1057" i="18"/>
  <c r="Z1057" i="18"/>
  <c r="AA1057" i="18"/>
  <c r="AB1057" i="18"/>
  <c r="AC1057" i="18"/>
  <c r="AD1057" i="18"/>
  <c r="AE1057" i="18"/>
  <c r="Y1058" i="18"/>
  <c r="Z1058" i="18"/>
  <c r="AA1058" i="18"/>
  <c r="AC1058" i="18"/>
  <c r="AD1058" i="18"/>
  <c r="AE1058" i="18"/>
  <c r="Y1059" i="18"/>
  <c r="Z1059" i="18"/>
  <c r="AA1059" i="18"/>
  <c r="AC1059" i="18"/>
  <c r="AD1059" i="18"/>
  <c r="AE1059" i="18"/>
  <c r="Y1060" i="18"/>
  <c r="D122" i="4"/>
  <c r="Z1060" i="18"/>
  <c r="AA1060" i="18"/>
  <c r="AC1060" i="18"/>
  <c r="AD1060" i="18"/>
  <c r="AE1060" i="18"/>
  <c r="Y1061" i="18"/>
  <c r="Z1061" i="18"/>
  <c r="AA1061" i="18"/>
  <c r="AC1061" i="18"/>
  <c r="AD1061" i="18"/>
  <c r="AE1061" i="18"/>
  <c r="Y1062" i="18"/>
  <c r="Z1062" i="18"/>
  <c r="AA1062" i="18"/>
  <c r="AC1062" i="18"/>
  <c r="AD1062" i="18"/>
  <c r="AE1062" i="18"/>
  <c r="Y1063" i="18"/>
  <c r="Z1063" i="18"/>
  <c r="AA1063" i="18"/>
  <c r="AC1063" i="18"/>
  <c r="AD1063" i="18"/>
  <c r="AE1063" i="18"/>
  <c r="Y1064" i="18"/>
  <c r="Z1064" i="18"/>
  <c r="AA1064" i="18"/>
  <c r="AC1064" i="18"/>
  <c r="AD1064" i="18"/>
  <c r="AE1064" i="18"/>
  <c r="Y1065" i="18"/>
  <c r="Z1065" i="18"/>
  <c r="AA1065" i="18"/>
  <c r="AC1065" i="18"/>
  <c r="AD1065" i="18"/>
  <c r="AE1065" i="18"/>
  <c r="Y1066" i="18"/>
  <c r="Z1066" i="18"/>
  <c r="AA1066" i="18"/>
  <c r="AC1066" i="18"/>
  <c r="AD1066" i="18"/>
  <c r="AE1066" i="18"/>
  <c r="Y1067" i="18"/>
  <c r="Z1067" i="18"/>
  <c r="AA1067" i="18"/>
  <c r="AC1067" i="18"/>
  <c r="AD1067" i="18"/>
  <c r="AE1067" i="18"/>
  <c r="Y1068" i="18"/>
  <c r="Z1068" i="18"/>
  <c r="AA1068" i="18"/>
  <c r="AC1068" i="18"/>
  <c r="AD1068" i="18"/>
  <c r="AE1068" i="18"/>
  <c r="Y1069" i="18"/>
  <c r="Z1069" i="18"/>
  <c r="AA1069" i="18"/>
  <c r="AC1069" i="18"/>
  <c r="AD1069" i="18"/>
  <c r="AE1069" i="18"/>
  <c r="Y1070" i="18"/>
  <c r="Z1070" i="18"/>
  <c r="AA1070" i="18"/>
  <c r="AC1070" i="18"/>
  <c r="AD1070" i="18"/>
  <c r="AE1070" i="18"/>
  <c r="Y1071" i="18"/>
  <c r="D130" i="4"/>
  <c r="Z1071" i="18"/>
  <c r="AA1071" i="18"/>
  <c r="AC1071" i="18"/>
  <c r="AD1071" i="18"/>
  <c r="AE1071" i="18"/>
  <c r="Y1072" i="18"/>
  <c r="Z1072" i="18"/>
  <c r="AA1072" i="18"/>
  <c r="AC1072" i="18"/>
  <c r="AD1072" i="18"/>
  <c r="AE1072" i="18"/>
  <c r="Y1073" i="18"/>
  <c r="Z1073" i="18"/>
  <c r="AA1073" i="18"/>
  <c r="AC1073" i="18"/>
  <c r="AD1073" i="18"/>
  <c r="AE1073" i="18"/>
  <c r="Y1074" i="18"/>
  <c r="Z1074" i="18"/>
  <c r="AA1074" i="18"/>
  <c r="AC1074" i="18"/>
  <c r="AD1074" i="18"/>
  <c r="AE1074" i="18"/>
  <c r="Y1075" i="18"/>
  <c r="Z1075" i="18"/>
  <c r="AA1075" i="18"/>
  <c r="AC1075" i="18"/>
  <c r="AD1075" i="18"/>
  <c r="AE1075" i="18"/>
  <c r="Y1076" i="18"/>
  <c r="Z1076" i="18"/>
  <c r="AA1076" i="18"/>
  <c r="AC1076" i="18"/>
  <c r="AD1076" i="18"/>
  <c r="AE1076" i="18"/>
  <c r="Y1077" i="18"/>
  <c r="Z1077" i="18"/>
  <c r="AA1077" i="18"/>
  <c r="AC1077" i="18"/>
  <c r="AD1077" i="18"/>
  <c r="AE1077" i="18"/>
  <c r="Y1078" i="18"/>
  <c r="Z1078" i="18"/>
  <c r="AA1078" i="18"/>
  <c r="AC1078" i="18"/>
  <c r="AD1078" i="18"/>
  <c r="AE1078" i="18"/>
  <c r="Y1079" i="18"/>
  <c r="Z1079" i="18"/>
  <c r="AA1079" i="18"/>
  <c r="AC1079" i="18"/>
  <c r="AD1079" i="18"/>
  <c r="AE1079" i="18"/>
  <c r="Y1080" i="18"/>
  <c r="Z1080" i="18"/>
  <c r="AA1080" i="18"/>
  <c r="AB1080" i="18"/>
  <c r="AC1080" i="18"/>
  <c r="AD1080" i="18"/>
  <c r="AE1080" i="18"/>
  <c r="Y1081" i="18"/>
  <c r="Z1081" i="18"/>
  <c r="AA1081" i="18"/>
  <c r="AC1081" i="18"/>
  <c r="AD1081" i="18"/>
  <c r="AE1081" i="18"/>
  <c r="Y1082" i="18"/>
  <c r="Z1082" i="18"/>
  <c r="AA1082" i="18"/>
  <c r="AC1082" i="18"/>
  <c r="AD1082" i="18"/>
  <c r="AE1082" i="18"/>
  <c r="Y1083" i="18"/>
  <c r="Z1083" i="18"/>
  <c r="AA1083" i="18"/>
  <c r="AC1083" i="18"/>
  <c r="AD1083" i="18"/>
  <c r="AE1083" i="18"/>
  <c r="Y1084" i="18"/>
  <c r="D137" i="4"/>
  <c r="Z1084" i="18"/>
  <c r="AA1084" i="18"/>
  <c r="AB1084" i="18"/>
  <c r="AC1084" i="18"/>
  <c r="AD1084" i="18"/>
  <c r="AE1084" i="18"/>
  <c r="Y1085" i="18"/>
  <c r="Z1085" i="18"/>
  <c r="AA1085" i="18"/>
  <c r="AC1085" i="18"/>
  <c r="AD1085" i="18"/>
  <c r="AE1085" i="18"/>
  <c r="Y1086" i="18"/>
  <c r="Z1086" i="18"/>
  <c r="AA1086" i="18"/>
  <c r="AC1086" i="18"/>
  <c r="AD1086" i="18"/>
  <c r="AE1086" i="18"/>
  <c r="Y1087" i="18"/>
  <c r="Z1087" i="18"/>
  <c r="AA1087" i="18"/>
  <c r="AC1087" i="18"/>
  <c r="AD1087" i="18"/>
  <c r="AE1087" i="18"/>
  <c r="Y1088" i="18"/>
  <c r="Z1088" i="18"/>
  <c r="AA1088" i="18"/>
  <c r="AB1088" i="18"/>
  <c r="AC1088" i="18"/>
  <c r="AD1088" i="18"/>
  <c r="AE1088" i="18"/>
  <c r="Y1089" i="18"/>
  <c r="Z1089" i="18"/>
  <c r="AA1089" i="18"/>
  <c r="AC1089" i="18"/>
  <c r="AD1089" i="18"/>
  <c r="AE1089" i="18"/>
  <c r="Y1090" i="18"/>
  <c r="Z1090" i="18"/>
  <c r="AA1090" i="18"/>
  <c r="AC1090" i="18"/>
  <c r="AD1090" i="18"/>
  <c r="AE1090" i="18"/>
  <c r="Y1091" i="18"/>
  <c r="Z1091" i="18"/>
  <c r="AA1091" i="18"/>
  <c r="AC1091" i="18"/>
  <c r="AD1091" i="18"/>
  <c r="AE1091" i="18"/>
  <c r="Y1092" i="18"/>
  <c r="Z1092" i="18"/>
  <c r="AA1092" i="18"/>
  <c r="AC1092" i="18"/>
  <c r="AD1092" i="18"/>
  <c r="AE1092" i="18"/>
  <c r="Y1093" i="18"/>
  <c r="Z1093" i="18"/>
  <c r="AA1093" i="18"/>
  <c r="AC1093" i="18"/>
  <c r="AD1093" i="18"/>
  <c r="AE1093" i="18"/>
  <c r="Y1094" i="18"/>
  <c r="Z1094" i="18"/>
  <c r="AA1094" i="18"/>
  <c r="AC1094" i="18"/>
  <c r="AD1094" i="18"/>
  <c r="AE1094" i="18"/>
  <c r="Y1095" i="18"/>
  <c r="Z1095" i="18"/>
  <c r="AA1095" i="18"/>
  <c r="AC1095" i="18"/>
  <c r="AD1095" i="18"/>
  <c r="AE1095" i="18"/>
  <c r="Y1096" i="18"/>
  <c r="Z1096" i="18"/>
  <c r="AA1096" i="18"/>
  <c r="AB1096" i="18"/>
  <c r="AC1096" i="18"/>
  <c r="AD1096" i="18"/>
  <c r="AE1096" i="18"/>
  <c r="Y1097" i="18"/>
  <c r="Z1097" i="18"/>
  <c r="AA1097" i="18"/>
  <c r="AC1097" i="18"/>
  <c r="AD1097" i="18"/>
  <c r="AE1097" i="18"/>
  <c r="Y1098" i="18"/>
  <c r="Z1098" i="18"/>
  <c r="AA1098" i="18"/>
  <c r="AC1098" i="18"/>
  <c r="AD1098" i="18"/>
  <c r="AE1098" i="18"/>
  <c r="Y1099" i="18"/>
  <c r="Z1099" i="18"/>
  <c r="AA1099" i="18"/>
  <c r="AC1099" i="18"/>
  <c r="AD1099" i="18"/>
  <c r="AE1099" i="18"/>
  <c r="Y1100" i="18"/>
  <c r="Z1100" i="18"/>
  <c r="AA1100" i="18"/>
  <c r="AC1100" i="18"/>
  <c r="AD1100" i="18"/>
  <c r="AE1100" i="18"/>
  <c r="Y1101" i="18"/>
  <c r="Z1101" i="18"/>
  <c r="AA1101" i="18"/>
  <c r="AC1101" i="18"/>
  <c r="AD1101" i="18"/>
  <c r="AE1101" i="18"/>
  <c r="Y1102" i="18"/>
  <c r="Z1102" i="18"/>
  <c r="AA1102" i="18"/>
  <c r="AB1102" i="18"/>
  <c r="AC1102" i="18"/>
  <c r="AD1102" i="18"/>
  <c r="AE1102" i="18"/>
  <c r="Y1103" i="18"/>
  <c r="Z1103" i="18"/>
  <c r="AA1103" i="18"/>
  <c r="AB1103" i="18"/>
  <c r="AC1103" i="18"/>
  <c r="AD1103" i="18"/>
  <c r="AE1103" i="18"/>
  <c r="Y1104" i="18"/>
  <c r="Z1104" i="18"/>
  <c r="AA1104" i="18"/>
  <c r="AB1104" i="18"/>
  <c r="AC1104" i="18"/>
  <c r="AD1104" i="18"/>
  <c r="AE1104" i="18"/>
  <c r="Y1105" i="18"/>
  <c r="Z1105" i="18"/>
  <c r="AA1105" i="18"/>
  <c r="AB1105" i="18"/>
  <c r="AC1105" i="18"/>
  <c r="AD1105" i="18"/>
  <c r="AE1105" i="18"/>
  <c r="Y1106" i="18"/>
  <c r="Z1106" i="18"/>
  <c r="AA1106" i="18"/>
  <c r="AB1106" i="18"/>
  <c r="AC1106" i="18"/>
  <c r="AD1106" i="18"/>
  <c r="AE1106" i="18"/>
  <c r="Y1107" i="18"/>
  <c r="Z1107" i="18"/>
  <c r="AA1107" i="18"/>
  <c r="AB1107" i="18"/>
  <c r="AC1107" i="18"/>
  <c r="AD1107" i="18"/>
  <c r="AE1107" i="18"/>
  <c r="Y1108" i="18"/>
  <c r="Z1108" i="18"/>
  <c r="AA1108" i="18"/>
  <c r="AB1108" i="18"/>
  <c r="AC1108" i="18"/>
  <c r="AD1108" i="18"/>
  <c r="AE1108" i="18"/>
  <c r="Y1109" i="18"/>
  <c r="Z1109" i="18"/>
  <c r="AA1109" i="18"/>
  <c r="AB1109" i="18"/>
  <c r="AC1109" i="18"/>
  <c r="AD1109" i="18"/>
  <c r="AE1109" i="18"/>
  <c r="Y1110" i="18"/>
  <c r="Z1110" i="18"/>
  <c r="AA1110" i="18"/>
  <c r="AC1110" i="18"/>
  <c r="AD1110" i="18"/>
  <c r="AE1110" i="18"/>
  <c r="Y1111" i="18"/>
  <c r="Z1111" i="18"/>
  <c r="AA1111" i="18"/>
  <c r="AC1111" i="18"/>
  <c r="AD1111" i="18"/>
  <c r="AE1111" i="18"/>
  <c r="Y1112" i="18"/>
  <c r="Z1112" i="18"/>
  <c r="AA1112" i="18"/>
  <c r="AC1112" i="18"/>
  <c r="AD1112" i="18"/>
  <c r="AE1112" i="18"/>
  <c r="Y1113" i="18"/>
  <c r="Z1113" i="18"/>
  <c r="AA1113" i="18"/>
  <c r="AC1113" i="18"/>
  <c r="AD1113" i="18"/>
  <c r="AE1113" i="18"/>
  <c r="Y1114" i="18"/>
  <c r="Z1114" i="18"/>
  <c r="AA1114" i="18"/>
  <c r="AC1114" i="18"/>
  <c r="AD1114" i="18"/>
  <c r="AE1114" i="18"/>
  <c r="Y1115" i="18"/>
  <c r="Z1115" i="18"/>
  <c r="AA1115" i="18"/>
  <c r="AC1115" i="18"/>
  <c r="AD1115" i="18"/>
  <c r="AE1115" i="18"/>
  <c r="Y1116" i="18"/>
  <c r="Z1116" i="18"/>
  <c r="AA1116" i="18"/>
  <c r="AC1116" i="18"/>
  <c r="AD1116" i="18"/>
  <c r="AE1116" i="18"/>
  <c r="Y1117" i="18"/>
  <c r="Z1117" i="18"/>
  <c r="AA1117" i="18"/>
  <c r="AC1117" i="18"/>
  <c r="AD1117" i="18"/>
  <c r="AE1117" i="18"/>
  <c r="Y1118" i="18"/>
  <c r="Z1118" i="18"/>
  <c r="AA1118" i="18"/>
  <c r="AC1118" i="18"/>
  <c r="AD1118" i="18"/>
  <c r="AE1118" i="18"/>
  <c r="Y1119" i="18"/>
  <c r="Z1119" i="18"/>
  <c r="AA1119" i="18"/>
  <c r="AC1119" i="18"/>
  <c r="AD1119" i="18"/>
  <c r="AE1119" i="18"/>
  <c r="Y1120" i="18"/>
  <c r="Z1120" i="18"/>
  <c r="AA1120" i="18"/>
  <c r="AC1120" i="18"/>
  <c r="AD1120" i="18"/>
  <c r="AE1120" i="18"/>
  <c r="Y1121" i="18"/>
  <c r="Z1121" i="18"/>
  <c r="AA1121" i="18"/>
  <c r="AC1121" i="18"/>
  <c r="AD1121" i="18"/>
  <c r="AE1121" i="18"/>
  <c r="Y1122" i="18"/>
  <c r="Z1122" i="18"/>
  <c r="AA1122" i="18"/>
  <c r="AC1122" i="18"/>
  <c r="AD1122" i="18"/>
  <c r="AE1122" i="18"/>
  <c r="Y1123" i="18"/>
  <c r="Z1123" i="18"/>
  <c r="AA1123" i="18"/>
  <c r="AB1123" i="18"/>
  <c r="AC1123" i="18"/>
  <c r="AD1123" i="18"/>
  <c r="AE1123" i="18"/>
  <c r="Y1124" i="18"/>
  <c r="Z1124" i="18"/>
  <c r="AA1124" i="18"/>
  <c r="AC1124" i="18"/>
  <c r="AD1124" i="18"/>
  <c r="AE1124" i="18"/>
  <c r="Y1125" i="18"/>
  <c r="Z1125" i="18"/>
  <c r="AA1125" i="18"/>
  <c r="AC1125" i="18"/>
  <c r="AD1125" i="18"/>
  <c r="AE1125" i="18"/>
  <c r="Y1126" i="18"/>
  <c r="Z1126" i="18"/>
  <c r="AA1126" i="18"/>
  <c r="AC1126" i="18"/>
  <c r="AD1126" i="18"/>
  <c r="AE1126" i="18"/>
  <c r="Y1127" i="18"/>
  <c r="Z1127" i="18"/>
  <c r="AA1127" i="18"/>
  <c r="AC1127" i="18"/>
  <c r="AD1127" i="18"/>
  <c r="AE1127" i="18"/>
  <c r="Y1128" i="18"/>
  <c r="Z1128" i="18"/>
  <c r="AA1128" i="18"/>
  <c r="AC1128" i="18"/>
  <c r="AD1128" i="18"/>
  <c r="AE1128" i="18"/>
  <c r="Y1129" i="18"/>
  <c r="Z1129" i="18"/>
  <c r="AA1129" i="18"/>
  <c r="AC1129" i="18"/>
  <c r="AD1129" i="18"/>
  <c r="AE1129" i="18"/>
  <c r="Y1130" i="18"/>
  <c r="Z1130" i="18"/>
  <c r="AA1130" i="18"/>
  <c r="AC1130" i="18"/>
  <c r="AD1130" i="18"/>
  <c r="AE1130" i="18"/>
  <c r="Y1131" i="18"/>
  <c r="Z1131" i="18"/>
  <c r="AA1131" i="18"/>
  <c r="AC1131" i="18"/>
  <c r="AD1131" i="18"/>
  <c r="AE1131" i="18"/>
  <c r="Y1132" i="18"/>
  <c r="D494" i="4"/>
  <c r="Z1132" i="18"/>
  <c r="AA1132" i="18"/>
  <c r="AC1132" i="18"/>
  <c r="AD1132" i="18"/>
  <c r="AE1132" i="18"/>
  <c r="Y1133" i="18"/>
  <c r="Z1133" i="18"/>
  <c r="AA1133" i="18"/>
  <c r="AC1133" i="18"/>
  <c r="AD1133" i="18"/>
  <c r="AE1133" i="18"/>
  <c r="Y1134" i="18"/>
  <c r="Z1134" i="18"/>
  <c r="AA1134" i="18"/>
  <c r="AC1134" i="18"/>
  <c r="AD1134" i="18"/>
  <c r="AE1134" i="18"/>
  <c r="Y1135" i="18"/>
  <c r="Z1135" i="18"/>
  <c r="AA1135" i="18"/>
  <c r="AC1135" i="18"/>
  <c r="AD1135" i="18"/>
  <c r="AE1135" i="18"/>
  <c r="Y1136" i="18"/>
  <c r="Z1136" i="18"/>
  <c r="AA1136" i="18"/>
  <c r="AC1136" i="18"/>
  <c r="AD1136" i="18"/>
  <c r="AE1136" i="18"/>
  <c r="Y1137" i="18"/>
  <c r="Z1137" i="18"/>
  <c r="AA1137" i="18"/>
  <c r="AC1137" i="18"/>
  <c r="AD1137" i="18"/>
  <c r="AE1137" i="18"/>
  <c r="Y1138" i="18"/>
  <c r="Z1138" i="18"/>
  <c r="AA1138" i="18"/>
  <c r="AC1138" i="18"/>
  <c r="AD1138" i="18"/>
  <c r="AE1138" i="18"/>
  <c r="Y1139" i="18"/>
  <c r="Z1139" i="18"/>
  <c r="AA1139" i="18"/>
  <c r="AC1139" i="18"/>
  <c r="AD1139" i="18"/>
  <c r="AE1139" i="18"/>
  <c r="Y1140" i="18"/>
  <c r="Z1140" i="18"/>
  <c r="AA1140" i="18"/>
  <c r="AC1140" i="18"/>
  <c r="AD1140" i="18"/>
  <c r="AE1140" i="18"/>
  <c r="Y1141" i="18"/>
  <c r="Z1141" i="18"/>
  <c r="AA1141" i="18"/>
  <c r="AB1141" i="18"/>
  <c r="AC1141" i="18"/>
  <c r="AD1141" i="18"/>
  <c r="AE1141" i="18"/>
  <c r="Y1142" i="18"/>
  <c r="Z1142" i="18"/>
  <c r="AA1142" i="18"/>
  <c r="AB1142" i="18"/>
  <c r="AC1142" i="18"/>
  <c r="AD1142" i="18"/>
  <c r="AE1142" i="18"/>
  <c r="Y1143" i="18"/>
  <c r="Z1143" i="18"/>
  <c r="AA1143" i="18"/>
  <c r="AB1143" i="18"/>
  <c r="AC1143" i="18"/>
  <c r="AD1143" i="18"/>
  <c r="AE1143" i="18"/>
  <c r="Y1144" i="18"/>
  <c r="Z1144" i="18"/>
  <c r="AA1144" i="18"/>
  <c r="AB1144" i="18"/>
  <c r="AC1144" i="18"/>
  <c r="AD1144" i="18"/>
  <c r="AE1144" i="18"/>
  <c r="Y1145" i="18"/>
  <c r="Z1145" i="18"/>
  <c r="AA1145" i="18"/>
  <c r="AB1145" i="18"/>
  <c r="AC1145" i="18"/>
  <c r="AD1145" i="18"/>
  <c r="AE1145" i="18"/>
  <c r="Y1146" i="18"/>
  <c r="Z1146" i="18"/>
  <c r="AA1146" i="18"/>
  <c r="AB1146" i="18"/>
  <c r="AC1146" i="18"/>
  <c r="AD1146" i="18"/>
  <c r="AE1146" i="18"/>
  <c r="Y1147" i="18"/>
  <c r="Z1147" i="18"/>
  <c r="AA1147" i="18"/>
  <c r="AB1147" i="18"/>
  <c r="AC1147" i="18"/>
  <c r="AD1147" i="18"/>
  <c r="AE1147" i="18"/>
  <c r="Y1148" i="18"/>
  <c r="Z1148" i="18"/>
  <c r="AA1148" i="18"/>
  <c r="AB1148" i="18"/>
  <c r="AC1148" i="18"/>
  <c r="AD1148" i="18"/>
  <c r="AE1148" i="18"/>
  <c r="Y1149" i="18"/>
  <c r="Z1149" i="18"/>
  <c r="AA1149" i="18"/>
  <c r="AB1149" i="18"/>
  <c r="AC1149" i="18"/>
  <c r="AD1149" i="18"/>
  <c r="AE1149" i="18"/>
  <c r="Y1150" i="18"/>
  <c r="Z1150" i="18"/>
  <c r="AA1150" i="18"/>
  <c r="AB1150" i="18"/>
  <c r="AC1150" i="18"/>
  <c r="AD1150" i="18"/>
  <c r="AE1150" i="18"/>
  <c r="Y1151" i="18"/>
  <c r="Z1151" i="18"/>
  <c r="AA1151" i="18"/>
  <c r="AB1151" i="18"/>
  <c r="AC1151" i="18"/>
  <c r="AD1151" i="18"/>
  <c r="AE1151" i="18"/>
  <c r="Y1152" i="18"/>
  <c r="Z1152" i="18"/>
  <c r="AA1152" i="18"/>
  <c r="AB1152" i="18"/>
  <c r="AC1152" i="18"/>
  <c r="AD1152" i="18"/>
  <c r="AE1152" i="18"/>
  <c r="Y1153" i="18"/>
  <c r="Z1153" i="18"/>
  <c r="AA1153" i="18"/>
  <c r="AB1153" i="18"/>
  <c r="AC1153" i="18"/>
  <c r="AD1153" i="18"/>
  <c r="AE1153" i="18"/>
  <c r="Y1154" i="18"/>
  <c r="Z1154" i="18"/>
  <c r="AA1154" i="18"/>
  <c r="AB1154" i="18"/>
  <c r="AC1154" i="18"/>
  <c r="AD1154" i="18"/>
  <c r="AE1154" i="18"/>
  <c r="Y1155" i="18"/>
  <c r="Z1155" i="18"/>
  <c r="AA1155" i="18"/>
  <c r="AB1155" i="18"/>
  <c r="AC1155" i="18"/>
  <c r="AD1155" i="18"/>
  <c r="AE1155" i="18"/>
  <c r="Y1156" i="18"/>
  <c r="Z1156" i="18"/>
  <c r="AA1156" i="18"/>
  <c r="AB1156" i="18"/>
  <c r="AC1156" i="18"/>
  <c r="AD1156" i="18"/>
  <c r="AE1156" i="18"/>
  <c r="Y1157" i="18"/>
  <c r="Z1157" i="18"/>
  <c r="AA1157" i="18"/>
  <c r="AB1157" i="18"/>
  <c r="AC1157" i="18"/>
  <c r="AD1157" i="18"/>
  <c r="AE1157" i="18"/>
  <c r="Y1158" i="18"/>
  <c r="Z1158" i="18"/>
  <c r="AA1158" i="18"/>
  <c r="AB1158" i="18"/>
  <c r="AC1158" i="18"/>
  <c r="AD1158" i="18"/>
  <c r="AE1158" i="18"/>
  <c r="Y1159" i="18"/>
  <c r="Z1159" i="18"/>
  <c r="AA1159" i="18"/>
  <c r="AB1159" i="18"/>
  <c r="AC1159" i="18"/>
  <c r="AD1159" i="18"/>
  <c r="AE1159" i="18"/>
  <c r="Y1160" i="18"/>
  <c r="Z1160" i="18"/>
  <c r="AA1160" i="18"/>
  <c r="AB1160" i="18"/>
  <c r="AC1160" i="18"/>
  <c r="AD1160" i="18"/>
  <c r="AE1160" i="18"/>
  <c r="Y1161" i="18"/>
  <c r="Z1161" i="18"/>
  <c r="AA1161" i="18"/>
  <c r="AB1161" i="18"/>
  <c r="AC1161" i="18"/>
  <c r="AD1161" i="18"/>
  <c r="AE1161" i="18"/>
  <c r="Y1162" i="18"/>
  <c r="Z1162" i="18"/>
  <c r="AA1162" i="18"/>
  <c r="AB1162" i="18"/>
  <c r="AC1162" i="18"/>
  <c r="AD1162" i="18"/>
  <c r="AE1162" i="18"/>
  <c r="Y1163" i="18"/>
  <c r="Z1163" i="18"/>
  <c r="AA1163" i="18"/>
  <c r="AB1163" i="18"/>
  <c r="AC1163" i="18"/>
  <c r="AD1163" i="18"/>
  <c r="AE1163" i="18"/>
  <c r="Y1164" i="18"/>
  <c r="Z1164" i="18"/>
  <c r="AA1164" i="18"/>
  <c r="AB1164" i="18"/>
  <c r="AC1164" i="18"/>
  <c r="AD1164" i="18"/>
  <c r="AE1164" i="18"/>
  <c r="Y1165" i="18"/>
  <c r="Z1165" i="18"/>
  <c r="AA1165" i="18"/>
  <c r="AB1165" i="18"/>
  <c r="AC1165" i="18"/>
  <c r="AD1165" i="18"/>
  <c r="AE1165" i="18"/>
  <c r="AE6" i="18"/>
  <c r="AD6" i="18"/>
  <c r="Y6" i="18"/>
  <c r="D160" i="4"/>
  <c r="AC6" i="18"/>
  <c r="AA6" i="18"/>
  <c r="Z6" i="18"/>
  <c r="L22" i="19"/>
  <c r="AB6" i="18"/>
  <c r="AB7" i="18"/>
  <c r="AB8" i="18"/>
  <c r="AB9" i="18"/>
  <c r="AB10" i="18"/>
  <c r="AB11" i="18"/>
  <c r="AB12" i="18"/>
  <c r="AB13" i="18"/>
  <c r="AB14" i="18"/>
  <c r="AB15" i="18"/>
  <c r="AB16" i="18"/>
  <c r="AB17" i="18"/>
  <c r="AB18" i="18"/>
  <c r="AB19" i="18"/>
  <c r="Y20" i="18"/>
  <c r="AB20" i="18"/>
  <c r="AB21" i="18"/>
  <c r="AB22" i="18"/>
  <c r="AB23" i="18"/>
  <c r="AB24" i="18"/>
  <c r="AB25" i="18"/>
  <c r="AB26" i="18"/>
  <c r="AB27" i="18"/>
  <c r="AB28" i="18"/>
  <c r="AB29" i="18"/>
  <c r="AB30" i="18"/>
  <c r="AB31" i="18"/>
  <c r="AB32" i="18"/>
  <c r="AB33" i="18"/>
  <c r="AB34" i="18"/>
  <c r="AB35" i="18"/>
  <c r="AB36" i="18"/>
  <c r="AB37" i="18"/>
  <c r="AB38" i="18"/>
  <c r="AB39" i="18"/>
  <c r="AB40" i="18"/>
  <c r="AB41" i="18"/>
  <c r="AB42" i="18"/>
  <c r="AB43" i="18"/>
  <c r="AB44" i="18"/>
  <c r="AB45" i="18"/>
  <c r="AB46" i="18"/>
  <c r="AB47" i="18"/>
  <c r="AB48" i="18"/>
  <c r="AB49" i="18"/>
  <c r="AB50" i="18"/>
  <c r="Y51" i="18"/>
  <c r="AB51" i="18"/>
  <c r="AB53" i="18"/>
  <c r="AB54" i="18"/>
  <c r="AB55" i="18"/>
  <c r="AB56" i="18"/>
  <c r="AB57" i="18"/>
  <c r="AB58" i="18"/>
  <c r="AB83" i="18"/>
  <c r="AB115" i="18"/>
  <c r="AB121" i="18"/>
  <c r="AB122" i="18"/>
  <c r="AB123" i="18"/>
  <c r="AB128" i="18"/>
  <c r="AB155" i="18"/>
  <c r="AB200" i="18"/>
  <c r="AB218" i="18"/>
  <c r="AB243" i="18"/>
  <c r="AB245" i="18"/>
  <c r="AB246" i="18"/>
  <c r="AB247" i="18"/>
  <c r="AB248" i="18"/>
  <c r="AB249" i="18"/>
  <c r="AB250" i="18"/>
  <c r="AB251" i="18"/>
  <c r="AB252" i="18"/>
  <c r="AB253" i="18"/>
  <c r="AB254" i="18"/>
  <c r="AB255" i="18"/>
  <c r="AB256" i="18"/>
  <c r="AB257" i="18"/>
  <c r="AB266" i="18"/>
  <c r="AB267" i="18"/>
  <c r="AB295" i="18"/>
  <c r="AB298" i="18"/>
  <c r="AB301" i="18"/>
  <c r="AB302" i="18"/>
  <c r="AB307" i="18"/>
  <c r="AB311" i="18"/>
  <c r="Y312" i="18"/>
  <c r="Y313" i="18"/>
  <c r="AB315" i="18"/>
  <c r="AB316" i="18"/>
  <c r="AB317" i="18"/>
  <c r="AB318" i="18"/>
  <c r="Y322" i="18"/>
  <c r="AB323" i="18"/>
  <c r="AB327" i="18"/>
  <c r="Q338" i="18"/>
  <c r="AE338" i="18"/>
  <c r="AB338" i="18"/>
  <c r="AB345" i="18"/>
  <c r="AB346" i="18"/>
  <c r="AB348" i="18"/>
  <c r="AB349" i="18"/>
  <c r="AB350" i="18"/>
  <c r="AB355" i="18"/>
  <c r="AB356" i="18"/>
  <c r="AB358" i="18"/>
  <c r="AB360" i="18"/>
  <c r="AB362" i="18"/>
  <c r="AB363" i="18"/>
  <c r="AB364" i="18"/>
  <c r="AB369" i="18"/>
  <c r="AB371" i="18"/>
  <c r="AB376" i="18"/>
  <c r="AB377" i="18"/>
  <c r="AB381" i="18"/>
  <c r="AB382" i="18"/>
  <c r="AB383" i="18"/>
  <c r="AB384" i="18"/>
  <c r="Y385" i="18"/>
  <c r="AB385" i="18"/>
  <c r="Y386" i="18"/>
  <c r="AB386" i="18"/>
  <c r="Y387" i="18"/>
  <c r="AB388" i="18"/>
  <c r="Y388" i="18"/>
  <c r="Y390" i="18"/>
  <c r="AB390" i="18"/>
  <c r="AB392" i="18"/>
  <c r="AB396" i="18"/>
  <c r="AB398" i="18"/>
  <c r="AB403" i="18"/>
  <c r="AB406" i="18"/>
  <c r="AB408" i="18"/>
  <c r="AB410" i="18"/>
  <c r="AB412" i="18"/>
  <c r="AB414" i="18"/>
  <c r="AB416" i="18"/>
  <c r="AB417" i="18"/>
  <c r="AB419" i="18"/>
  <c r="AB421" i="18"/>
  <c r="AB422" i="18"/>
  <c r="AB424" i="18"/>
  <c r="AB426" i="18"/>
  <c r="AB428" i="18"/>
  <c r="AB429" i="18"/>
  <c r="AB430" i="18"/>
  <c r="AB434" i="18"/>
  <c r="AB435" i="18"/>
  <c r="Y437" i="18"/>
  <c r="D377" i="4"/>
  <c r="AB437" i="18"/>
  <c r="AB439" i="18"/>
  <c r="AB440" i="18"/>
  <c r="AB441" i="18"/>
  <c r="AB442" i="18"/>
  <c r="AB456" i="18"/>
  <c r="AB457" i="18"/>
  <c r="AB458" i="18"/>
  <c r="AB459" i="18"/>
  <c r="AB460" i="18"/>
  <c r="AB461" i="18"/>
  <c r="AB462" i="18"/>
  <c r="AB463" i="18"/>
  <c r="AB464" i="18"/>
  <c r="AB465" i="18"/>
  <c r="AB466" i="18"/>
  <c r="AB467" i="18"/>
  <c r="AB468" i="18"/>
  <c r="AB469" i="18"/>
  <c r="AB470" i="18"/>
  <c r="AB471" i="18"/>
  <c r="AB472" i="18"/>
  <c r="AB473" i="18"/>
  <c r="Q473" i="18"/>
  <c r="AE473" i="18"/>
  <c r="Q474" i="18"/>
  <c r="AE474" i="18"/>
  <c r="AB475" i="18"/>
  <c r="AB476" i="18"/>
  <c r="AB477" i="18"/>
  <c r="AB478" i="18"/>
  <c r="AB479" i="18"/>
  <c r="AB480" i="18"/>
  <c r="AB481" i="18"/>
  <c r="AB482" i="18"/>
  <c r="AB483" i="18"/>
  <c r="AB484" i="18"/>
  <c r="AB485" i="18"/>
  <c r="AB486" i="18"/>
  <c r="AB487" i="18"/>
  <c r="AB488" i="18"/>
  <c r="AB489" i="18"/>
  <c r="AB490" i="18"/>
  <c r="AB491" i="18"/>
  <c r="AB492" i="18"/>
  <c r="AB493" i="18"/>
  <c r="AB494" i="18"/>
  <c r="AB495" i="18"/>
  <c r="AB496" i="18"/>
  <c r="AB497" i="18"/>
  <c r="AB498" i="18"/>
  <c r="AB499" i="18"/>
  <c r="AB500" i="18"/>
  <c r="AB501" i="18"/>
  <c r="AB502" i="18"/>
  <c r="AB503" i="18"/>
  <c r="AB504" i="18"/>
  <c r="AB505" i="18"/>
  <c r="AB506" i="18"/>
  <c r="AB507" i="18"/>
  <c r="AB508" i="18"/>
  <c r="AB509" i="18"/>
  <c r="AB510" i="18"/>
  <c r="AB511" i="18"/>
  <c r="AB512" i="18"/>
  <c r="AB513" i="18"/>
  <c r="AB514" i="18"/>
  <c r="AB515" i="18"/>
  <c r="AB516" i="18"/>
  <c r="AB517" i="18"/>
  <c r="AB518" i="18"/>
  <c r="AB519" i="18"/>
  <c r="AB520" i="18"/>
  <c r="AB521" i="18"/>
  <c r="AB522" i="18"/>
  <c r="AB523" i="18"/>
  <c r="AB524" i="18"/>
  <c r="AB525" i="18"/>
  <c r="Y525" i="18"/>
  <c r="Q525" i="18"/>
  <c r="AE525" i="18"/>
  <c r="AB526" i="18"/>
  <c r="AB527" i="18"/>
  <c r="AB528" i="18"/>
  <c r="AB529" i="18"/>
  <c r="AB530" i="18"/>
  <c r="AB531" i="18"/>
  <c r="AB532" i="18"/>
  <c r="AB533" i="18"/>
  <c r="Y534" i="18"/>
  <c r="Q534" i="18"/>
  <c r="AE534" i="18"/>
  <c r="AB535" i="18"/>
  <c r="AB536" i="18"/>
  <c r="AB537" i="18"/>
  <c r="AB538" i="18"/>
  <c r="AB539" i="18"/>
  <c r="AB540" i="18"/>
  <c r="AB541" i="18"/>
  <c r="AB542" i="18"/>
  <c r="AB543" i="18"/>
  <c r="AB544" i="18"/>
  <c r="AB545" i="18"/>
  <c r="AK545" i="18"/>
  <c r="AB546" i="18"/>
  <c r="AB547" i="18"/>
  <c r="AB548" i="18"/>
  <c r="AB549" i="18"/>
  <c r="AB550" i="18"/>
  <c r="AB551" i="18"/>
  <c r="AB552" i="18"/>
  <c r="AB553" i="18"/>
  <c r="AB554" i="18"/>
  <c r="AB555" i="18"/>
  <c r="AB556" i="18"/>
  <c r="AB557" i="18"/>
  <c r="AB558" i="18"/>
  <c r="AB559" i="18"/>
  <c r="AB560" i="18"/>
  <c r="AB561" i="18"/>
  <c r="AB562" i="18"/>
  <c r="AB563" i="18"/>
  <c r="AB564" i="18"/>
  <c r="AB565" i="18"/>
  <c r="AB566" i="18"/>
  <c r="AB567" i="18"/>
  <c r="AB568" i="18"/>
  <c r="AB569" i="18"/>
  <c r="AB570" i="18"/>
  <c r="AB571" i="18"/>
  <c r="AB572" i="18"/>
  <c r="AB573" i="18"/>
  <c r="AB574" i="18"/>
  <c r="AB575" i="18"/>
  <c r="AB576" i="18"/>
  <c r="AB577" i="18"/>
  <c r="AB578" i="18"/>
  <c r="AB579" i="18"/>
  <c r="AB580" i="18"/>
  <c r="AB581" i="18"/>
  <c r="AB582" i="18"/>
  <c r="AB583" i="18"/>
  <c r="AB584" i="18"/>
  <c r="AB585" i="18"/>
  <c r="AB586" i="18"/>
  <c r="AB587" i="18"/>
  <c r="AB588" i="18"/>
  <c r="AB589" i="18"/>
  <c r="AB590" i="18"/>
  <c r="AB591" i="18"/>
  <c r="AB592" i="18"/>
  <c r="AB593" i="18"/>
  <c r="AB594" i="18"/>
  <c r="AB595" i="18"/>
  <c r="AB596" i="18"/>
  <c r="AB597" i="18"/>
  <c r="AB598" i="18"/>
  <c r="AB599" i="18"/>
  <c r="AB600" i="18"/>
  <c r="AB601" i="18"/>
  <c r="AB602" i="18"/>
  <c r="AB603" i="18"/>
  <c r="AB604" i="18"/>
  <c r="AB605" i="18"/>
  <c r="AB606" i="18"/>
  <c r="AB607" i="18"/>
  <c r="AB608" i="18"/>
  <c r="AB609" i="18"/>
  <c r="AB610" i="18"/>
  <c r="AB611" i="18"/>
  <c r="AB612" i="18"/>
  <c r="AB613" i="18"/>
  <c r="AB614" i="18"/>
  <c r="AB615" i="18"/>
  <c r="AB616" i="18"/>
  <c r="AB617" i="18"/>
  <c r="AB618" i="18"/>
  <c r="AB619" i="18"/>
  <c r="AB620" i="18"/>
  <c r="AB621" i="18"/>
  <c r="AB622" i="18"/>
  <c r="AB623" i="18"/>
  <c r="AB624" i="18"/>
  <c r="AB625" i="18"/>
  <c r="AB626" i="18"/>
  <c r="AB627" i="18"/>
  <c r="AB628" i="18"/>
  <c r="AB629" i="18"/>
  <c r="AB630" i="18"/>
  <c r="AB631" i="18"/>
  <c r="AB632" i="18"/>
  <c r="AB633" i="18"/>
  <c r="AB634" i="18"/>
  <c r="AB635" i="18"/>
  <c r="AB636" i="18"/>
  <c r="AB637" i="18"/>
  <c r="AB638" i="18"/>
  <c r="AB639" i="18"/>
  <c r="AB640" i="18"/>
  <c r="AB641" i="18"/>
  <c r="AB642" i="18"/>
  <c r="AB643" i="18"/>
  <c r="AB644" i="18"/>
  <c r="AB645" i="18"/>
  <c r="AB646" i="18"/>
  <c r="AB647" i="18"/>
  <c r="AB648" i="18"/>
  <c r="AB649" i="18"/>
  <c r="AB650" i="18"/>
  <c r="AB651" i="18"/>
  <c r="AB652" i="18"/>
  <c r="AB653" i="18"/>
  <c r="AB654" i="18"/>
  <c r="AB655" i="18"/>
  <c r="AB656" i="18"/>
  <c r="AB657" i="18"/>
  <c r="AB658" i="18"/>
  <c r="AB659" i="18"/>
  <c r="AB660" i="18"/>
  <c r="AB661" i="18"/>
  <c r="AB662" i="18"/>
  <c r="AB663" i="18"/>
  <c r="AB664" i="18"/>
  <c r="AB665" i="18"/>
  <c r="AB666" i="18"/>
  <c r="AB667" i="18"/>
  <c r="AB668" i="18"/>
  <c r="AB669" i="18"/>
  <c r="AB670" i="18"/>
  <c r="AB671" i="18"/>
  <c r="AB672" i="18"/>
  <c r="AB673" i="18"/>
  <c r="AB674" i="18"/>
  <c r="AB675" i="18"/>
  <c r="AB676" i="18"/>
  <c r="AB680" i="18"/>
  <c r="AB681" i="18"/>
  <c r="AB682" i="18"/>
  <c r="AB683" i="18"/>
  <c r="AB684" i="18"/>
  <c r="AB685" i="18"/>
  <c r="AB686" i="18"/>
  <c r="AB687" i="18"/>
  <c r="AB688" i="18"/>
  <c r="AB689" i="18"/>
  <c r="AB690" i="18"/>
  <c r="AB691" i="18"/>
  <c r="AB692" i="18"/>
  <c r="AB693" i="18"/>
  <c r="AB694" i="18"/>
  <c r="AB695" i="18"/>
  <c r="AB696" i="18"/>
  <c r="AB697" i="18"/>
  <c r="AB698" i="18"/>
  <c r="AB699" i="18"/>
  <c r="AB700" i="18"/>
  <c r="AB701" i="18"/>
  <c r="AB702" i="18"/>
  <c r="AB703" i="18"/>
  <c r="AB704" i="18"/>
  <c r="AB705" i="18"/>
  <c r="AB706" i="18"/>
  <c r="AB712" i="18"/>
  <c r="AB713" i="18"/>
  <c r="AB714" i="18"/>
  <c r="AB715" i="18"/>
  <c r="AB716" i="18"/>
  <c r="AB717" i="18"/>
  <c r="AB718" i="18"/>
  <c r="AB719" i="18"/>
  <c r="AB720" i="18"/>
  <c r="AB721" i="18"/>
  <c r="AB722" i="18"/>
  <c r="AB723" i="18"/>
  <c r="AB724" i="18"/>
  <c r="AB725" i="18"/>
  <c r="AB763" i="18"/>
  <c r="AB765" i="18"/>
  <c r="K767" i="18"/>
  <c r="AB767" i="18"/>
  <c r="K768" i="18"/>
  <c r="K769" i="18"/>
  <c r="AB769" i="18"/>
  <c r="K770" i="18"/>
  <c r="K771" i="18"/>
  <c r="K772" i="18"/>
  <c r="K773" i="18"/>
  <c r="AB773" i="18"/>
  <c r="K774" i="18"/>
  <c r="K775" i="18"/>
  <c r="AB775" i="18"/>
  <c r="K776" i="18"/>
  <c r="K777" i="18"/>
  <c r="AB777" i="18"/>
  <c r="K778" i="18"/>
  <c r="K779" i="18"/>
  <c r="AB779" i="18"/>
  <c r="K780" i="18"/>
  <c r="K781" i="18"/>
  <c r="AB781" i="18"/>
  <c r="K782" i="18"/>
  <c r="K783" i="18"/>
  <c r="AB783" i="18"/>
  <c r="K784" i="18"/>
  <c r="K785" i="18"/>
  <c r="AB785" i="18"/>
  <c r="K786" i="18"/>
  <c r="K787" i="18"/>
  <c r="K788" i="18"/>
  <c r="K789" i="18"/>
  <c r="AB789" i="18"/>
  <c r="K790" i="18"/>
  <c r="K791" i="18"/>
  <c r="AB791" i="18"/>
  <c r="K792" i="18"/>
  <c r="K793" i="18"/>
  <c r="AB793" i="18"/>
  <c r="K794" i="18"/>
  <c r="K795" i="18"/>
  <c r="AB795" i="18"/>
  <c r="K796" i="18"/>
  <c r="K797" i="18"/>
  <c r="AB797" i="18"/>
  <c r="K798" i="18"/>
  <c r="K799" i="18"/>
  <c r="AB799" i="18"/>
  <c r="K800" i="18"/>
  <c r="K801" i="18"/>
  <c r="AB801" i="18"/>
  <c r="K802" i="18"/>
  <c r="K803" i="18"/>
  <c r="K804" i="18"/>
  <c r="K805" i="18"/>
  <c r="AB805" i="18"/>
  <c r="K806" i="18"/>
  <c r="K807" i="18"/>
  <c r="AB807" i="18"/>
  <c r="K808" i="18"/>
  <c r="K809" i="18"/>
  <c r="AB809" i="18"/>
  <c r="K810" i="18"/>
  <c r="K811" i="18"/>
  <c r="AB811" i="18"/>
  <c r="K812" i="18"/>
  <c r="K813" i="18"/>
  <c r="AB813" i="18"/>
  <c r="K814" i="18"/>
  <c r="K815" i="18"/>
  <c r="AB815" i="18"/>
  <c r="K816" i="18"/>
  <c r="K817" i="18"/>
  <c r="AB817" i="18"/>
  <c r="K818" i="18"/>
  <c r="K819" i="18"/>
  <c r="K820" i="18"/>
  <c r="K821" i="18"/>
  <c r="AB821" i="18"/>
  <c r="K822" i="18"/>
  <c r="K823" i="18"/>
  <c r="AB823" i="18"/>
  <c r="K824" i="18"/>
  <c r="K825" i="18"/>
  <c r="K826" i="18"/>
  <c r="K827" i="18"/>
  <c r="K828" i="18"/>
  <c r="K829" i="18"/>
  <c r="K830" i="18"/>
  <c r="K831" i="18"/>
  <c r="AB831" i="18"/>
  <c r="K832" i="18"/>
  <c r="AB832" i="18"/>
  <c r="K833" i="18"/>
  <c r="AB833" i="18"/>
  <c r="K834" i="18"/>
  <c r="AB834" i="18"/>
  <c r="K835" i="18"/>
  <c r="K836" i="18"/>
  <c r="K837" i="18"/>
  <c r="K838" i="18"/>
  <c r="K839" i="18"/>
  <c r="AB839" i="18"/>
  <c r="K840" i="18"/>
  <c r="AB840" i="18"/>
  <c r="K841" i="18"/>
  <c r="K842" i="18"/>
  <c r="AB842" i="18"/>
  <c r="K843" i="18"/>
  <c r="K844" i="18"/>
  <c r="AB844" i="18"/>
  <c r="K845" i="18"/>
  <c r="K846" i="18"/>
  <c r="AB846" i="18"/>
  <c r="K847" i="18"/>
  <c r="K848" i="18"/>
  <c r="AB848" i="18"/>
  <c r="K849" i="18"/>
  <c r="K850" i="18"/>
  <c r="AB850" i="18"/>
  <c r="K851" i="18"/>
  <c r="K852" i="18"/>
  <c r="AB852" i="18"/>
  <c r="K853" i="18"/>
  <c r="K854" i="18"/>
  <c r="AB854" i="18"/>
  <c r="K855" i="18"/>
  <c r="AB855" i="18"/>
  <c r="K856" i="18"/>
  <c r="AB856" i="18"/>
  <c r="K857" i="18"/>
  <c r="AB857" i="18"/>
  <c r="K858" i="18"/>
  <c r="AB858" i="18"/>
  <c r="K859" i="18"/>
  <c r="AB859" i="18"/>
  <c r="K860" i="18"/>
  <c r="AB860" i="18"/>
  <c r="K861" i="18"/>
  <c r="AB861" i="18"/>
  <c r="K862" i="18"/>
  <c r="AB862" i="18"/>
  <c r="K863" i="18"/>
  <c r="AB863" i="18"/>
  <c r="K864" i="18"/>
  <c r="AB864" i="18"/>
  <c r="K865" i="18"/>
  <c r="AB865" i="18"/>
  <c r="K866" i="18"/>
  <c r="AB866" i="18"/>
  <c r="K867" i="18"/>
  <c r="AB867" i="18"/>
  <c r="K868" i="18"/>
  <c r="AB868" i="18"/>
  <c r="K869" i="18"/>
  <c r="AB869" i="18"/>
  <c r="K870" i="18"/>
  <c r="AB870" i="18"/>
  <c r="K871" i="18"/>
  <c r="AB871" i="18"/>
  <c r="K872" i="18"/>
  <c r="AB872" i="18"/>
  <c r="K873" i="18"/>
  <c r="AB873" i="18"/>
  <c r="K874" i="18"/>
  <c r="AB874" i="18"/>
  <c r="K875" i="18"/>
  <c r="AB875" i="18"/>
  <c r="K876" i="18"/>
  <c r="AB876" i="18"/>
  <c r="K877" i="18"/>
  <c r="AB877" i="18"/>
  <c r="K878" i="18"/>
  <c r="AB878" i="18"/>
  <c r="K879" i="18"/>
  <c r="AB879" i="18"/>
  <c r="K880" i="18"/>
  <c r="AB880" i="18"/>
  <c r="K881" i="18"/>
  <c r="AB881" i="18"/>
  <c r="K882" i="18"/>
  <c r="AB882" i="18"/>
  <c r="K883" i="18"/>
  <c r="AB883" i="18"/>
  <c r="K884" i="18"/>
  <c r="AB884" i="18"/>
  <c r="K885" i="18"/>
  <c r="AB885" i="18"/>
  <c r="K886" i="18"/>
  <c r="K887" i="18"/>
  <c r="AB887" i="18"/>
  <c r="K888" i="18"/>
  <c r="AB888" i="18"/>
  <c r="Y888" i="18"/>
  <c r="D577" i="4"/>
  <c r="D113" i="1"/>
  <c r="K889" i="18"/>
  <c r="AB889" i="18"/>
  <c r="K890" i="18"/>
  <c r="AB890" i="18"/>
  <c r="K891" i="18"/>
  <c r="AB891" i="18"/>
  <c r="K892" i="18"/>
  <c r="AB892" i="18"/>
  <c r="K893" i="18"/>
  <c r="AB893" i="18"/>
  <c r="AB894" i="18"/>
  <c r="AB904" i="18"/>
  <c r="AB905" i="18"/>
  <c r="AB906" i="18"/>
  <c r="AB907" i="18"/>
  <c r="AB908" i="18"/>
  <c r="AB909" i="18"/>
  <c r="AB910" i="18"/>
  <c r="AB911" i="18"/>
  <c r="AB912" i="18"/>
  <c r="AB913" i="18"/>
  <c r="AB914" i="18"/>
  <c r="AB915" i="18"/>
  <c r="AB917" i="18"/>
  <c r="AB918" i="18"/>
  <c r="AB919" i="18"/>
  <c r="AB920" i="18"/>
  <c r="AB921" i="18"/>
  <c r="AB922" i="18"/>
  <c r="AB923" i="18"/>
  <c r="AB924" i="18"/>
  <c r="AB925" i="18"/>
  <c r="AB926" i="18"/>
  <c r="AB927" i="18"/>
  <c r="AB928" i="18"/>
  <c r="AB929" i="18"/>
  <c r="AB930" i="18"/>
  <c r="AB931" i="18"/>
  <c r="AB932" i="18"/>
  <c r="AB933" i="18"/>
  <c r="AB934" i="18"/>
  <c r="AB936" i="18"/>
  <c r="Y937" i="18"/>
  <c r="AB937" i="18"/>
  <c r="Y938" i="18"/>
  <c r="AB938" i="18"/>
  <c r="AB939" i="18"/>
  <c r="Y940" i="18"/>
  <c r="Y941" i="18"/>
  <c r="AB941" i="18"/>
  <c r="Y942" i="18"/>
  <c r="AB942" i="18"/>
  <c r="AB943" i="18"/>
  <c r="AB944" i="18"/>
  <c r="AB945" i="18"/>
  <c r="AB946" i="18"/>
  <c r="AB947" i="18"/>
  <c r="AB948" i="18"/>
  <c r="AB949" i="18"/>
  <c r="AB950" i="18"/>
  <c r="AB951" i="18"/>
  <c r="AB952" i="18"/>
  <c r="AB953" i="18"/>
  <c r="AB954" i="18"/>
  <c r="AB955" i="18"/>
  <c r="AB956" i="18"/>
  <c r="AB965" i="18"/>
  <c r="AB966" i="18"/>
  <c r="AB967" i="18"/>
  <c r="AB968" i="18"/>
  <c r="AB969" i="18"/>
  <c r="AB970" i="18"/>
  <c r="AB971" i="18"/>
  <c r="AB972" i="18"/>
  <c r="AB973" i="18"/>
  <c r="AB974" i="18"/>
  <c r="AB977" i="18"/>
  <c r="AB978" i="18"/>
  <c r="AB981" i="18"/>
  <c r="AB982" i="18"/>
  <c r="AB985" i="18"/>
  <c r="AB986" i="18"/>
  <c r="AB987" i="18"/>
  <c r="AB988" i="18"/>
  <c r="AB989" i="18"/>
  <c r="AB990" i="18"/>
  <c r="AB991" i="18"/>
  <c r="AB992" i="18"/>
  <c r="AB993" i="18"/>
  <c r="AB994" i="18"/>
  <c r="AB995" i="18"/>
  <c r="AB996" i="18"/>
  <c r="AB997" i="18"/>
  <c r="AB1000" i="18"/>
  <c r="AB1003" i="18"/>
  <c r="AB1004" i="18"/>
  <c r="AB1005" i="18"/>
  <c r="AB1006" i="18"/>
  <c r="AB1007" i="18"/>
  <c r="AB1008" i="18"/>
  <c r="AB1009" i="18"/>
  <c r="AB1010" i="18"/>
  <c r="AB1011" i="18"/>
  <c r="AB1012" i="18"/>
  <c r="AB1014" i="18"/>
  <c r="AB1015" i="18"/>
  <c r="AB1016" i="18"/>
  <c r="AB1020" i="18"/>
  <c r="AB1021" i="18"/>
  <c r="AB1022" i="18"/>
  <c r="AB1023" i="18"/>
  <c r="AB1024" i="18"/>
  <c r="AB1025" i="18"/>
  <c r="AB1026" i="18"/>
  <c r="AB1027" i="18"/>
  <c r="AB1028" i="18"/>
  <c r="AB1029" i="18"/>
  <c r="AB1030" i="18"/>
  <c r="AB1031" i="18"/>
  <c r="AB1032" i="18"/>
  <c r="AB1033" i="18"/>
  <c r="AB1034" i="18"/>
  <c r="AB1035" i="18"/>
  <c r="AB1036" i="18"/>
  <c r="AB1037" i="18"/>
  <c r="AB1038" i="18"/>
  <c r="AB1039" i="18"/>
  <c r="AB1040" i="18"/>
  <c r="AB1049" i="18"/>
  <c r="AB1051" i="18"/>
  <c r="AB1052" i="18"/>
  <c r="AB1053" i="18"/>
  <c r="AB1055" i="18"/>
  <c r="AB1056" i="18"/>
  <c r="AB1058" i="18"/>
  <c r="AB1059" i="18"/>
  <c r="AB1060" i="18"/>
  <c r="AB1061" i="18"/>
  <c r="AB1062" i="18"/>
  <c r="AB1063" i="18"/>
  <c r="AB1064" i="18"/>
  <c r="AB1065" i="18"/>
  <c r="AB1069" i="18"/>
  <c r="AB1073" i="18"/>
  <c r="AB1077" i="18"/>
  <c r="AB1082" i="18"/>
  <c r="AB1083" i="18"/>
  <c r="AB1086" i="18"/>
  <c r="AB1087" i="18"/>
  <c r="AB1090" i="18"/>
  <c r="AB1091" i="18"/>
  <c r="AB1092" i="18"/>
  <c r="AB1094" i="18"/>
  <c r="AB1095" i="18"/>
  <c r="AB1098" i="18"/>
  <c r="AB1099" i="18"/>
  <c r="AB1110" i="18"/>
  <c r="AH1110" i="18"/>
  <c r="AB1111" i="18"/>
  <c r="AB1112" i="18"/>
  <c r="AB1113" i="18"/>
  <c r="AB1114" i="18"/>
  <c r="AB1115" i="18"/>
  <c r="AB1116" i="18"/>
  <c r="AB1117" i="18"/>
  <c r="AB1121" i="18"/>
  <c r="AB1124" i="18"/>
  <c r="AB1125" i="18"/>
  <c r="AB1126" i="18"/>
  <c r="AB1127" i="18"/>
  <c r="AB1128" i="18"/>
  <c r="AB1129" i="18"/>
  <c r="AB1130" i="18"/>
  <c r="AB1131" i="18"/>
  <c r="AB1132" i="18"/>
  <c r="AB1133" i="18"/>
  <c r="AB1134" i="18"/>
  <c r="AB1135" i="18"/>
  <c r="AB1136" i="18"/>
  <c r="AB1137" i="18"/>
  <c r="AB1138" i="18"/>
  <c r="AB1139" i="18"/>
  <c r="AB1140" i="18"/>
  <c r="N1166" i="18"/>
  <c r="Q1166" i="18"/>
  <c r="X1166" i="18"/>
  <c r="H1167" i="18"/>
  <c r="H1168" i="18"/>
  <c r="N1167" i="18"/>
  <c r="X1167" i="18"/>
  <c r="AD1166" i="18"/>
  <c r="AD1167" i="18"/>
  <c r="AD1168" i="18"/>
  <c r="AC1166" i="18"/>
  <c r="P1167" i="18"/>
  <c r="AB829" i="18"/>
  <c r="AB827" i="18"/>
  <c r="AB474" i="18"/>
  <c r="AB454" i="18"/>
  <c r="AB452" i="18"/>
  <c r="AB450" i="18"/>
  <c r="AB448" i="18"/>
  <c r="AB446" i="18"/>
  <c r="AB444" i="18"/>
  <c r="AB423" i="18"/>
  <c r="AH891" i="18"/>
  <c r="AB853" i="18"/>
  <c r="AB851" i="18"/>
  <c r="AB849" i="18"/>
  <c r="AB847" i="18"/>
  <c r="AB845" i="18"/>
  <c r="AB843" i="18"/>
  <c r="AB841" i="18"/>
  <c r="AB368" i="18"/>
  <c r="AB366" i="18"/>
  <c r="AB353" i="18"/>
  <c r="AB351" i="18"/>
  <c r="AB291" i="18"/>
  <c r="AB289" i="18"/>
  <c r="AB287" i="18"/>
  <c r="AB285" i="18"/>
  <c r="AB283" i="18"/>
  <c r="AB281" i="18"/>
  <c r="AB279" i="18"/>
  <c r="AB277" i="18"/>
  <c r="AB275" i="18"/>
  <c r="AB273" i="18"/>
  <c r="AB271" i="18"/>
  <c r="AB269" i="18"/>
  <c r="AB264" i="18"/>
  <c r="AB262" i="18"/>
  <c r="AB260" i="18"/>
  <c r="AB258" i="18"/>
  <c r="AB217" i="18"/>
  <c r="AB199" i="18"/>
  <c r="AB197" i="18"/>
  <c r="AB195" i="18"/>
  <c r="AB193" i="18"/>
  <c r="AB191" i="18"/>
  <c r="AB189" i="18"/>
  <c r="AB187" i="18"/>
  <c r="AB185" i="18"/>
  <c r="AB183" i="18"/>
  <c r="AB181" i="18"/>
  <c r="AB179" i="18"/>
  <c r="AB177" i="18"/>
  <c r="AB175" i="18"/>
  <c r="AB173" i="18"/>
  <c r="AB171" i="18"/>
  <c r="AB169" i="18"/>
  <c r="AB167" i="18"/>
  <c r="AB165" i="18"/>
  <c r="AB163" i="18"/>
  <c r="AB161" i="18"/>
  <c r="AB159" i="18"/>
  <c r="AB157" i="18"/>
  <c r="AB153" i="18"/>
  <c r="AB151" i="18"/>
  <c r="AB149" i="18"/>
  <c r="AB147" i="18"/>
  <c r="AB145" i="18"/>
  <c r="AB143" i="18"/>
  <c r="AB141" i="18"/>
  <c r="AB139" i="18"/>
  <c r="AB137" i="18"/>
  <c r="AB135" i="18"/>
  <c r="AB133" i="18"/>
  <c r="AB131" i="18"/>
  <c r="AB129" i="18"/>
  <c r="AB119" i="18"/>
  <c r="AB117" i="18"/>
  <c r="AB113" i="18"/>
  <c r="AB111" i="18"/>
  <c r="AB109" i="18"/>
  <c r="AB107" i="18"/>
  <c r="AB105" i="18"/>
  <c r="AB103" i="18"/>
  <c r="AB101" i="18"/>
  <c r="AB99" i="18"/>
  <c r="AB97" i="18"/>
  <c r="AB95" i="18"/>
  <c r="AB93" i="18"/>
  <c r="AB91" i="18"/>
  <c r="AB89" i="18"/>
  <c r="AB87" i="18"/>
  <c r="AB85" i="18"/>
  <c r="AB81" i="18"/>
  <c r="AB79" i="18"/>
  <c r="AB77" i="18"/>
  <c r="AB75" i="18"/>
  <c r="AB73" i="18"/>
  <c r="AB71" i="18"/>
  <c r="AB69" i="18"/>
  <c r="AB67" i="18"/>
  <c r="AB65" i="18"/>
  <c r="AB63" i="18"/>
  <c r="AB61" i="18"/>
  <c r="AB59" i="18"/>
  <c r="AB52" i="18"/>
  <c r="AB819" i="18"/>
  <c r="AB803" i="18"/>
  <c r="AB787" i="18"/>
  <c r="AB771" i="18"/>
  <c r="AB755" i="18"/>
  <c r="AB739" i="18"/>
  <c r="AB397" i="18"/>
  <c r="AB387" i="18"/>
  <c r="AB370" i="18"/>
  <c r="AB320" i="18"/>
  <c r="AB313" i="18"/>
  <c r="AB309" i="18"/>
  <c r="AB299" i="18"/>
  <c r="AB297" i="18"/>
  <c r="AB203" i="18"/>
  <c r="AB201" i="18"/>
  <c r="AB126" i="18"/>
  <c r="AB124" i="18"/>
  <c r="AB679" i="18"/>
  <c r="AB677" i="18"/>
  <c r="AB825" i="18"/>
  <c r="D188" i="4"/>
  <c r="D184" i="4"/>
  <c r="AH1139" i="18"/>
  <c r="D185" i="4"/>
  <c r="AB761" i="18"/>
  <c r="AB759" i="18"/>
  <c r="AB757" i="18"/>
  <c r="AB753" i="18"/>
  <c r="AB751" i="18"/>
  <c r="AB749" i="18"/>
  <c r="AB747" i="18"/>
  <c r="AB745" i="18"/>
  <c r="AB743" i="18"/>
  <c r="AB741" i="18"/>
  <c r="AB737" i="18"/>
  <c r="AB735" i="18"/>
  <c r="AB733" i="18"/>
  <c r="AB731" i="18"/>
  <c r="AB729" i="18"/>
  <c r="AB727" i="18"/>
  <c r="AB710" i="18"/>
  <c r="AB708" i="18"/>
  <c r="AB438" i="18"/>
  <c r="AB436" i="18"/>
  <c r="AB433" i="18"/>
  <c r="AB431" i="18"/>
  <c r="AB425" i="18"/>
  <c r="AB405" i="18"/>
  <c r="AB401" i="18"/>
  <c r="AB399" i="18"/>
  <c r="AB394" i="18"/>
  <c r="AB379" i="18"/>
  <c r="AB374" i="18"/>
  <c r="AB372" i="18"/>
  <c r="AB357" i="18"/>
  <c r="AB343" i="18"/>
  <c r="AB341" i="18"/>
  <c r="AB339" i="18"/>
  <c r="AB337" i="18"/>
  <c r="AB335" i="18"/>
  <c r="AB333" i="18"/>
  <c r="AB331" i="18"/>
  <c r="AB329" i="18"/>
  <c r="AB325" i="18"/>
  <c r="AB314" i="18"/>
  <c r="AB306" i="18"/>
  <c r="AB304" i="18"/>
  <c r="AB294" i="18"/>
  <c r="AB241" i="18"/>
  <c r="AB239" i="18"/>
  <c r="AB237" i="18"/>
  <c r="AB235" i="18"/>
  <c r="AB233" i="18"/>
  <c r="AB231" i="18"/>
  <c r="AB229" i="18"/>
  <c r="AB227" i="18"/>
  <c r="AB225" i="18"/>
  <c r="AB223" i="18"/>
  <c r="AB221" i="18"/>
  <c r="AB219" i="18"/>
  <c r="AB215" i="18"/>
  <c r="AB213" i="18"/>
  <c r="AB211" i="18"/>
  <c r="AB209" i="18"/>
  <c r="AB207" i="18"/>
  <c r="AB205" i="18"/>
  <c r="AB678" i="18"/>
  <c r="AB455" i="18"/>
  <c r="AB453" i="18"/>
  <c r="AB451" i="18"/>
  <c r="AB449" i="18"/>
  <c r="AB447" i="18"/>
  <c r="AB445" i="18"/>
  <c r="AB443" i="18"/>
  <c r="AB427" i="18"/>
  <c r="AB420" i="18"/>
  <c r="AB418" i="18"/>
  <c r="AB415" i="18"/>
  <c r="AB413" i="18"/>
  <c r="AB411" i="18"/>
  <c r="AB409" i="18"/>
  <c r="AB407" i="18"/>
  <c r="AB391" i="18"/>
  <c r="AB389" i="18"/>
  <c r="AB367" i="18"/>
  <c r="AB365" i="18"/>
  <c r="AB359" i="18"/>
  <c r="AB354" i="18"/>
  <c r="AB352" i="18"/>
  <c r="AB347" i="18"/>
  <c r="AB321" i="18"/>
  <c r="AB319" i="18"/>
  <c r="AB310" i="18"/>
  <c r="AB308" i="18"/>
  <c r="AB296" i="18"/>
  <c r="AB292" i="18"/>
  <c r="AB290" i="18"/>
  <c r="AB288" i="18"/>
  <c r="AB286" i="18"/>
  <c r="AB284" i="18"/>
  <c r="AB282" i="18"/>
  <c r="AB280" i="18"/>
  <c r="AB278" i="18"/>
  <c r="AB276" i="18"/>
  <c r="AB274" i="18"/>
  <c r="AB272" i="18"/>
  <c r="AB270" i="18"/>
  <c r="AB268" i="18"/>
  <c r="AB265" i="18"/>
  <c r="AB263" i="18"/>
  <c r="AB261" i="18"/>
  <c r="AB259" i="18"/>
  <c r="AB198" i="18"/>
  <c r="AB196" i="18"/>
  <c r="AB194" i="18"/>
  <c r="AB192" i="18"/>
  <c r="AB190" i="18"/>
  <c r="AB188" i="18"/>
  <c r="AB186" i="18"/>
  <c r="AB184" i="18"/>
  <c r="AB182" i="18"/>
  <c r="AB180" i="18"/>
  <c r="AB178" i="18"/>
  <c r="AB176" i="18"/>
  <c r="AB174" i="18"/>
  <c r="AB172" i="18"/>
  <c r="AB170" i="18"/>
  <c r="AB168" i="18"/>
  <c r="AB166" i="18"/>
  <c r="AB164" i="18"/>
  <c r="AB162" i="18"/>
  <c r="AB160" i="18"/>
  <c r="AB158" i="18"/>
  <c r="AB156" i="18"/>
  <c r="AB154" i="18"/>
  <c r="AB152" i="18"/>
  <c r="AB150" i="18"/>
  <c r="AB148" i="18"/>
  <c r="AB146" i="18"/>
  <c r="AB144" i="18"/>
  <c r="AB142" i="18"/>
  <c r="AB140" i="18"/>
  <c r="AB138" i="18"/>
  <c r="AB136" i="18"/>
  <c r="AB134" i="18"/>
  <c r="AB132" i="18"/>
  <c r="AB130" i="18"/>
  <c r="AB120" i="18"/>
  <c r="AB118" i="18"/>
  <c r="AB116" i="18"/>
  <c r="AB114" i="18"/>
  <c r="AB112" i="18"/>
  <c r="AB110" i="18"/>
  <c r="AB108" i="18"/>
  <c r="AB106" i="18"/>
  <c r="AB104" i="18"/>
  <c r="AB102" i="18"/>
  <c r="AB100" i="18"/>
  <c r="AB98" i="18"/>
  <c r="AB96" i="18"/>
  <c r="AB94" i="18"/>
  <c r="AB92" i="18"/>
  <c r="AB90" i="18"/>
  <c r="AB88" i="18"/>
  <c r="AB86" i="18"/>
  <c r="AB84" i="18"/>
  <c r="AB82" i="18"/>
  <c r="AB80" i="18"/>
  <c r="AB78" i="18"/>
  <c r="AB76" i="18"/>
  <c r="AB74" i="18"/>
  <c r="AB72" i="18"/>
  <c r="AB70" i="18"/>
  <c r="AB68" i="18"/>
  <c r="AB66" i="18"/>
  <c r="AB64" i="18"/>
  <c r="AB62" i="18"/>
  <c r="AB60" i="18"/>
  <c r="AB886" i="18"/>
  <c r="AB830" i="18"/>
  <c r="AB828" i="18"/>
  <c r="AB826" i="18"/>
  <c r="AB824" i="18"/>
  <c r="AB822" i="18"/>
  <c r="AB820" i="18"/>
  <c r="AB818" i="18"/>
  <c r="AB816" i="18"/>
  <c r="AB814" i="18"/>
  <c r="AB812" i="18"/>
  <c r="AB810" i="18"/>
  <c r="AB808" i="18"/>
  <c r="AB806" i="18"/>
  <c r="AB804" i="18"/>
  <c r="AB802" i="18"/>
  <c r="AB800" i="18"/>
  <c r="AB798" i="18"/>
  <c r="AB796" i="18"/>
  <c r="AB794" i="18"/>
  <c r="AB792" i="18"/>
  <c r="AB790" i="18"/>
  <c r="AB788" i="18"/>
  <c r="AB786" i="18"/>
  <c r="AB784" i="18"/>
  <c r="AB782" i="18"/>
  <c r="AB780" i="18"/>
  <c r="AB778" i="18"/>
  <c r="AB776" i="18"/>
  <c r="AB774" i="18"/>
  <c r="AB772" i="18"/>
  <c r="AB770" i="18"/>
  <c r="AB768" i="18"/>
  <c r="AB766" i="18"/>
  <c r="AB764" i="18"/>
  <c r="AB762" i="18"/>
  <c r="AB760" i="18"/>
  <c r="AB758" i="18"/>
  <c r="AB756" i="18"/>
  <c r="AB754" i="18"/>
  <c r="AB752" i="18"/>
  <c r="AB750" i="18"/>
  <c r="AB748" i="18"/>
  <c r="AB746" i="18"/>
  <c r="AB744" i="18"/>
  <c r="AB742" i="18"/>
  <c r="AB740" i="18"/>
  <c r="AB738" i="18"/>
  <c r="AB736" i="18"/>
  <c r="AB734" i="18"/>
  <c r="AB732" i="18"/>
  <c r="AB730" i="18"/>
  <c r="AB728" i="18"/>
  <c r="AB726" i="18"/>
  <c r="AB711" i="18"/>
  <c r="AB709" i="18"/>
  <c r="AB707" i="18"/>
  <c r="AB432" i="18"/>
  <c r="AB404" i="18"/>
  <c r="AB402" i="18"/>
  <c r="AB400" i="18"/>
  <c r="AB395" i="18"/>
  <c r="AB393" i="18"/>
  <c r="AB380" i="18"/>
  <c r="AB378" i="18"/>
  <c r="AB375" i="18"/>
  <c r="AB373" i="18"/>
  <c r="AB361" i="18"/>
  <c r="AB344" i="18"/>
  <c r="AB342" i="18"/>
  <c r="AB340" i="18"/>
  <c r="AB336" i="18"/>
  <c r="AB334" i="18"/>
  <c r="AB332" i="18"/>
  <c r="AB330" i="18"/>
  <c r="AB328" i="18"/>
  <c r="AB326" i="18"/>
  <c r="AB324" i="18"/>
  <c r="AB322" i="18"/>
  <c r="AB312" i="18"/>
  <c r="AB305" i="18"/>
  <c r="AB303" i="18"/>
  <c r="AB300" i="18"/>
  <c r="AB293" i="18"/>
  <c r="AB244" i="18"/>
  <c r="AB242" i="18"/>
  <c r="AB240" i="18"/>
  <c r="AB238" i="18"/>
  <c r="AB236" i="18"/>
  <c r="AB234" i="18"/>
  <c r="AB232" i="18"/>
  <c r="AB230" i="18"/>
  <c r="AB228" i="18"/>
  <c r="AB226" i="18"/>
  <c r="AB224" i="18"/>
  <c r="AB222" i="18"/>
  <c r="AB220" i="18"/>
  <c r="AB216" i="18"/>
  <c r="AB214" i="18"/>
  <c r="AB212" i="18"/>
  <c r="AB210" i="18"/>
  <c r="AB208" i="18"/>
  <c r="AB206" i="18"/>
  <c r="AB204" i="18"/>
  <c r="AB202" i="18"/>
  <c r="AB127" i="18"/>
  <c r="AB125" i="18"/>
  <c r="D126" i="4"/>
  <c r="D346" i="4"/>
  <c r="D350" i="4"/>
  <c r="AB975" i="18"/>
  <c r="AB1122" i="18"/>
  <c r="AB1118" i="18"/>
  <c r="AB1119" i="18"/>
  <c r="AB1120" i="18"/>
  <c r="AB1100" i="18"/>
  <c r="AB1089" i="18"/>
  <c r="AB1085" i="18"/>
  <c r="AB1081" i="18"/>
  <c r="AB1101" i="18"/>
  <c r="AB1097" i="18"/>
  <c r="AB1093" i="18"/>
  <c r="AB1078" i="18"/>
  <c r="AB1074" i="18"/>
  <c r="AB1070" i="18"/>
  <c r="AB1066" i="18"/>
  <c r="AB1079" i="18"/>
  <c r="AB1075" i="18"/>
  <c r="AB1071" i="18"/>
  <c r="AB1076" i="18"/>
  <c r="AB1072" i="18"/>
  <c r="AB1068" i="18"/>
  <c r="AB1054" i="18"/>
  <c r="AB1050" i="18"/>
  <c r="AB1013" i="18"/>
  <c r="AB1001" i="18"/>
  <c r="AB998" i="18"/>
  <c r="AB999" i="18"/>
  <c r="AB979" i="18"/>
  <c r="AB983" i="18"/>
  <c r="AB984" i="18"/>
  <c r="AB980" i="18"/>
  <c r="AB976" i="18"/>
  <c r="AA349" i="18"/>
  <c r="AB900" i="18"/>
  <c r="AB899" i="18"/>
  <c r="AB902" i="18"/>
  <c r="AB903" i="18"/>
  <c r="AB901" i="18"/>
  <c r="AB916" i="18"/>
  <c r="Z900" i="18"/>
  <c r="X1168" i="18"/>
  <c r="P1168" i="18"/>
  <c r="AH947" i="18"/>
  <c r="R1167" i="18"/>
  <c r="N1168" i="18"/>
  <c r="O1166" i="18"/>
  <c r="AE1166" i="18"/>
  <c r="AH886" i="18"/>
  <c r="AH792" i="18"/>
  <c r="K1167" i="18"/>
  <c r="K1168" i="18"/>
  <c r="AH1133" i="18"/>
  <c r="AH1124" i="18"/>
  <c r="AH1103" i="18"/>
  <c r="Q1167" i="18"/>
  <c r="Q1168" i="18"/>
  <c r="AH854" i="18"/>
  <c r="AH844" i="18"/>
  <c r="AH707" i="18"/>
  <c r="AH1056" i="18"/>
  <c r="AH677" i="18"/>
  <c r="AA1166" i="18"/>
  <c r="AH953" i="18"/>
  <c r="AH809" i="18"/>
  <c r="AH1140" i="18"/>
  <c r="AH1111" i="18"/>
  <c r="AH1099" i="18"/>
  <c r="AH944" i="18"/>
  <c r="AH850" i="18"/>
  <c r="AH536" i="18"/>
  <c r="AH716" i="18"/>
  <c r="AH432" i="18"/>
  <c r="AH630" i="18"/>
  <c r="AH419" i="18"/>
  <c r="AE1167" i="18"/>
  <c r="AH6" i="18"/>
  <c r="AH726" i="18"/>
  <c r="AH583" i="18"/>
  <c r="AH452" i="18"/>
  <c r="Y338" i="18"/>
  <c r="AA1167" i="18"/>
  <c r="AA1168" i="18"/>
  <c r="Z1166" i="18"/>
  <c r="Z1168" i="18"/>
  <c r="AB1067" i="18"/>
  <c r="AB1166" i="18"/>
  <c r="Y899" i="18"/>
  <c r="R1166" i="18"/>
  <c r="R1168" i="18"/>
  <c r="Y900" i="18"/>
  <c r="Y902" i="18"/>
  <c r="Y903" i="18"/>
  <c r="Y901" i="18"/>
  <c r="AE1168" i="18"/>
  <c r="O1167" i="18"/>
  <c r="O1168" i="18"/>
  <c r="Z1167" i="18"/>
  <c r="Y1166" i="18"/>
  <c r="Y1168" i="18"/>
  <c r="AQ845" i="18"/>
  <c r="AB1167" i="18"/>
  <c r="AB1168" i="18"/>
  <c r="Y1167" i="18"/>
  <c r="AH59" i="18"/>
  <c r="B7" i="17"/>
  <c r="B8" i="17"/>
  <c r="B9" i="17"/>
  <c r="B10" i="17"/>
  <c r="B11" i="17"/>
  <c r="B12" i="17"/>
  <c r="B13" i="17"/>
  <c r="B14" i="17"/>
  <c r="B15" i="17"/>
  <c r="B16" i="17"/>
  <c r="B17" i="17"/>
  <c r="B18" i="17"/>
  <c r="D8" i="17"/>
  <c r="E8" i="17"/>
  <c r="G8" i="17"/>
  <c r="E9" i="17"/>
  <c r="G9" i="17"/>
  <c r="D40" i="4"/>
  <c r="D45" i="4"/>
  <c r="D46" i="4"/>
  <c r="D52" i="4"/>
  <c r="D22" i="1"/>
  <c r="D53" i="4"/>
  <c r="D23" i="1"/>
  <c r="E7" i="17"/>
  <c r="F7" i="17"/>
  <c r="G7" i="17"/>
  <c r="D56" i="4"/>
  <c r="E15" i="17"/>
  <c r="F15" i="17"/>
  <c r="G15" i="17"/>
  <c r="D59" i="4"/>
  <c r="D60" i="4"/>
  <c r="D62" i="4"/>
  <c r="D69" i="4"/>
  <c r="D70" i="4"/>
  <c r="D71" i="4"/>
  <c r="D72" i="4"/>
  <c r="D74" i="4"/>
  <c r="D75" i="4"/>
  <c r="D76" i="4"/>
  <c r="D78" i="4"/>
  <c r="D79" i="4"/>
  <c r="D81" i="4"/>
  <c r="D83" i="4"/>
  <c r="D85" i="4"/>
  <c r="D86" i="4"/>
  <c r="D88" i="4"/>
  <c r="D89" i="4"/>
  <c r="D90" i="4"/>
  <c r="D92" i="4"/>
  <c r="D93" i="4"/>
  <c r="D94" i="4"/>
  <c r="D96" i="4"/>
  <c r="D98" i="4"/>
  <c r="D99" i="4"/>
  <c r="D100" i="4"/>
  <c r="D101" i="4"/>
  <c r="D104" i="4"/>
  <c r="D105" i="4"/>
  <c r="D107" i="4"/>
  <c r="D108" i="4"/>
  <c r="D112" i="4"/>
  <c r="D116" i="4"/>
  <c r="D121" i="4"/>
  <c r="D125" i="4"/>
  <c r="D127" i="4"/>
  <c r="D129" i="4"/>
  <c r="D134" i="4"/>
  <c r="D135" i="4"/>
  <c r="D136" i="4"/>
  <c r="D140" i="4"/>
  <c r="D142" i="4"/>
  <c r="D147" i="4"/>
  <c r="D161" i="4"/>
  <c r="D162" i="4"/>
  <c r="D164" i="4"/>
  <c r="D165" i="4"/>
  <c r="D172" i="4"/>
  <c r="D173" i="4"/>
  <c r="D206" i="4"/>
  <c r="E40" i="17"/>
  <c r="F40" i="17"/>
  <c r="G40" i="17"/>
  <c r="D210" i="4"/>
  <c r="D212" i="4"/>
  <c r="E41" i="17"/>
  <c r="F41" i="17"/>
  <c r="G41" i="17"/>
  <c r="D224" i="4"/>
  <c r="D228" i="4"/>
  <c r="D233" i="4"/>
  <c r="D242" i="4"/>
  <c r="D248" i="4"/>
  <c r="D251" i="4"/>
  <c r="D257" i="4"/>
  <c r="D258" i="4"/>
  <c r="D264" i="4"/>
  <c r="D265" i="4"/>
  <c r="D268" i="4"/>
  <c r="D270" i="4"/>
  <c r="D274" i="4"/>
  <c r="D282" i="4"/>
  <c r="D283" i="4"/>
  <c r="D288" i="4"/>
  <c r="D299" i="4"/>
  <c r="D300" i="4"/>
  <c r="D304" i="4"/>
  <c r="D306" i="4"/>
  <c r="D317" i="4"/>
  <c r="D318" i="4"/>
  <c r="D324" i="4"/>
  <c r="D330" i="4"/>
  <c r="D335" i="4"/>
  <c r="D339" i="4"/>
  <c r="D358" i="4"/>
  <c r="D360" i="4"/>
  <c r="D361" i="4"/>
  <c r="D364" i="4"/>
  <c r="D363" i="4"/>
  <c r="D62" i="1"/>
  <c r="F62" i="1"/>
  <c r="G62" i="1"/>
  <c r="D398" i="4"/>
  <c r="D421" i="4"/>
  <c r="D433" i="4"/>
  <c r="D446" i="4"/>
  <c r="D456" i="4"/>
  <c r="D464" i="4"/>
  <c r="D480" i="4"/>
  <c r="D483" i="4"/>
  <c r="D484" i="4"/>
  <c r="D488" i="4"/>
  <c r="D492" i="4"/>
  <c r="D496" i="4"/>
  <c r="D499" i="4"/>
  <c r="D500" i="4"/>
  <c r="D503" i="4"/>
  <c r="D515" i="4"/>
  <c r="D101" i="1"/>
  <c r="D520" i="4"/>
  <c r="D523" i="4"/>
  <c r="D524" i="4"/>
  <c r="D525" i="4"/>
  <c r="D526" i="4"/>
  <c r="D527" i="4"/>
  <c r="D528" i="4"/>
  <c r="D532" i="4"/>
  <c r="D534" i="4"/>
  <c r="D535" i="4"/>
  <c r="D536" i="4"/>
  <c r="D537" i="4"/>
  <c r="D538" i="4"/>
  <c r="D539" i="4"/>
  <c r="D544" i="4"/>
  <c r="D548" i="4"/>
  <c r="D571" i="4"/>
  <c r="D583" i="4"/>
  <c r="D117" i="1"/>
  <c r="F117" i="1"/>
  <c r="G30" i="17"/>
  <c r="G43" i="17"/>
  <c r="G46" i="17"/>
  <c r="G52" i="17"/>
  <c r="G18" i="17"/>
  <c r="F30" i="17"/>
  <c r="F43" i="17"/>
  <c r="F46" i="17"/>
  <c r="F52" i="17"/>
  <c r="F8" i="17"/>
  <c r="E30" i="17"/>
  <c r="E43" i="17"/>
  <c r="E46" i="17"/>
  <c r="E52" i="17"/>
  <c r="G45" i="17"/>
  <c r="G55" i="17"/>
  <c r="F45" i="17"/>
  <c r="F55" i="17"/>
  <c r="F9" i="17"/>
  <c r="E54" i="17"/>
  <c r="E45" i="17"/>
  <c r="E55" i="17"/>
  <c r="E14" i="17"/>
  <c r="E16" i="17"/>
  <c r="E12" i="17"/>
  <c r="E18" i="17"/>
  <c r="E17" i="17"/>
  <c r="E10" i="17"/>
  <c r="E6" i="17"/>
  <c r="G16" i="17"/>
  <c r="G12" i="17"/>
  <c r="G17" i="17"/>
  <c r="G10" i="17"/>
  <c r="G6" i="17"/>
  <c r="F17" i="17"/>
  <c r="G49" i="17"/>
  <c r="G31" i="17"/>
  <c r="G54" i="17"/>
  <c r="E50" i="17"/>
  <c r="F31" i="17"/>
  <c r="E49" i="17"/>
  <c r="E31" i="17"/>
  <c r="E34" i="17"/>
  <c r="G34" i="17"/>
  <c r="E583" i="4"/>
  <c r="E582" i="4"/>
  <c r="E581" i="4"/>
  <c r="E579" i="4"/>
  <c r="E115" i="1"/>
  <c r="E578" i="4"/>
  <c r="E114" i="1"/>
  <c r="E577" i="4"/>
  <c r="E576" i="4"/>
  <c r="E112" i="1"/>
  <c r="E571" i="4"/>
  <c r="E570" i="4"/>
  <c r="E569" i="4"/>
  <c r="E568" i="4"/>
  <c r="E567" i="4"/>
  <c r="E566" i="4"/>
  <c r="E565" i="4"/>
  <c r="E564" i="4"/>
  <c r="E562" i="4"/>
  <c r="E561" i="4"/>
  <c r="E559" i="4"/>
  <c r="E558" i="4"/>
  <c r="E557" i="4"/>
  <c r="E556" i="4"/>
  <c r="E555" i="4"/>
  <c r="E554" i="4"/>
  <c r="E553" i="4"/>
  <c r="E552" i="4"/>
  <c r="E550" i="4"/>
  <c r="E548" i="4"/>
  <c r="E547" i="4"/>
  <c r="E544" i="4"/>
  <c r="E543" i="4"/>
  <c r="E541" i="4"/>
  <c r="E104" i="1"/>
  <c r="E539" i="4"/>
  <c r="E538" i="4"/>
  <c r="E537" i="4"/>
  <c r="E536" i="4"/>
  <c r="E535" i="4"/>
  <c r="E534" i="4"/>
  <c r="E533" i="4"/>
  <c r="E532" i="4"/>
  <c r="E530" i="4"/>
  <c r="E528" i="4"/>
  <c r="E527" i="4"/>
  <c r="E526" i="4"/>
  <c r="E525" i="4"/>
  <c r="E524" i="4"/>
  <c r="E523" i="4"/>
  <c r="E522" i="4"/>
  <c r="E520" i="4"/>
  <c r="E519" i="4"/>
  <c r="E517" i="4"/>
  <c r="E515" i="4"/>
  <c r="E101" i="1"/>
  <c r="E511" i="4"/>
  <c r="E510" i="4"/>
  <c r="E95" i="1"/>
  <c r="E507" i="4"/>
  <c r="E506" i="4"/>
  <c r="E504" i="4"/>
  <c r="E503" i="4"/>
  <c r="E502" i="4"/>
  <c r="E500" i="4"/>
  <c r="E499" i="4"/>
  <c r="E498" i="4"/>
  <c r="E497" i="4"/>
  <c r="E496" i="4"/>
  <c r="E494" i="4"/>
  <c r="E493" i="4"/>
  <c r="E492" i="4"/>
  <c r="E488" i="4"/>
  <c r="E487" i="4"/>
  <c r="E486" i="4"/>
  <c r="E485" i="4"/>
  <c r="E484" i="4"/>
  <c r="E483" i="4"/>
  <c r="E482" i="4"/>
  <c r="E481" i="4"/>
  <c r="E480" i="4"/>
  <c r="E479" i="4"/>
  <c r="E477" i="4"/>
  <c r="E476" i="4"/>
  <c r="E475" i="4"/>
  <c r="E474" i="4"/>
  <c r="E473" i="4"/>
  <c r="E472" i="4"/>
  <c r="E470" i="4"/>
  <c r="E82" i="1"/>
  <c r="E469" i="4"/>
  <c r="E468" i="4"/>
  <c r="E467" i="4"/>
  <c r="E466" i="4"/>
  <c r="E465" i="4"/>
  <c r="E464" i="4"/>
  <c r="E463" i="4"/>
  <c r="E460" i="4"/>
  <c r="E459" i="4"/>
  <c r="E458" i="4"/>
  <c r="E457" i="4"/>
  <c r="E456" i="4"/>
  <c r="E455" i="4"/>
  <c r="E453" i="4"/>
  <c r="E452" i="4"/>
  <c r="E451" i="4"/>
  <c r="E450" i="4"/>
  <c r="E449" i="4"/>
  <c r="E448" i="4"/>
  <c r="E447" i="4"/>
  <c r="E446" i="4"/>
  <c r="E443" i="4"/>
  <c r="E442" i="4"/>
  <c r="E440" i="4"/>
  <c r="E75" i="1"/>
  <c r="E439" i="4"/>
  <c r="E438" i="4"/>
  <c r="E435" i="4"/>
  <c r="E73" i="1"/>
  <c r="E433" i="4"/>
  <c r="E432" i="4"/>
  <c r="E431" i="4"/>
  <c r="E430" i="4"/>
  <c r="E428" i="4"/>
  <c r="E427" i="4"/>
  <c r="E425" i="4"/>
  <c r="E424" i="4"/>
  <c r="E423" i="4"/>
  <c r="E421" i="4"/>
  <c r="E420" i="4"/>
  <c r="E419" i="4"/>
  <c r="E416" i="4"/>
  <c r="E415" i="4"/>
  <c r="E414" i="4"/>
  <c r="E412" i="4"/>
  <c r="E411" i="4"/>
  <c r="E410" i="4"/>
  <c r="E407" i="4"/>
  <c r="E406" i="4"/>
  <c r="E405" i="4"/>
  <c r="E403" i="4"/>
  <c r="E402" i="4"/>
  <c r="E401" i="4"/>
  <c r="E398" i="4"/>
  <c r="E397" i="4"/>
  <c r="E396" i="4"/>
  <c r="E394" i="4"/>
  <c r="E393" i="4"/>
  <c r="E392" i="4"/>
  <c r="E390" i="4"/>
  <c r="E389" i="4"/>
  <c r="E388" i="4"/>
  <c r="E383" i="4"/>
  <c r="E382" i="4"/>
  <c r="E381" i="4"/>
  <c r="E380" i="4"/>
  <c r="E378" i="4"/>
  <c r="E377" i="4"/>
  <c r="E375" i="4"/>
  <c r="E373" i="4"/>
  <c r="E372" i="4"/>
  <c r="E371" i="4"/>
  <c r="E370" i="4"/>
  <c r="E369" i="4"/>
  <c r="E368" i="4"/>
  <c r="E367" i="4"/>
  <c r="E365" i="4"/>
  <c r="E364" i="4"/>
  <c r="E362" i="4"/>
  <c r="E361" i="4"/>
  <c r="E360" i="4"/>
  <c r="E358" i="4"/>
  <c r="E357" i="4"/>
  <c r="E356" i="4"/>
  <c r="E355" i="4"/>
  <c r="E354" i="4"/>
  <c r="E353" i="4"/>
  <c r="E351" i="4"/>
  <c r="E350" i="4"/>
  <c r="E348" i="4"/>
  <c r="E347" i="4"/>
  <c r="E346" i="4"/>
  <c r="E344" i="4"/>
  <c r="E343" i="4"/>
  <c r="E341" i="4"/>
  <c r="E340" i="4"/>
  <c r="E339" i="4"/>
  <c r="E338" i="4"/>
  <c r="E337" i="4"/>
  <c r="E336" i="4"/>
  <c r="E335" i="4"/>
  <c r="E334" i="4"/>
  <c r="E333" i="4"/>
  <c r="E331" i="4"/>
  <c r="E330" i="4"/>
  <c r="E327" i="4"/>
  <c r="E58" i="1"/>
  <c r="E326" i="4"/>
  <c r="E325" i="4"/>
  <c r="E324" i="4"/>
  <c r="E323" i="4"/>
  <c r="E322" i="4"/>
  <c r="E321" i="4"/>
  <c r="E320" i="4"/>
  <c r="E318" i="4"/>
  <c r="E317" i="4"/>
  <c r="E316" i="4"/>
  <c r="E314" i="4"/>
  <c r="E313" i="4"/>
  <c r="E312" i="4"/>
  <c r="E311" i="4"/>
  <c r="E310" i="4"/>
  <c r="E309" i="4"/>
  <c r="E307" i="4"/>
  <c r="E306" i="4"/>
  <c r="E304" i="4"/>
  <c r="E303" i="4"/>
  <c r="E302" i="4"/>
  <c r="E301" i="4"/>
  <c r="E300" i="4"/>
  <c r="E299" i="4"/>
  <c r="E298" i="4"/>
  <c r="E296" i="4"/>
  <c r="E295" i="4"/>
  <c r="E294" i="4"/>
  <c r="E293" i="4"/>
  <c r="E292" i="4"/>
  <c r="E291" i="4"/>
  <c r="E290" i="4"/>
  <c r="E288" i="4"/>
  <c r="E287" i="4"/>
  <c r="E286" i="4"/>
  <c r="E285" i="4"/>
  <c r="E284" i="4"/>
  <c r="E283" i="4"/>
  <c r="E282" i="4"/>
  <c r="E279" i="4"/>
  <c r="E278" i="4"/>
  <c r="E277" i="4"/>
  <c r="E276" i="4"/>
  <c r="E274" i="4"/>
  <c r="E273" i="4"/>
  <c r="E272" i="4"/>
  <c r="E271" i="4"/>
  <c r="E270" i="4"/>
  <c r="E268" i="4"/>
  <c r="E267" i="4"/>
  <c r="E266" i="4"/>
  <c r="E265" i="4"/>
  <c r="E264" i="4"/>
  <c r="E263" i="4"/>
  <c r="E261" i="4"/>
  <c r="E260" i="4"/>
  <c r="E259" i="4"/>
  <c r="E258" i="4"/>
  <c r="E257" i="4"/>
  <c r="E255" i="4"/>
  <c r="E254" i="4"/>
  <c r="E253" i="4"/>
  <c r="E252" i="4"/>
  <c r="E251" i="4"/>
  <c r="E249" i="4"/>
  <c r="E248" i="4"/>
  <c r="E247" i="4"/>
  <c r="E245" i="4"/>
  <c r="E244" i="4"/>
  <c r="E243" i="4"/>
  <c r="E242" i="4"/>
  <c r="E240" i="4"/>
  <c r="E239" i="4"/>
  <c r="E238" i="4"/>
  <c r="E237" i="4"/>
  <c r="E235" i="4"/>
  <c r="E234" i="4"/>
  <c r="E233" i="4"/>
  <c r="E232" i="4"/>
  <c r="E231" i="4"/>
  <c r="E229" i="4"/>
  <c r="E228" i="4"/>
  <c r="E227" i="4"/>
  <c r="E226" i="4"/>
  <c r="E225" i="4"/>
  <c r="E224" i="4"/>
  <c r="E223" i="4"/>
  <c r="E222" i="4"/>
  <c r="E221" i="4"/>
  <c r="E220" i="4"/>
  <c r="E218" i="4"/>
  <c r="I41" i="17"/>
  <c r="H41" i="17"/>
  <c r="E217" i="4"/>
  <c r="E216" i="4"/>
  <c r="E215" i="4"/>
  <c r="E214" i="4"/>
  <c r="E213" i="4"/>
  <c r="E212" i="4"/>
  <c r="E210" i="4"/>
  <c r="E209" i="4"/>
  <c r="E208" i="4"/>
  <c r="J40" i="17"/>
  <c r="H40" i="17"/>
  <c r="E206" i="4"/>
  <c r="E205" i="4"/>
  <c r="E204" i="4"/>
  <c r="E203" i="4"/>
  <c r="E202" i="4"/>
  <c r="E201" i="4"/>
  <c r="E196" i="4"/>
  <c r="E195" i="4"/>
  <c r="E194" i="4"/>
  <c r="E193" i="4"/>
  <c r="E192" i="4"/>
  <c r="E191" i="4"/>
  <c r="E190" i="4"/>
  <c r="E188" i="4"/>
  <c r="E187" i="4"/>
  <c r="E186" i="4"/>
  <c r="E185" i="4"/>
  <c r="E184" i="4"/>
  <c r="E183" i="4"/>
  <c r="E181" i="4"/>
  <c r="E179" i="4"/>
  <c r="E178" i="4"/>
  <c r="E177" i="4"/>
  <c r="E176" i="4"/>
  <c r="E175" i="4"/>
  <c r="E174" i="4"/>
  <c r="E173" i="4"/>
  <c r="E172" i="4"/>
  <c r="E170" i="4"/>
  <c r="E169" i="4"/>
  <c r="E168" i="4"/>
  <c r="E166" i="4"/>
  <c r="E165" i="4"/>
  <c r="E164" i="4"/>
  <c r="E162" i="4"/>
  <c r="E161" i="4"/>
  <c r="E160" i="4"/>
  <c r="E154" i="4"/>
  <c r="E153" i="4"/>
  <c r="E152" i="4"/>
  <c r="E150" i="4"/>
  <c r="E33" i="1"/>
  <c r="E149" i="4"/>
  <c r="E148" i="4"/>
  <c r="E147" i="4"/>
  <c r="E146" i="4"/>
  <c r="E145" i="4"/>
  <c r="E144" i="4"/>
  <c r="E142" i="4"/>
  <c r="E141" i="4"/>
  <c r="E140" i="4"/>
  <c r="E138" i="4"/>
  <c r="E137" i="4"/>
  <c r="E136" i="4"/>
  <c r="E135" i="4"/>
  <c r="E134" i="4"/>
  <c r="E131" i="4"/>
  <c r="E130" i="4"/>
  <c r="E129" i="4"/>
  <c r="E127" i="4"/>
  <c r="E126" i="4"/>
  <c r="E125" i="4"/>
  <c r="E124" i="4"/>
  <c r="E122" i="4"/>
  <c r="E121" i="4"/>
  <c r="E119" i="4"/>
  <c r="E117" i="4"/>
  <c r="E116" i="4"/>
  <c r="E115" i="4"/>
  <c r="E114" i="4"/>
  <c r="E113" i="4"/>
  <c r="E112" i="4"/>
  <c r="E111" i="4"/>
  <c r="E109" i="4"/>
  <c r="E108" i="4"/>
  <c r="E107" i="4"/>
  <c r="E106" i="4"/>
  <c r="E105" i="4"/>
  <c r="E104" i="4"/>
  <c r="E102" i="4"/>
  <c r="E101" i="4"/>
  <c r="E100" i="4"/>
  <c r="E99" i="4"/>
  <c r="E98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2" i="4"/>
  <c r="E61" i="4"/>
  <c r="E60" i="4"/>
  <c r="E59" i="4"/>
  <c r="E58" i="4"/>
  <c r="E56" i="4"/>
  <c r="J15" i="17"/>
  <c r="I15" i="17"/>
  <c r="H15" i="17"/>
  <c r="E55" i="4"/>
  <c r="I7" i="17"/>
  <c r="H7" i="17"/>
  <c r="E53" i="4"/>
  <c r="E23" i="1"/>
  <c r="E52" i="4"/>
  <c r="E22" i="1"/>
  <c r="F22" i="1"/>
  <c r="G22" i="1"/>
  <c r="E51" i="4"/>
  <c r="E21" i="1"/>
  <c r="E50" i="4"/>
  <c r="E20" i="1"/>
  <c r="E49" i="4"/>
  <c r="E19" i="1"/>
  <c r="E47" i="4"/>
  <c r="E46" i="4"/>
  <c r="E45" i="4"/>
  <c r="E44" i="4"/>
  <c r="E43" i="4"/>
  <c r="E41" i="4"/>
  <c r="E40" i="4"/>
  <c r="E38" i="4"/>
  <c r="E15" i="1"/>
  <c r="F15" i="1"/>
  <c r="G15" i="1"/>
  <c r="E37" i="4"/>
  <c r="E14" i="1"/>
  <c r="H9" i="17"/>
  <c r="J8" i="17"/>
  <c r="E12" i="1"/>
  <c r="G48" i="17"/>
  <c r="F18" i="17"/>
  <c r="H52" i="17"/>
  <c r="H8" i="17"/>
  <c r="G39" i="17"/>
  <c r="F48" i="17"/>
  <c r="G13" i="17"/>
  <c r="H55" i="17"/>
  <c r="H45" i="17"/>
  <c r="G42" i="17"/>
  <c r="F34" i="17"/>
  <c r="G14" i="17"/>
  <c r="F44" i="17"/>
  <c r="H43" i="17"/>
  <c r="H30" i="17"/>
  <c r="E44" i="17"/>
  <c r="F39" i="17"/>
  <c r="F14" i="17"/>
  <c r="I30" i="17"/>
  <c r="E13" i="17"/>
  <c r="E51" i="17"/>
  <c r="G51" i="17"/>
  <c r="H46" i="17"/>
  <c r="G36" i="17"/>
  <c r="E39" i="17"/>
  <c r="F42" i="17"/>
  <c r="F10" i="17"/>
  <c r="F13" i="17"/>
  <c r="F51" i="17"/>
  <c r="G44" i="17"/>
  <c r="F12" i="17"/>
  <c r="E42" i="17"/>
  <c r="E48" i="17"/>
  <c r="F16" i="17"/>
  <c r="F54" i="17"/>
  <c r="F49" i="17"/>
  <c r="G37" i="17"/>
  <c r="G27" i="17"/>
  <c r="F28" i="17"/>
  <c r="F29" i="17"/>
  <c r="F27" i="17"/>
  <c r="E29" i="17"/>
  <c r="F47" i="17"/>
  <c r="E28" i="17"/>
  <c r="E36" i="17"/>
  <c r="F36" i="17"/>
  <c r="G29" i="17"/>
  <c r="G26" i="17"/>
  <c r="F26" i="17"/>
  <c r="G28" i="17"/>
  <c r="G47" i="17"/>
  <c r="G50" i="17"/>
  <c r="E47" i="17"/>
  <c r="E27" i="17"/>
  <c r="F50" i="17"/>
  <c r="G33" i="17"/>
  <c r="E26" i="17"/>
  <c r="H44" i="17"/>
  <c r="H51" i="17"/>
  <c r="I31" i="17"/>
  <c r="K41" i="17"/>
  <c r="K8" i="17"/>
  <c r="K15" i="17"/>
  <c r="H12" i="17"/>
  <c r="H34" i="17"/>
  <c r="H18" i="17"/>
  <c r="L40" i="17"/>
  <c r="L30" i="17"/>
  <c r="H54" i="17"/>
  <c r="H49" i="17"/>
  <c r="H31" i="17"/>
  <c r="H42" i="17"/>
  <c r="I34" i="17"/>
  <c r="H39" i="17"/>
  <c r="I13" i="17"/>
  <c r="F37" i="17"/>
  <c r="H14" i="17"/>
  <c r="I49" i="17"/>
  <c r="I39" i="17"/>
  <c r="H13" i="17"/>
  <c r="E33" i="17"/>
  <c r="H48" i="17"/>
  <c r="G53" i="17"/>
  <c r="F33" i="17"/>
  <c r="I12" i="17"/>
  <c r="E37" i="17"/>
  <c r="H32" i="19"/>
  <c r="H34" i="19"/>
  <c r="K13" i="17"/>
  <c r="K39" i="17"/>
  <c r="H28" i="17"/>
  <c r="K34" i="17"/>
  <c r="H6" i="17"/>
  <c r="H29" i="17"/>
  <c r="F53" i="17"/>
  <c r="E53" i="17"/>
  <c r="H26" i="17"/>
  <c r="AC1167" i="18"/>
  <c r="AC1168" i="18"/>
  <c r="F6" i="17"/>
  <c r="I9" i="19"/>
  <c r="J9" i="19"/>
  <c r="B41" i="19"/>
  <c r="AH897" i="18"/>
  <c r="D530" i="4"/>
  <c r="D519" i="4"/>
  <c r="D150" i="4"/>
  <c r="D33" i="1"/>
  <c r="D146" i="4"/>
  <c r="D138" i="4"/>
  <c r="D119" i="4"/>
  <c r="D111" i="4"/>
  <c r="D61" i="4"/>
  <c r="D49" i="4"/>
  <c r="D19" i="1"/>
  <c r="D18" i="1"/>
  <c r="F18" i="1"/>
  <c r="G18" i="1"/>
  <c r="D153" i="4"/>
  <c r="D149" i="4"/>
  <c r="D145" i="4"/>
  <c r="D124" i="4"/>
  <c r="D77" i="4"/>
  <c r="D73" i="4"/>
  <c r="D47" i="4"/>
  <c r="D41" i="4"/>
  <c r="D12" i="1"/>
  <c r="D152" i="4"/>
  <c r="D148" i="4"/>
  <c r="D115" i="4"/>
  <c r="D102" i="4"/>
  <c r="D80" i="4"/>
  <c r="D50" i="4"/>
  <c r="D37" i="4"/>
  <c r="D14" i="1"/>
  <c r="D67" i="4"/>
  <c r="D51" i="4"/>
  <c r="D21" i="1"/>
  <c r="D113" i="4"/>
  <c r="D533" i="4"/>
  <c r="D510" i="4"/>
  <c r="D95" i="1"/>
  <c r="D497" i="4"/>
  <c r="D493" i="4"/>
  <c r="D154" i="4"/>
  <c r="C10" i="33"/>
  <c r="D44" i="4"/>
  <c r="D38" i="4"/>
  <c r="D144" i="4"/>
  <c r="D117" i="4"/>
  <c r="D66" i="4"/>
  <c r="D141" i="4"/>
  <c r="D517" i="4"/>
  <c r="D498" i="4"/>
  <c r="D131" i="4"/>
  <c r="D522" i="4"/>
  <c r="D114" i="4"/>
  <c r="D109" i="4"/>
  <c r="D95" i="4"/>
  <c r="D87" i="4"/>
  <c r="C11" i="33"/>
  <c r="C12" i="33" s="1"/>
  <c r="D423" i="4"/>
  <c r="D411" i="4"/>
  <c r="D396" i="4"/>
  <c r="D392" i="4"/>
  <c r="D347" i="4"/>
  <c r="D247" i="4"/>
  <c r="D245" i="4"/>
  <c r="D203" i="4"/>
  <c r="D296" i="4"/>
  <c r="D235" i="4"/>
  <c r="D195" i="4"/>
  <c r="D487" i="4"/>
  <c r="D452" i="4"/>
  <c r="D340" i="4"/>
  <c r="D237" i="4"/>
  <c r="D208" i="4"/>
  <c r="D40" i="17"/>
  <c r="D570" i="4"/>
  <c r="D554" i="4"/>
  <c r="D460" i="4"/>
  <c r="D450" i="4"/>
  <c r="D333" i="4"/>
  <c r="D332" i="4"/>
  <c r="D327" i="4"/>
  <c r="D58" i="1"/>
  <c r="F58" i="1"/>
  <c r="D321" i="4"/>
  <c r="D303" i="4"/>
  <c r="D291" i="4"/>
  <c r="D279" i="4"/>
  <c r="D267" i="4"/>
  <c r="D261" i="4"/>
  <c r="D255" i="4"/>
  <c r="D227" i="4"/>
  <c r="D194" i="4"/>
  <c r="D216" i="4"/>
  <c r="D287" i="4"/>
  <c r="D263" i="4"/>
  <c r="D477" i="4"/>
  <c r="D458" i="4"/>
  <c r="D448" i="4"/>
  <c r="D356" i="4"/>
  <c r="D320" i="4"/>
  <c r="D301" i="4"/>
  <c r="D277" i="4"/>
  <c r="D271" i="4"/>
  <c r="D254" i="4"/>
  <c r="D226" i="4"/>
  <c r="D213" i="4"/>
  <c r="D205" i="4"/>
  <c r="D191" i="4"/>
  <c r="D181" i="4"/>
  <c r="D371" i="4"/>
  <c r="D310" i="4"/>
  <c r="D217" i="4"/>
  <c r="D348" i="4"/>
  <c r="D314" i="4"/>
  <c r="D294" i="4"/>
  <c r="D375" i="4"/>
  <c r="D309" i="4"/>
  <c r="D547" i="4"/>
  <c r="D543" i="4"/>
  <c r="D502" i="4"/>
  <c r="D486" i="4"/>
  <c r="D430" i="4"/>
  <c r="D427" i="4"/>
  <c r="D412" i="4"/>
  <c r="D401" i="4"/>
  <c r="D393" i="4"/>
  <c r="D389" i="4"/>
  <c r="D388" i="4"/>
  <c r="D380" i="4"/>
  <c r="D354" i="4"/>
  <c r="D351" i="4"/>
  <c r="D302" i="4"/>
  <c r="D293" i="4"/>
  <c r="D278" i="4"/>
  <c r="D266" i="4"/>
  <c r="D240" i="4"/>
  <c r="D232" i="4"/>
  <c r="D220" i="4"/>
  <c r="D218" i="4"/>
  <c r="D41" i="17"/>
  <c r="D209" i="4"/>
  <c r="D202" i="4"/>
  <c r="D201" i="4"/>
  <c r="D193" i="4"/>
  <c r="D192" i="4"/>
  <c r="D187" i="4"/>
  <c r="D176" i="4"/>
  <c r="D556" i="4"/>
  <c r="D511" i="4"/>
  <c r="D96" i="1"/>
  <c r="D381" i="4"/>
  <c r="D336" i="4"/>
  <c r="D453" i="4"/>
  <c r="D581" i="4"/>
  <c r="D472" i="4"/>
  <c r="D323" i="4"/>
  <c r="D383" i="4"/>
  <c r="D378" i="4"/>
  <c r="D372" i="4"/>
  <c r="D368" i="4"/>
  <c r="D357" i="4"/>
  <c r="D353" i="4"/>
  <c r="D341" i="4"/>
  <c r="D337" i="4"/>
  <c r="D284" i="4"/>
  <c r="D273" i="4"/>
  <c r="D259" i="4"/>
  <c r="D249" i="4"/>
  <c r="D239" i="4"/>
  <c r="D234" i="4"/>
  <c r="D43" i="17"/>
  <c r="D229" i="4"/>
  <c r="D225" i="4"/>
  <c r="D221" i="4"/>
  <c r="D204" i="4"/>
  <c r="D567" i="4"/>
  <c r="D555" i="4"/>
  <c r="D482" i="4"/>
  <c r="D435" i="4"/>
  <c r="D73" i="1"/>
  <c r="D416" i="4"/>
  <c r="D405" i="4"/>
  <c r="D196" i="4"/>
  <c r="D559" i="4"/>
  <c r="D449" i="4"/>
  <c r="D440" i="4"/>
  <c r="D75" i="1"/>
  <c r="F75" i="1"/>
  <c r="G75" i="1"/>
  <c r="D582" i="4"/>
  <c r="D579" i="4"/>
  <c r="D115" i="1"/>
  <c r="D569" i="4"/>
  <c r="D565" i="4"/>
  <c r="D504" i="4"/>
  <c r="D479" i="4"/>
  <c r="D476" i="4"/>
  <c r="D474" i="4"/>
  <c r="D470" i="4"/>
  <c r="D82" i="1"/>
  <c r="D468" i="4"/>
  <c r="D467" i="4"/>
  <c r="C22" i="33"/>
  <c r="D463" i="4"/>
  <c r="D451" i="4"/>
  <c r="D447" i="4"/>
  <c r="D443" i="4"/>
  <c r="D442" i="4"/>
  <c r="D439" i="4"/>
  <c r="D437" i="4"/>
  <c r="D431" i="4"/>
  <c r="D424" i="4"/>
  <c r="D420" i="4"/>
  <c r="D419" i="4"/>
  <c r="D415" i="4"/>
  <c r="D414" i="4"/>
  <c r="D410" i="4"/>
  <c r="D406" i="4"/>
  <c r="D404" i="4"/>
  <c r="D402" i="4"/>
  <c r="D557" i="4"/>
  <c r="D553" i="4"/>
  <c r="D311" i="4"/>
  <c r="D174" i="4"/>
  <c r="D397" i="4"/>
  <c r="D183" i="4"/>
  <c r="C6" i="33"/>
  <c r="C9" i="33" s="1"/>
  <c r="C8" i="33"/>
  <c r="C19" i="33"/>
  <c r="C20" i="33" s="1"/>
  <c r="C7" i="33"/>
  <c r="D505" i="4"/>
  <c r="L9" i="17"/>
  <c r="K30" i="17"/>
  <c r="L7" i="17"/>
  <c r="L13" i="17"/>
  <c r="L34" i="17"/>
  <c r="I40" i="17"/>
  <c r="K40" i="17"/>
  <c r="J41" i="17"/>
  <c r="L41" i="17"/>
  <c r="K31" i="17"/>
  <c r="K18" i="17"/>
  <c r="L49" i="17"/>
  <c r="L8" i="17"/>
  <c r="I42" i="17"/>
  <c r="L46" i="17"/>
  <c r="I51" i="17"/>
  <c r="K43" i="17"/>
  <c r="K51" i="17"/>
  <c r="K52" i="17"/>
  <c r="L12" i="17"/>
  <c r="L31" i="17"/>
  <c r="K45" i="17"/>
  <c r="I45" i="17"/>
  <c r="I44" i="17"/>
  <c r="K44" i="17"/>
  <c r="I54" i="17"/>
  <c r="I52" i="17"/>
  <c r="I43" i="17"/>
  <c r="E39" i="4"/>
  <c r="E16" i="1"/>
  <c r="D359" i="4"/>
  <c r="I10" i="17"/>
  <c r="I17" i="17"/>
  <c r="I55" i="17"/>
  <c r="K55" i="17"/>
  <c r="L45" i="17"/>
  <c r="D13" i="1"/>
  <c r="K54" i="17"/>
  <c r="L15" i="17"/>
  <c r="D120" i="4"/>
  <c r="K12" i="17"/>
  <c r="L48" i="17"/>
  <c r="I48" i="17"/>
  <c r="K48" i="17"/>
  <c r="I46" i="17"/>
  <c r="K46" i="17"/>
  <c r="L55" i="17"/>
  <c r="L54" i="17"/>
  <c r="K49" i="17"/>
  <c r="I9" i="17"/>
  <c r="K9" i="17"/>
  <c r="I47" i="17"/>
  <c r="I18" i="17"/>
  <c r="K7" i="17"/>
  <c r="L43" i="17"/>
  <c r="I8" i="17"/>
  <c r="C104" i="33"/>
  <c r="K14" i="17"/>
  <c r="L52" i="17"/>
  <c r="L44" i="17"/>
  <c r="K42" i="17"/>
  <c r="I37" i="17"/>
  <c r="I27" i="17"/>
  <c r="K28" i="17"/>
  <c r="I28" i="17"/>
  <c r="I14" i="17"/>
  <c r="I16" i="17"/>
  <c r="L18" i="17"/>
  <c r="I36" i="17"/>
  <c r="L39" i="17"/>
  <c r="L42" i="17"/>
  <c r="I50" i="17"/>
  <c r="K27" i="17"/>
  <c r="H27" i="17"/>
  <c r="H10" i="17"/>
  <c r="K10" i="17"/>
  <c r="L10" i="17"/>
  <c r="L26" i="17"/>
  <c r="K36" i="17"/>
  <c r="H36" i="17"/>
  <c r="H16" i="17"/>
  <c r="L16" i="17"/>
  <c r="K16" i="17"/>
  <c r="I26" i="17"/>
  <c r="K26" i="17"/>
  <c r="H17" i="17"/>
  <c r="K17" i="17"/>
  <c r="L17" i="17"/>
  <c r="L14" i="17"/>
  <c r="L51" i="17"/>
  <c r="I29" i="17"/>
  <c r="K29" i="17"/>
  <c r="L36" i="17"/>
  <c r="I33" i="17"/>
  <c r="L28" i="17"/>
  <c r="L29" i="17"/>
  <c r="K33" i="17"/>
  <c r="H33" i="17"/>
  <c r="H47" i="17"/>
  <c r="K47" i="17"/>
  <c r="L47" i="17"/>
  <c r="L33" i="17"/>
  <c r="H37" i="17"/>
  <c r="L27" i="17"/>
  <c r="I6" i="17"/>
  <c r="K6" i="17"/>
  <c r="I53" i="17"/>
  <c r="K37" i="17"/>
  <c r="L37" i="17"/>
  <c r="L6" i="17"/>
  <c r="H50" i="17"/>
  <c r="K50" i="17"/>
  <c r="L50" i="17"/>
  <c r="H53" i="17"/>
  <c r="L53" i="17"/>
  <c r="K53" i="17"/>
  <c r="E546" i="4"/>
  <c r="D342" i="4"/>
  <c r="E441" i="4"/>
  <c r="E76" i="1"/>
  <c r="D315" i="4"/>
  <c r="D30" i="17"/>
  <c r="D275" i="4"/>
  <c r="D52" i="1"/>
  <c r="D167" i="4"/>
  <c r="D163" i="4"/>
  <c r="D159" i="4"/>
  <c r="D158" i="4"/>
  <c r="D391" i="4"/>
  <c r="D67" i="1"/>
  <c r="F67" i="1"/>
  <c r="G67" i="1"/>
  <c r="E404" i="4"/>
  <c r="E418" i="4"/>
  <c r="D387" i="4"/>
  <c r="D66" i="1"/>
  <c r="F66" i="1"/>
  <c r="G66" i="1"/>
  <c r="D376" i="4"/>
  <c r="D207" i="4"/>
  <c r="D43" i="1"/>
  <c r="D395" i="4"/>
  <c r="D68" i="1"/>
  <c r="D143" i="4"/>
  <c r="D65" i="4"/>
  <c r="D17" i="17"/>
  <c r="E42" i="4"/>
  <c r="E17" i="1"/>
  <c r="E110" i="4"/>
  <c r="E28" i="1"/>
  <c r="E123" i="4"/>
  <c r="E118" i="4"/>
  <c r="E30" i="1"/>
  <c r="F30" i="1"/>
  <c r="G30" i="1"/>
  <c r="E128" i="4"/>
  <c r="E133" i="4"/>
  <c r="J13" i="17"/>
  <c r="E139" i="4"/>
  <c r="J12" i="17"/>
  <c r="J52" i="17"/>
  <c r="E409" i="4"/>
  <c r="E437" i="4"/>
  <c r="E74" i="1"/>
  <c r="E72" i="1"/>
  <c r="E491" i="4"/>
  <c r="E90" i="1"/>
  <c r="E501" i="4"/>
  <c r="E531" i="4"/>
  <c r="E563" i="4"/>
  <c r="E560" i="4"/>
  <c r="D366" i="4"/>
  <c r="D63" i="1"/>
  <c r="E505" i="4"/>
  <c r="J9" i="17"/>
  <c r="J54" i="17"/>
  <c r="E332" i="4"/>
  <c r="E462" i="4"/>
  <c r="E81" i="1"/>
  <c r="E80" i="1"/>
  <c r="D546" i="4"/>
  <c r="J30" i="17"/>
  <c r="E379" i="4"/>
  <c r="J43" i="17"/>
  <c r="E495" i="4"/>
  <c r="D9" i="17"/>
  <c r="D491" i="4"/>
  <c r="K32" i="17"/>
  <c r="E120" i="4"/>
  <c r="E241" i="4"/>
  <c r="E47" i="1"/>
  <c r="E250" i="4"/>
  <c r="J44" i="17"/>
  <c r="E376" i="4"/>
  <c r="E395" i="4"/>
  <c r="E68" i="1"/>
  <c r="D436" i="4"/>
  <c r="D434" i="4"/>
  <c r="D50" i="17"/>
  <c r="D74" i="1"/>
  <c r="E529" i="4"/>
  <c r="D551" i="4"/>
  <c r="D250" i="4"/>
  <c r="D44" i="17"/>
  <c r="D241" i="4"/>
  <c r="D47" i="1"/>
  <c r="L32" i="17"/>
  <c r="E512" i="4"/>
  <c r="D413" i="4"/>
  <c r="D441" i="4"/>
  <c r="D76" i="1"/>
  <c r="F76" i="1"/>
  <c r="G76" i="1"/>
  <c r="D501" i="4"/>
  <c r="D48" i="17"/>
  <c r="D308" i="4"/>
  <c r="D305" i="4"/>
  <c r="D36" i="17"/>
  <c r="D281" i="4"/>
  <c r="D280" i="4"/>
  <c r="D53" i="1"/>
  <c r="D289" i="4"/>
  <c r="D54" i="1"/>
  <c r="D512" i="4"/>
  <c r="D400" i="4"/>
  <c r="D399" i="4"/>
  <c r="D27" i="17"/>
  <c r="D379" i="4"/>
  <c r="D374" i="4"/>
  <c r="D64" i="1"/>
  <c r="D418" i="4"/>
  <c r="D478" i="4"/>
  <c r="D84" i="1"/>
  <c r="F84" i="1"/>
  <c r="D151" i="4"/>
  <c r="D34" i="1"/>
  <c r="E57" i="4"/>
  <c r="E25" i="1"/>
  <c r="E65" i="4"/>
  <c r="J17" i="17"/>
  <c r="E97" i="4"/>
  <c r="E103" i="4"/>
  <c r="E29" i="1"/>
  <c r="J55" i="17"/>
  <c r="E143" i="4"/>
  <c r="E167" i="4"/>
  <c r="E200" i="4"/>
  <c r="J39" i="17"/>
  <c r="J38" i="17"/>
  <c r="J46" i="17"/>
  <c r="E256" i="4"/>
  <c r="E49" i="1"/>
  <c r="E281" i="4"/>
  <c r="E297" i="4"/>
  <c r="E55" i="1"/>
  <c r="F55" i="1"/>
  <c r="G55" i="1"/>
  <c r="E359" i="4"/>
  <c r="E400" i="4"/>
  <c r="E69" i="1"/>
  <c r="E454" i="4"/>
  <c r="E96" i="1"/>
  <c r="F96" i="1"/>
  <c r="E521" i="4"/>
  <c r="E518" i="4"/>
  <c r="E516" i="4"/>
  <c r="E580" i="4"/>
  <c r="E116" i="1"/>
  <c r="F11" i="17"/>
  <c r="E199" i="4"/>
  <c r="E42" i="1"/>
  <c r="E48" i="4"/>
  <c r="D454" i="4"/>
  <c r="D15" i="17"/>
  <c r="D54" i="4"/>
  <c r="D24" i="1"/>
  <c r="D352" i="4"/>
  <c r="D349" i="4"/>
  <c r="D61" i="1"/>
  <c r="D133" i="4"/>
  <c r="D189" i="4"/>
  <c r="D319" i="4"/>
  <c r="D57" i="1"/>
  <c r="D219" i="4"/>
  <c r="D42" i="17"/>
  <c r="D42" i="4"/>
  <c r="D17" i="1"/>
  <c r="F17" i="1"/>
  <c r="D471" i="4"/>
  <c r="D83" i="1"/>
  <c r="D262" i="4"/>
  <c r="D50" i="1"/>
  <c r="D495" i="4"/>
  <c r="I11" i="17"/>
  <c r="I19" i="17"/>
  <c r="L11" i="17"/>
  <c r="L19" i="17"/>
  <c r="D180" i="4"/>
  <c r="D409" i="4"/>
  <c r="F73" i="1"/>
  <c r="G73" i="1"/>
  <c r="D580" i="4"/>
  <c r="D116" i="1"/>
  <c r="F116" i="1"/>
  <c r="G116" i="1"/>
  <c r="D429" i="4"/>
  <c r="D426" i="4"/>
  <c r="D71" i="1"/>
  <c r="D445" i="4"/>
  <c r="D78" i="1"/>
  <c r="D422" i="4"/>
  <c r="E551" i="4"/>
  <c r="E549" i="4"/>
  <c r="E545" i="4"/>
  <c r="I32" i="17"/>
  <c r="D575" i="4"/>
  <c r="D584" i="4"/>
  <c r="D45" i="17"/>
  <c r="D297" i="4"/>
  <c r="D55" i="1"/>
  <c r="D39" i="4"/>
  <c r="D16" i="1"/>
  <c r="D123" i="4"/>
  <c r="E151" i="4"/>
  <c r="E163" i="4"/>
  <c r="E159" i="4"/>
  <c r="E171" i="4"/>
  <c r="E180" i="4"/>
  <c r="E189" i="4"/>
  <c r="E207" i="4"/>
  <c r="E43" i="1"/>
  <c r="E219" i="4"/>
  <c r="J42" i="17"/>
  <c r="E230" i="4"/>
  <c r="E45" i="1"/>
  <c r="F45" i="1"/>
  <c r="E262" i="4"/>
  <c r="E50" i="1"/>
  <c r="F50" i="1"/>
  <c r="G50" i="1"/>
  <c r="E269" i="4"/>
  <c r="E51" i="1"/>
  <c r="E275" i="4"/>
  <c r="E52" i="1"/>
  <c r="F52" i="1"/>
  <c r="G52" i="1"/>
  <c r="E289" i="4"/>
  <c r="E54" i="1"/>
  <c r="E308" i="4"/>
  <c r="E315" i="4"/>
  <c r="E319" i="4"/>
  <c r="E342" i="4"/>
  <c r="E345" i="4"/>
  <c r="E352" i="4"/>
  <c r="E363" i="4"/>
  <c r="E62" i="1"/>
  <c r="E366" i="4"/>
  <c r="E63" i="1"/>
  <c r="E387" i="4"/>
  <c r="E391" i="4"/>
  <c r="E67" i="1"/>
  <c r="E413" i="4"/>
  <c r="E408" i="4"/>
  <c r="J28" i="17"/>
  <c r="E422" i="4"/>
  <c r="E417" i="4"/>
  <c r="J29" i="17"/>
  <c r="E429" i="4"/>
  <c r="E426" i="4"/>
  <c r="E71" i="1"/>
  <c r="E445" i="4"/>
  <c r="E78" i="1"/>
  <c r="F78" i="1"/>
  <c r="G78" i="1"/>
  <c r="E471" i="4"/>
  <c r="E83" i="1"/>
  <c r="F83" i="1"/>
  <c r="E478" i="4"/>
  <c r="E84" i="1"/>
  <c r="D521" i="4"/>
  <c r="D518" i="4"/>
  <c r="D230" i="4"/>
  <c r="D45" i="1"/>
  <c r="D171" i="4"/>
  <c r="D103" i="4"/>
  <c r="D97" i="4"/>
  <c r="D57" i="4"/>
  <c r="E11" i="17"/>
  <c r="E19" i="17"/>
  <c r="D462" i="4"/>
  <c r="D81" i="1"/>
  <c r="D46" i="17"/>
  <c r="E132" i="4"/>
  <c r="D52" i="17"/>
  <c r="D563" i="4"/>
  <c r="D560" i="4"/>
  <c r="D200" i="4"/>
  <c r="D269" i="4"/>
  <c r="D51" i="1"/>
  <c r="F51" i="1"/>
  <c r="E13" i="1"/>
  <c r="J7" i="17"/>
  <c r="E54" i="4"/>
  <c r="E24" i="1"/>
  <c r="F24" i="1"/>
  <c r="E113" i="1"/>
  <c r="E575" i="4"/>
  <c r="D549" i="4"/>
  <c r="D20" i="1"/>
  <c r="D48" i="4"/>
  <c r="D236" i="4"/>
  <c r="D46" i="1"/>
  <c r="D110" i="4"/>
  <c r="D28" i="1"/>
  <c r="F28" i="1"/>
  <c r="G28" i="1"/>
  <c r="D55" i="17"/>
  <c r="D345" i="4"/>
  <c r="D329" i="4"/>
  <c r="D15" i="1"/>
  <c r="E236" i="4"/>
  <c r="J45" i="17"/>
  <c r="E117" i="1"/>
  <c r="D531" i="4"/>
  <c r="D529" i="4"/>
  <c r="D256" i="4"/>
  <c r="D49" i="1"/>
  <c r="F49" i="1"/>
  <c r="D139" i="4"/>
  <c r="D12" i="17"/>
  <c r="D128" i="4"/>
  <c r="E97" i="1"/>
  <c r="H38" i="17"/>
  <c r="F35" i="17"/>
  <c r="F38" i="17"/>
  <c r="F12" i="1"/>
  <c r="G12" i="1"/>
  <c r="F33" i="1"/>
  <c r="E32" i="17"/>
  <c r="K25" i="17"/>
  <c r="K35" i="17"/>
  <c r="H25" i="17"/>
  <c r="F23" i="1"/>
  <c r="G23" i="1"/>
  <c r="F115" i="1"/>
  <c r="F14" i="1"/>
  <c r="E25" i="17"/>
  <c r="F95" i="1"/>
  <c r="H32" i="17"/>
  <c r="G11" i="17"/>
  <c r="G19" i="17"/>
  <c r="L35" i="17"/>
  <c r="E35" i="17"/>
  <c r="I35" i="17"/>
  <c r="D111" i="1"/>
  <c r="G25" i="17"/>
  <c r="F25" i="17"/>
  <c r="F32" i="17"/>
  <c r="F112" i="1"/>
  <c r="G112" i="1"/>
  <c r="I25" i="17"/>
  <c r="D97" i="1"/>
  <c r="F82" i="1"/>
  <c r="G38" i="17"/>
  <c r="H35" i="17"/>
  <c r="L25" i="17"/>
  <c r="I38" i="17"/>
  <c r="G32" i="17"/>
  <c r="G35" i="17"/>
  <c r="E38" i="17"/>
  <c r="H11" i="17"/>
  <c r="H19" i="17"/>
  <c r="E18" i="1"/>
  <c r="K38" i="17"/>
  <c r="K11" i="17"/>
  <c r="K19" i="17"/>
  <c r="F21" i="1"/>
  <c r="G21" i="1"/>
  <c r="L38" i="17"/>
  <c r="F19" i="17"/>
  <c r="F104" i="1"/>
  <c r="F47" i="1"/>
  <c r="L56" i="17"/>
  <c r="F97" i="1"/>
  <c r="D386" i="4"/>
  <c r="D385" i="4"/>
  <c r="D26" i="17"/>
  <c r="D246" i="4"/>
  <c r="D48" i="1"/>
  <c r="F48" i="1"/>
  <c r="E461" i="4"/>
  <c r="J47" i="17"/>
  <c r="G83" i="1"/>
  <c r="E436" i="4"/>
  <c r="E434" i="4"/>
  <c r="J50" i="17"/>
  <c r="J18" i="17"/>
  <c r="D408" i="4"/>
  <c r="D28" i="17"/>
  <c r="E386" i="4"/>
  <c r="E385" i="4"/>
  <c r="E305" i="4"/>
  <c r="E56" i="1"/>
  <c r="F20" i="1"/>
  <c r="G20" i="1"/>
  <c r="E349" i="4"/>
  <c r="E61" i="1"/>
  <c r="F61" i="1"/>
  <c r="G61" i="1"/>
  <c r="J10" i="17"/>
  <c r="D54" i="17"/>
  <c r="E31" i="1"/>
  <c r="F74" i="1"/>
  <c r="G74" i="1"/>
  <c r="D51" i="17"/>
  <c r="E374" i="4"/>
  <c r="E64" i="1"/>
  <c r="E514" i="4"/>
  <c r="K56" i="17"/>
  <c r="K58" i="17"/>
  <c r="H56" i="17"/>
  <c r="H58" i="17"/>
  <c r="G84" i="1"/>
  <c r="E56" i="17"/>
  <c r="E58" i="17"/>
  <c r="J49" i="17"/>
  <c r="D508" i="4"/>
  <c r="E246" i="4"/>
  <c r="E48" i="1"/>
  <c r="E329" i="4"/>
  <c r="E399" i="4"/>
  <c r="J27" i="17"/>
  <c r="D91" i="1"/>
  <c r="D11" i="1"/>
  <c r="J11" i="17"/>
  <c r="E66" i="1"/>
  <c r="D417" i="4"/>
  <c r="D29" i="17"/>
  <c r="G56" i="17"/>
  <c r="G58" i="17"/>
  <c r="I56" i="17"/>
  <c r="I58" i="17"/>
  <c r="E542" i="4"/>
  <c r="E105" i="1"/>
  <c r="E103" i="1"/>
  <c r="D211" i="4"/>
  <c r="D44" i="1"/>
  <c r="D90" i="1"/>
  <c r="D92" i="1"/>
  <c r="D40" i="1"/>
  <c r="D34" i="17"/>
  <c r="D49" i="17"/>
  <c r="E40" i="1"/>
  <c r="J34" i="17"/>
  <c r="D69" i="1"/>
  <c r="F69" i="1"/>
  <c r="G69" i="1"/>
  <c r="E211" i="4"/>
  <c r="E44" i="1"/>
  <c r="D13" i="17"/>
  <c r="D132" i="4"/>
  <c r="D70" i="1"/>
  <c r="D37" i="17"/>
  <c r="E46" i="1"/>
  <c r="F46" i="1"/>
  <c r="D118" i="4"/>
  <c r="D30" i="1"/>
  <c r="E540" i="4"/>
  <c r="J31" i="17"/>
  <c r="E584" i="4"/>
  <c r="D35" i="17"/>
  <c r="D56" i="1"/>
  <c r="F56" i="1"/>
  <c r="G56" i="1"/>
  <c r="D31" i="1"/>
  <c r="F31" i="1"/>
  <c r="G31" i="1"/>
  <c r="D39" i="17"/>
  <c r="D38" i="17"/>
  <c r="D199" i="4"/>
  <c r="D461" i="4"/>
  <c r="F56" i="17"/>
  <c r="F58" i="17"/>
  <c r="L58" i="17"/>
  <c r="E102" i="1"/>
  <c r="E60" i="1"/>
  <c r="E59" i="1"/>
  <c r="D384" i="4"/>
  <c r="F44" i="1"/>
  <c r="G44" i="1"/>
  <c r="F40" i="1"/>
  <c r="G40" i="1"/>
  <c r="D42" i="1"/>
  <c r="F42" i="1"/>
  <c r="E572" i="4"/>
  <c r="D23" i="4"/>
  <c r="F71" i="1"/>
  <c r="G71" i="1"/>
  <c r="J6" i="17"/>
  <c r="D47" i="17"/>
  <c r="D39" i="1"/>
  <c r="D33" i="17"/>
  <c r="D32" i="17"/>
  <c r="D157" i="4"/>
  <c r="D6" i="17"/>
  <c r="D10" i="1"/>
  <c r="D118" i="1"/>
  <c r="E91" i="1"/>
  <c r="J48" i="17"/>
  <c r="D32" i="1"/>
  <c r="D16" i="17"/>
  <c r="F101" i="1"/>
  <c r="E100" i="1"/>
  <c r="E106" i="1"/>
  <c r="J26" i="17"/>
  <c r="J25" i="17"/>
  <c r="E384" i="4"/>
  <c r="E57" i="1"/>
  <c r="F57" i="1"/>
  <c r="G57" i="1"/>
  <c r="J36" i="17"/>
  <c r="E34" i="1"/>
  <c r="D198" i="4"/>
  <c r="D25" i="1"/>
  <c r="F25" i="1"/>
  <c r="G25" i="1"/>
  <c r="D10" i="17"/>
  <c r="D41" i="1"/>
  <c r="D65" i="1"/>
  <c r="F90" i="1"/>
  <c r="G90" i="1"/>
  <c r="J37" i="17"/>
  <c r="F91" i="1"/>
  <c r="E10" i="1"/>
  <c r="D25" i="17"/>
  <c r="F113" i="1"/>
  <c r="G113" i="1"/>
  <c r="E111" i="1"/>
  <c r="E118" i="1"/>
  <c r="F13" i="1"/>
  <c r="E11" i="1"/>
  <c r="F11" i="1"/>
  <c r="G11" i="1"/>
  <c r="F81" i="1"/>
  <c r="G81" i="1"/>
  <c r="D80" i="1"/>
  <c r="F80" i="1"/>
  <c r="G80" i="1"/>
  <c r="E32" i="1"/>
  <c r="J16" i="17"/>
  <c r="E82" i="4"/>
  <c r="E64" i="4"/>
  <c r="J14" i="17"/>
  <c r="E79" i="1"/>
  <c r="E77" i="1"/>
  <c r="E444" i="4"/>
  <c r="J53" i="17"/>
  <c r="F63" i="1"/>
  <c r="G63" i="1"/>
  <c r="D31" i="17"/>
  <c r="E328" i="4"/>
  <c r="F19" i="1"/>
  <c r="G19" i="1"/>
  <c r="D82" i="4"/>
  <c r="D64" i="4"/>
  <c r="D14" i="17"/>
  <c r="F16" i="1"/>
  <c r="E280" i="4"/>
  <c r="E53" i="1"/>
  <c r="E41" i="1"/>
  <c r="J51" i="17"/>
  <c r="F64" i="1"/>
  <c r="G64" i="1"/>
  <c r="F54" i="1"/>
  <c r="G54" i="1"/>
  <c r="D72" i="1"/>
  <c r="F72" i="1"/>
  <c r="G72" i="1"/>
  <c r="F43" i="1"/>
  <c r="D328" i="4"/>
  <c r="D79" i="1"/>
  <c r="D444" i="4"/>
  <c r="E92" i="1"/>
  <c r="F92" i="1"/>
  <c r="G92" i="1"/>
  <c r="F68" i="1"/>
  <c r="G68" i="1"/>
  <c r="D60" i="1"/>
  <c r="D11" i="17"/>
  <c r="D29" i="1"/>
  <c r="F29" i="1"/>
  <c r="G29" i="1"/>
  <c r="D18" i="17"/>
  <c r="D516" i="4"/>
  <c r="E158" i="4"/>
  <c r="F34" i="1"/>
  <c r="G34" i="1"/>
  <c r="E508" i="4"/>
  <c r="D545" i="4"/>
  <c r="D542" i="4"/>
  <c r="E70" i="1"/>
  <c r="E65" i="1"/>
  <c r="J33" i="17"/>
  <c r="J32" i="17"/>
  <c r="E157" i="4"/>
  <c r="E39" i="1"/>
  <c r="E38" i="1"/>
  <c r="E85" i="1"/>
  <c r="D102" i="1"/>
  <c r="D514" i="4"/>
  <c r="F60" i="1"/>
  <c r="G60" i="1"/>
  <c r="D59" i="1"/>
  <c r="F59" i="1"/>
  <c r="G59" i="1"/>
  <c r="F118" i="1"/>
  <c r="G118" i="1"/>
  <c r="F10" i="1"/>
  <c r="G10" i="1"/>
  <c r="D9" i="1"/>
  <c r="D105" i="1"/>
  <c r="D540" i="4"/>
  <c r="D77" i="1"/>
  <c r="F77" i="1"/>
  <c r="G77" i="1"/>
  <c r="F79" i="1"/>
  <c r="G79" i="1"/>
  <c r="E9" i="1"/>
  <c r="J35" i="17"/>
  <c r="J56" i="17"/>
  <c r="F32" i="1"/>
  <c r="G32" i="1"/>
  <c r="F111" i="1"/>
  <c r="G111" i="1"/>
  <c r="D19" i="17"/>
  <c r="F39" i="1"/>
  <c r="G39" i="1"/>
  <c r="D38" i="1"/>
  <c r="J19" i="17"/>
  <c r="F65" i="1"/>
  <c r="G65" i="1"/>
  <c r="D197" i="4"/>
  <c r="D489" i="4"/>
  <c r="D27" i="1"/>
  <c r="D63" i="4"/>
  <c r="D155" i="4"/>
  <c r="E63" i="4"/>
  <c r="E155" i="4"/>
  <c r="E27" i="1"/>
  <c r="E26" i="1"/>
  <c r="E198" i="4"/>
  <c r="E197" i="4"/>
  <c r="E489" i="4"/>
  <c r="F41" i="1"/>
  <c r="G41" i="1"/>
  <c r="F53" i="1"/>
  <c r="F70" i="1"/>
  <c r="G70" i="1"/>
  <c r="D26" i="1"/>
  <c r="F26" i="1"/>
  <c r="G26" i="1"/>
  <c r="F27" i="1"/>
  <c r="G27" i="1"/>
  <c r="D85" i="1"/>
  <c r="F85" i="1"/>
  <c r="G85" i="1"/>
  <c r="F38" i="1"/>
  <c r="G38" i="1"/>
  <c r="E573" i="4"/>
  <c r="E585" i="4"/>
  <c r="E35" i="1"/>
  <c r="E87" i="1"/>
  <c r="E108" i="1"/>
  <c r="E120" i="1"/>
  <c r="I30" i="32"/>
  <c r="F105" i="1"/>
  <c r="G105" i="1"/>
  <c r="D103" i="1"/>
  <c r="F103" i="1"/>
  <c r="G103" i="1"/>
  <c r="D53" i="17"/>
  <c r="D56" i="17"/>
  <c r="D58" i="17"/>
  <c r="D572" i="4"/>
  <c r="D573" i="4"/>
  <c r="D585" i="4"/>
  <c r="J58" i="17"/>
  <c r="D35" i="1"/>
  <c r="F9" i="1"/>
  <c r="G9" i="1"/>
  <c r="D100" i="1"/>
  <c r="F102" i="1"/>
  <c r="G102" i="1"/>
  <c r="F100" i="1"/>
  <c r="G100" i="1"/>
  <c r="D106" i="1"/>
  <c r="F106" i="1"/>
  <c r="G106" i="1"/>
  <c r="I301" i="32"/>
  <c r="I261" i="31" s="1"/>
  <c r="E237" i="30"/>
  <c r="J123" i="29" s="1"/>
  <c r="D4" i="33" s="1"/>
  <c r="D87" i="1"/>
  <c r="F35" i="1"/>
  <c r="G35" i="1"/>
  <c r="E214" i="30"/>
  <c r="F87" i="1"/>
  <c r="G87" i="1"/>
  <c r="D108" i="1"/>
  <c r="D120" i="1"/>
  <c r="F108" i="1"/>
  <c r="G108" i="1"/>
  <c r="H30" i="32"/>
  <c r="D237" i="30" s="1"/>
  <c r="I123" i="29" s="1"/>
  <c r="F120" i="1"/>
  <c r="G120" i="1"/>
  <c r="D25" i="33" l="1"/>
  <c r="D56" i="33" s="1"/>
  <c r="C21" i="33"/>
  <c r="C4" i="33"/>
  <c r="K123" i="29"/>
  <c r="K114" i="29"/>
  <c r="L114" i="29" s="1"/>
  <c r="J112" i="29"/>
  <c r="K117" i="29"/>
  <c r="L117" i="29"/>
  <c r="L141" i="29"/>
  <c r="L154" i="29"/>
  <c r="C33" i="33"/>
  <c r="L159" i="29"/>
  <c r="H301" i="32"/>
  <c r="H261" i="31" s="1"/>
  <c r="H262" i="31" s="1"/>
  <c r="L123" i="29"/>
  <c r="L129" i="29"/>
  <c r="K129" i="29"/>
  <c r="I112" i="29"/>
  <c r="K115" i="29"/>
  <c r="L116" i="29"/>
  <c r="I139" i="29"/>
  <c r="K139" i="29" s="1"/>
  <c r="C34" i="33" s="1"/>
  <c r="D275" i="30"/>
  <c r="K109" i="29"/>
  <c r="L115" i="29"/>
  <c r="K118" i="29"/>
  <c r="L118" i="29"/>
  <c r="J135" i="29"/>
  <c r="L135" i="29" s="1"/>
  <c r="K133" i="29"/>
  <c r="L133" i="29"/>
  <c r="K134" i="29"/>
  <c r="L134" i="29"/>
  <c r="L155" i="29"/>
  <c r="E332" i="30"/>
  <c r="K158" i="29"/>
  <c r="C36" i="33" s="1"/>
  <c r="I160" i="29"/>
  <c r="K160" i="29" s="1"/>
  <c r="L160" i="29" s="1"/>
  <c r="K140" i="29"/>
  <c r="C27" i="33" s="1"/>
  <c r="L120" i="29"/>
  <c r="K127" i="29"/>
  <c r="L127" i="29" s="1"/>
  <c r="I131" i="29"/>
  <c r="K130" i="29"/>
  <c r="L130" i="29" s="1"/>
  <c r="K138" i="29"/>
  <c r="C109" i="33" s="1"/>
  <c r="I156" i="29"/>
  <c r="L146" i="29"/>
  <c r="L150" i="29"/>
  <c r="L152" i="29"/>
  <c r="D214" i="30"/>
  <c r="E275" i="30"/>
  <c r="I142" i="29"/>
  <c r="I29" i="29"/>
  <c r="J143" i="29"/>
  <c r="I165" i="29"/>
  <c r="K165" i="29" s="1"/>
  <c r="D69" i="30"/>
  <c r="I20" i="29" s="1"/>
  <c r="D72" i="30"/>
  <c r="I21" i="29" s="1"/>
  <c r="D75" i="30"/>
  <c r="I22" i="29" s="1"/>
  <c r="K65" i="29"/>
  <c r="L65" i="29" s="1"/>
  <c r="K67" i="29"/>
  <c r="D157" i="30"/>
  <c r="E238" i="30"/>
  <c r="K144" i="29"/>
  <c r="E271" i="30"/>
  <c r="L111" i="29"/>
  <c r="K122" i="29"/>
  <c r="J24" i="29"/>
  <c r="L24" i="29" s="1"/>
  <c r="I262" i="31"/>
  <c r="J131" i="29"/>
  <c r="J168" i="29"/>
  <c r="K126" i="29"/>
  <c r="I23" i="29"/>
  <c r="J9" i="29"/>
  <c r="L9" i="29" s="1"/>
  <c r="J12" i="29"/>
  <c r="K12" i="29" s="1"/>
  <c r="L12" i="29" s="1"/>
  <c r="J41" i="29"/>
  <c r="L16" i="29"/>
  <c r="K16" i="29"/>
  <c r="E62" i="30"/>
  <c r="J18" i="29"/>
  <c r="L70" i="29"/>
  <c r="K70" i="29"/>
  <c r="C102" i="33" s="1"/>
  <c r="K57" i="29"/>
  <c r="D96" i="30"/>
  <c r="D195" i="30"/>
  <c r="K33" i="29"/>
  <c r="L33" i="29" s="1"/>
  <c r="E38" i="30"/>
  <c r="J10" i="29" s="1"/>
  <c r="L10" i="29" s="1"/>
  <c r="E59" i="30"/>
  <c r="I14" i="29"/>
  <c r="E69" i="30"/>
  <c r="J20" i="29" s="1"/>
  <c r="E72" i="30"/>
  <c r="J21" i="29" s="1"/>
  <c r="E75" i="30"/>
  <c r="J22" i="29" s="1"/>
  <c r="K24" i="29"/>
  <c r="K56" i="29"/>
  <c r="D176" i="30"/>
  <c r="I75" i="29" s="1"/>
  <c r="K75" i="29" s="1"/>
  <c r="D186" i="30"/>
  <c r="D189" i="30"/>
  <c r="D192" i="30"/>
  <c r="K85" i="29"/>
  <c r="L85" i="29" s="1"/>
  <c r="K89" i="29"/>
  <c r="E31" i="30"/>
  <c r="J30" i="29"/>
  <c r="L49" i="29"/>
  <c r="D139" i="30"/>
  <c r="K44" i="29"/>
  <c r="C53" i="33" s="1"/>
  <c r="D32" i="30"/>
  <c r="D35" i="30"/>
  <c r="I9" i="29" s="1"/>
  <c r="K9" i="29" s="1"/>
  <c r="D63" i="30"/>
  <c r="D62" i="30" s="1"/>
  <c r="D66" i="30"/>
  <c r="I19" i="29" s="1"/>
  <c r="K19" i="29" s="1"/>
  <c r="D82" i="30"/>
  <c r="I25" i="29" s="1"/>
  <c r="K25" i="29" s="1"/>
  <c r="L25" i="29" s="1"/>
  <c r="K26" i="29"/>
  <c r="L26" i="29" s="1"/>
  <c r="E120" i="30"/>
  <c r="J42" i="29" s="1"/>
  <c r="K42" i="29" s="1"/>
  <c r="L42" i="29" s="1"/>
  <c r="I52" i="29"/>
  <c r="K63" i="29"/>
  <c r="J61" i="29"/>
  <c r="E168" i="30"/>
  <c r="E189" i="30"/>
  <c r="D201" i="30"/>
  <c r="D208" i="30"/>
  <c r="D101" i="30"/>
  <c r="K43" i="29"/>
  <c r="D129" i="30"/>
  <c r="K50" i="29"/>
  <c r="K51" i="29"/>
  <c r="C98" i="33" s="1"/>
  <c r="K69" i="29"/>
  <c r="C101" i="33" s="1"/>
  <c r="E200" i="30"/>
  <c r="K96" i="29"/>
  <c r="J98" i="29"/>
  <c r="L94" i="29"/>
  <c r="E208" i="30"/>
  <c r="K94" i="29"/>
  <c r="K20" i="29"/>
  <c r="L20" i="29" s="1"/>
  <c r="J90" i="29"/>
  <c r="J7" i="29"/>
  <c r="L8" i="29"/>
  <c r="L11" i="29"/>
  <c r="K11" i="29"/>
  <c r="J14" i="29"/>
  <c r="K15" i="29"/>
  <c r="L15" i="29"/>
  <c r="E78" i="30"/>
  <c r="J23" i="29" s="1"/>
  <c r="J35" i="29"/>
  <c r="E101" i="30"/>
  <c r="E95" i="30" s="1"/>
  <c r="K54" i="29"/>
  <c r="L54" i="29" s="1"/>
  <c r="D146" i="30"/>
  <c r="D145" i="30" s="1"/>
  <c r="I61" i="29"/>
  <c r="K64" i="29"/>
  <c r="K76" i="29"/>
  <c r="C49" i="33" s="1"/>
  <c r="E186" i="30"/>
  <c r="E181" i="30" s="1"/>
  <c r="J77" i="29" s="1"/>
  <c r="E192" i="30"/>
  <c r="E195" i="30"/>
  <c r="K98" i="29"/>
  <c r="E139" i="30"/>
  <c r="J53" i="29"/>
  <c r="D109" i="30"/>
  <c r="J60" i="29"/>
  <c r="E157" i="30"/>
  <c r="K32" i="29"/>
  <c r="K79" i="29"/>
  <c r="J66" i="29"/>
  <c r="K71" i="29"/>
  <c r="C46" i="33" s="1"/>
  <c r="L19" i="29"/>
  <c r="K23" i="29"/>
  <c r="K21" i="29"/>
  <c r="L21" i="29" s="1"/>
  <c r="I49" i="29"/>
  <c r="I40" i="29"/>
  <c r="L97" i="29"/>
  <c r="L64" i="29"/>
  <c r="L67" i="29"/>
  <c r="K83" i="29"/>
  <c r="L83" i="29" s="1"/>
  <c r="I81" i="29"/>
  <c r="L89" i="29"/>
  <c r="E146" i="30"/>
  <c r="E145" i="30" s="1"/>
  <c r="J17" i="29"/>
  <c r="K22" i="29"/>
  <c r="L22" i="29" s="1"/>
  <c r="I36" i="29"/>
  <c r="E129" i="30"/>
  <c r="K55" i="29"/>
  <c r="K62" i="29"/>
  <c r="L63" i="29"/>
  <c r="K68" i="29"/>
  <c r="C100" i="33" s="1"/>
  <c r="I66" i="29"/>
  <c r="K66" i="29" s="1"/>
  <c r="I74" i="29"/>
  <c r="K74" i="29" s="1"/>
  <c r="L74" i="29" s="1"/>
  <c r="D167" i="30"/>
  <c r="K80" i="29"/>
  <c r="J78" i="29"/>
  <c r="L78" i="29" s="1"/>
  <c r="K97" i="29"/>
  <c r="J142" i="29" l="1"/>
  <c r="K131" i="29"/>
  <c r="C23" i="33" s="1"/>
  <c r="C24" i="33" s="1"/>
  <c r="C25" i="33" s="1"/>
  <c r="L140" i="29"/>
  <c r="E340" i="30"/>
  <c r="K143" i="29"/>
  <c r="L143" i="29" s="1"/>
  <c r="I168" i="29"/>
  <c r="K168" i="29" s="1"/>
  <c r="L168" i="29" s="1"/>
  <c r="J110" i="29"/>
  <c r="L131" i="29"/>
  <c r="K142" i="29"/>
  <c r="C29" i="33" s="1"/>
  <c r="C103" i="33"/>
  <c r="L109" i="29"/>
  <c r="D103" i="33" s="1"/>
  <c r="D110" i="33" s="1"/>
  <c r="D112" i="33" s="1"/>
  <c r="D115" i="33" s="1"/>
  <c r="D340" i="30"/>
  <c r="K135" i="29"/>
  <c r="D58" i="30"/>
  <c r="C35" i="33"/>
  <c r="I110" i="29"/>
  <c r="K112" i="29"/>
  <c r="L112" i="29" s="1"/>
  <c r="L158" i="29"/>
  <c r="I18" i="29"/>
  <c r="D181" i="30"/>
  <c r="I77" i="29" s="1"/>
  <c r="K77" i="29" s="1"/>
  <c r="D95" i="30"/>
  <c r="E109" i="30"/>
  <c r="E167" i="30"/>
  <c r="J73" i="29"/>
  <c r="J40" i="29"/>
  <c r="K41" i="29"/>
  <c r="C52" i="33" s="1"/>
  <c r="C54" i="33" s="1"/>
  <c r="D200" i="30"/>
  <c r="I88" i="29"/>
  <c r="I72" i="29"/>
  <c r="I8" i="29"/>
  <c r="D31" i="30"/>
  <c r="D30" i="30" s="1"/>
  <c r="K30" i="29"/>
  <c r="L30" i="29" s="1"/>
  <c r="J29" i="29"/>
  <c r="K10" i="29"/>
  <c r="K36" i="29"/>
  <c r="I34" i="29"/>
  <c r="I48" i="29"/>
  <c r="K49" i="29"/>
  <c r="L23" i="29"/>
  <c r="K78" i="29"/>
  <c r="C113" i="33"/>
  <c r="K81" i="29"/>
  <c r="L81" i="29" s="1"/>
  <c r="L66" i="29"/>
  <c r="J59" i="29"/>
  <c r="L53" i="29"/>
  <c r="K53" i="29"/>
  <c r="J52" i="29"/>
  <c r="K18" i="29"/>
  <c r="L18" i="29" s="1"/>
  <c r="I17" i="29"/>
  <c r="L98" i="29"/>
  <c r="E128" i="30"/>
  <c r="E108" i="30" s="1"/>
  <c r="K40" i="29"/>
  <c r="L40" i="29" s="1"/>
  <c r="E58" i="30"/>
  <c r="E30" i="30" s="1"/>
  <c r="I60" i="29"/>
  <c r="K61" i="29"/>
  <c r="L61" i="29" s="1"/>
  <c r="J34" i="29"/>
  <c r="K35" i="29"/>
  <c r="L35" i="29" s="1"/>
  <c r="L14" i="29"/>
  <c r="J13" i="29"/>
  <c r="K14" i="29"/>
  <c r="J124" i="29" l="1"/>
  <c r="L110" i="29"/>
  <c r="L142" i="29"/>
  <c r="J156" i="29"/>
  <c r="K110" i="29"/>
  <c r="I124" i="29"/>
  <c r="L77" i="29"/>
  <c r="K29" i="29"/>
  <c r="L29" i="29" s="1"/>
  <c r="I90" i="29"/>
  <c r="K90" i="29" s="1"/>
  <c r="L90" i="29" s="1"/>
  <c r="K88" i="29"/>
  <c r="I7" i="29"/>
  <c r="K7" i="29" s="1"/>
  <c r="L7" i="29" s="1"/>
  <c r="K8" i="29"/>
  <c r="J72" i="29"/>
  <c r="K72" i="29" s="1"/>
  <c r="C47" i="33" s="1"/>
  <c r="K73" i="29"/>
  <c r="L73" i="29" s="1"/>
  <c r="D128" i="30"/>
  <c r="D108" i="30" s="1"/>
  <c r="D207" i="30" s="1"/>
  <c r="H207" i="30" s="1"/>
  <c r="E207" i="30"/>
  <c r="L41" i="29"/>
  <c r="J58" i="29"/>
  <c r="J28" i="29"/>
  <c r="K52" i="29"/>
  <c r="L52" i="29" s="1"/>
  <c r="J47" i="29"/>
  <c r="K48" i="29"/>
  <c r="I47" i="29"/>
  <c r="K60" i="29"/>
  <c r="L60" i="29" s="1"/>
  <c r="I59" i="29"/>
  <c r="I13" i="29"/>
  <c r="K17" i="29"/>
  <c r="L17" i="29" s="1"/>
  <c r="K34" i="29"/>
  <c r="L34" i="29" s="1"/>
  <c r="I28" i="29"/>
  <c r="K156" i="29" l="1"/>
  <c r="L156" i="29" s="1"/>
  <c r="K124" i="29"/>
  <c r="C105" i="33" s="1"/>
  <c r="C106" i="33" s="1"/>
  <c r="C110" i="33" s="1"/>
  <c r="I162" i="29"/>
  <c r="K162" i="29" s="1"/>
  <c r="J162" i="29"/>
  <c r="L124" i="29"/>
  <c r="L72" i="29"/>
  <c r="L88" i="29"/>
  <c r="C55" i="33"/>
  <c r="K13" i="29"/>
  <c r="L13" i="29" s="1"/>
  <c r="I37" i="29"/>
  <c r="J37" i="29"/>
  <c r="K28" i="29"/>
  <c r="C88" i="33" s="1"/>
  <c r="C90" i="33" s="1"/>
  <c r="C95" i="33" s="1"/>
  <c r="K59" i="29"/>
  <c r="L59" i="29" s="1"/>
  <c r="I58" i="29"/>
  <c r="K58" i="29" s="1"/>
  <c r="C45" i="33" s="1"/>
  <c r="J46" i="29"/>
  <c r="L47" i="29"/>
  <c r="K47" i="29"/>
  <c r="C38" i="33"/>
  <c r="L58" i="29" l="1"/>
  <c r="I46" i="29"/>
  <c r="L162" i="29"/>
  <c r="C51" i="33"/>
  <c r="C56" i="33" s="1"/>
  <c r="C112" i="33" s="1"/>
  <c r="C115" i="33" s="1"/>
  <c r="J86" i="29"/>
  <c r="J92" i="29"/>
  <c r="K46" i="29"/>
  <c r="L46" i="29" s="1"/>
  <c r="I86" i="29"/>
  <c r="K86" i="29" s="1"/>
  <c r="L28" i="29"/>
  <c r="K37" i="29"/>
  <c r="L37" i="29" l="1"/>
  <c r="L86" i="29"/>
  <c r="I92" i="29"/>
  <c r="K92" i="29" l="1"/>
  <c r="L92" i="29" s="1"/>
  <c r="I170" i="29"/>
</calcChain>
</file>

<file path=xl/comments1.xml><?xml version="1.0" encoding="utf-8"?>
<comments xmlns="http://schemas.openxmlformats.org/spreadsheetml/2006/main">
  <authors>
    <author>Marina Seganti</author>
    <author>marina.seganti</author>
    <author>Alessandra Rachelli</author>
    <author>Cinzia Macovez</author>
    <author>cinzia.macovez</author>
  </authors>
  <commentList>
    <comment ref="K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abbassato SPINRAZA e portato a 2.000.000</t>
        </r>
      </text>
    </comment>
    <comment ref="L1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integrato con i &lt; costi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costi -165.656,80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Marina Seganti:
integrato con i &lt; costi</t>
        </r>
      </text>
    </comment>
    <comment ref="N19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inseriti 35 impianti cocleari + 10 baha ( vedi mail Orzan) calcolo puntuale con Ing.Cl.</t>
        </r>
      </text>
    </comment>
    <comment ref="N2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riallineati al preconsuntivo per la partenza a regime Tossicologia Forense</t>
        </r>
      </text>
    </comment>
    <comment ref="N4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spostamento delle stampanti dagli uffici</t>
        </r>
      </text>
    </comment>
    <comment ref="R122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modifica per errore storno IVA infragruppo</t>
        </r>
      </text>
    </comment>
    <comment ref="S122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180.000 anatomia patol
130.000 tipizzazioni
10.000 U.F.A. attenzione spostati gameti su altri serv san da pvt+2.000 in accordo con AAS5
</t>
        </r>
      </text>
    </comment>
    <comment ref="X122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180.000 anatomia patol
130.000 tipizzazioni
10.000 U.F.A. attenzione spostati gameti su altri serv san da pvt+2.000 in accordo con AAS5
</t>
        </r>
      </text>
    </comment>
    <comment ref="R254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spostati su indicazione DCS/ARCS
</t>
        </r>
      </text>
    </comment>
    <comment ref="S254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aumentato per allineamento con infragruppo ASFO 15,000 pari ricavi</t>
        </r>
      </text>
    </comment>
    <comment ref="X254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aumentato per allineamento con infragruppo ASFO 15,000 pari ricavi</t>
        </r>
      </text>
    </comment>
    <comment ref="R256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spostati su indicazione DCS/ARCS</t>
        </r>
      </text>
    </comment>
    <comment ref="R298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modifica per errore storno IVA infragruppo</t>
        </r>
      </text>
    </comment>
    <comment ref="U298" authorId="1" shapeId="0">
      <text>
        <r>
          <rPr>
            <b/>
            <sz val="9"/>
            <color indexed="81"/>
            <rFont val="Tahoma"/>
            <family val="2"/>
          </rPr>
          <t>marina.seganti:</t>
        </r>
        <r>
          <rPr>
            <sz val="9"/>
            <color indexed="81"/>
            <rFont val="Tahoma"/>
            <family val="2"/>
          </rPr>
          <t xml:space="preserve">
114.724 rimborso viro+
769.563 prestazioni erroneamente imputate a Burlo+prest. Immuno ed ematologia 136.384
300 rete HPH /AAS2
</t>
        </r>
      </text>
    </comment>
    <comment ref="X298" authorId="1" shapeId="0">
      <text>
        <r>
          <rPr>
            <b/>
            <sz val="9"/>
            <color indexed="81"/>
            <rFont val="Tahoma"/>
            <family val="2"/>
          </rPr>
          <t>marina.seganti:</t>
        </r>
        <r>
          <rPr>
            <sz val="9"/>
            <color indexed="81"/>
            <rFont val="Tahoma"/>
            <family val="2"/>
          </rPr>
          <t xml:space="preserve">
114.724 rimborso viro+
769.563 prestazioni labo+prest. Immuno ed ematologia+spostato da accantonamento rischi la quota del DRG errato neonato sano
TOLTO NEONATO SANO</t>
        </r>
      </text>
    </comment>
    <comment ref="R301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modifica per errore storno IVA infragruppo</t>
        </r>
      </text>
    </comment>
    <comment ref="R31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fabbro laura- supporto fecondazione assistita</t>
        </r>
      </text>
    </comment>
    <comment ref="R311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inserita coge. Manca dettaglio COVId da Petrazzi, mantenuto dato III trim</t>
        </r>
      </text>
    </comment>
    <comment ref="U311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Olenik, argentini, delPin
</t>
        </r>
      </text>
    </comment>
    <comment ref="R31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dato coge a novembre proiettato</t>
        </r>
      </text>
    </comment>
    <comment ref="R31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dato coge a novembre proiettato</t>
        </r>
      </text>
    </comment>
    <comment ref="H31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attendiamo il dato da Pandullo/Petrazzi.</t>
        </r>
      </text>
    </comment>
    <comment ref="I31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aggiornamento del 24/11/2020</t>
        </r>
      </text>
    </comment>
    <comment ref="R32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zamarian stefania-astro</t>
        </r>
      </text>
    </comment>
    <comment ref="R323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coge</t>
        </r>
      </text>
    </comment>
    <comment ref="K33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DS rimodulati gli importi +20.000
Econ rimodulati importi</t>
        </r>
      </text>
    </comment>
    <comment ref="N33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+250.000+25.000 (gest DS)
+112.500 NIPT
+50.000 altri servizi
+150.000 gameti</t>
        </r>
      </text>
    </comment>
    <comment ref="N34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modifica ed estensione contratto pulizie ( riviste le arree di classi alto/medio rischio) + personale in quiescenza</t>
        </r>
      </text>
    </comment>
    <comment ref="H35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dati UT a seguito di scadenza contratto e di conguaglio annuale a credito e &lt; costo</t>
        </r>
      </text>
    </comment>
    <comment ref="K35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eventuale piccolo tesoretto perché il contratto è scaduto al 30/06. lasciamo PAO</t>
        </r>
      </text>
    </comment>
    <comment ref="N35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scadenza contratto 30/06. siram presenterà un progetto che il Burlo metterà in gara ( il progetto interessa varie voci di costo)</t>
        </r>
      </text>
    </comment>
    <comment ref="N35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trasferimento contratto trasp.campioni biologici ad ASUGI</t>
        </r>
      </text>
    </comment>
    <comment ref="H35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dato da Provveditorato tolti gli importi contestati dai costi</t>
        </r>
      </text>
    </comment>
    <comment ref="I35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eventuali convenzioni CONSIP(SIM, SPC e telefonia fissa)</t>
        </r>
      </text>
    </comment>
    <comment ref="N35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eventuali convenzioni CONSIP(SIM, SPC e telefonia fissa)</t>
        </r>
      </text>
    </comment>
    <comment ref="H36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attendiamo dato da UT
</t>
        </r>
      </text>
    </comment>
    <comment ref="K362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Maggiori consumi</t>
        </r>
      </text>
    </comment>
    <comment ref="R371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modifica per errore storno IVA infragruppo</t>
        </r>
      </text>
    </comment>
    <comment ref="N37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estensione vigilanza notturna</t>
        </r>
      </text>
    </comment>
    <comment ref="R383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coge</t>
        </r>
      </text>
    </comment>
    <comment ref="O38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INS BIBLIOSAN NON ANCORA RILEVATO
</t>
        </r>
      </text>
    </comment>
    <comment ref="H38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sforamento x quota rimborso energia elettrica b&amp;b fino a settembre</t>
        </r>
      </text>
    </comment>
    <comment ref="O38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rimodulato importo missioni ed inserito leasing RC</t>
        </r>
      </text>
    </comment>
    <comment ref="P38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rimodulato importo missioni ed inserito leasing RC</t>
        </r>
      </text>
    </comment>
    <comment ref="H39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SANIFICAZIONE SPOSTATA IN IMPIANTISTICA VARIA
+</t>
        </r>
      </text>
    </comment>
    <comment ref="I39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costi  -10.000</t>
        </r>
      </text>
    </comment>
    <comment ref="K39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formazione: aumentato per servizio CLUOD LIFESIZE 33.154+
U.T.: sanificazione sala op 24.000+
verifiche periodiche impianto elettrico 9.154
Econ aumento coop Amico +
aggiunti 49.000 consulenza tavolare (TECNICO)</t>
        </r>
      </text>
    </comment>
    <comment ref="L39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Marina Seganti:
integrato con i &lt; costi</t>
        </r>
      </text>
    </comment>
    <comment ref="N39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sterilizzazione 300.000
italarchivi 105.000
medicazione cult 70.000
emergenza psich. 135.000
area verde 35.000
derattizzazione 5.000</t>
        </r>
      </text>
    </comment>
    <comment ref="R392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non avremo nessun costo</t>
        </r>
      </text>
    </comment>
    <comment ref="U392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Inseriti prudenzialmente. Attendiamo notizie da DS</t>
        </r>
      </text>
    </comment>
    <comment ref="R39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fatturato fino a dicembre</t>
        </r>
      </text>
    </comment>
    <comment ref="R39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abbassato perché Ragni non verrà più per incompatibilità di incarichi. Non si sa chi verrà e con che contratto</t>
        </r>
      </text>
    </comment>
    <comment ref="I403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rimodulato con proiezioni puntuali e da leggere con gli interinali area sanitaria</t>
        </r>
      </text>
    </comment>
    <comment ref="N403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aumentato per pareggio PAO</t>
        </r>
      </text>
    </comment>
    <comment ref="S41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costi  -19.000</t>
        </r>
      </text>
    </comment>
    <comment ref="X41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probabile modifica tariffe dei formatori</t>
        </r>
      </text>
    </comment>
    <comment ref="S41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costi  -30.000
</t>
        </r>
      </text>
    </comment>
    <comment ref="V41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Marina Seganti:
integrato con i &lt; costi</t>
        </r>
      </text>
    </comment>
    <comment ref="I419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E MESSO A PATRIMONIO</t>
        </r>
      </text>
    </comment>
    <comment ref="I42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quantificato puntualmente il conto software</t>
        </r>
      </text>
    </comment>
    <comment ref="N42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quantificato puntualmente il conto software</t>
        </r>
      </text>
    </comment>
    <comment ref="K43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rimodulato il conto assieme alla voce software</t>
        </r>
      </text>
    </comment>
    <comment ref="K43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Marina Seganti:
mantenuti i canoni 2019 150.000
+ 80.000 genetica
+ 48.800 scrimin
+ 19.500 mostcare
+ 24.000 zanon</t>
        </r>
      </text>
    </comment>
    <comment ref="N43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mantenuti i canoni 2019 150.000
+ 80.000 genetica
+ 48.800 scrimin
+ 19.500 mostcare
+ 24.000 zanon</t>
        </r>
      </text>
    </comment>
    <comment ref="N441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eventuale accensione terza macchina</t>
        </r>
      </text>
    </comment>
    <comment ref="O48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messo nel 320/100/100/200/20 per poco capienza del conto</t>
        </r>
      </text>
    </comment>
    <comment ref="P48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messo nel 320/100/100/200/20 per poco capienza del conto</t>
        </r>
      </text>
    </comment>
    <comment ref="Q48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messo nel 320/100/100/200/20 per poco capienza del conto</t>
        </r>
      </text>
    </comment>
    <comment ref="O52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aggiornato importo PIRAMIDATI</t>
        </r>
      </text>
    </comment>
    <comment ref="P52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aggiornato importo PIRAMIDATI</t>
        </r>
      </text>
    </comment>
    <comment ref="O534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aggiornato importo PIRAMIDATI</t>
        </r>
      </text>
    </comment>
    <comment ref="P534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aggiornato importo PIRAMIDATI</t>
        </r>
      </text>
    </comment>
    <comment ref="P549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spostati sul ruolo professionale
</t>
        </r>
      </text>
    </comment>
    <comment ref="P55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164500 TD</t>
        </r>
      </text>
    </comment>
    <comment ref="Q55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164500 TD</t>
        </r>
      </text>
    </comment>
    <comment ref="R685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modifica per errore storno IVA infragruppo</t>
        </r>
      </text>
    </comment>
    <comment ref="R82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accantonamento dati petrazzi</t>
        </r>
      </text>
    </comment>
    <comment ref="S82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accantonamento dati petrazzi</t>
        </r>
      </text>
    </comment>
    <comment ref="U836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Alessandra Rachelli:
tolto rinnovo 2016/18 già presente nei ruoli e sommato diff con il pagato effettivo (dir san e medica)</t>
        </r>
      </text>
    </comment>
    <comment ref="U837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inserito rinnovo PTA 2016/2018 50,000</t>
        </r>
      </text>
    </comment>
    <comment ref="R862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anatomia patologica 2019</t>
        </r>
      </text>
    </comment>
    <comment ref="O88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aggiornato importo PIRAMIDATI</t>
        </r>
      </text>
    </comment>
    <comment ref="P88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aggiornato importo PIRAMIDATI</t>
        </r>
      </text>
    </comment>
    <comment ref="R900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modifica DSC tolti 69.902 ed inseriti sul conto 600/200/100/100/80
</t>
        </r>
      </text>
    </comment>
    <comment ref="R916" authorId="0" shapeId="0">
      <text>
        <r>
          <rPr>
            <b/>
            <sz val="9"/>
            <color indexed="81"/>
            <rFont val="Tahoma"/>
            <charset val="1"/>
          </rPr>
          <t>Marina Seganti:</t>
        </r>
        <r>
          <rPr>
            <sz val="9"/>
            <color indexed="81"/>
            <rFont val="Tahoma"/>
            <charset val="1"/>
          </rPr>
          <t xml:space="preserve">
modifica richiesta da DSC</t>
        </r>
      </text>
    </comment>
    <comment ref="O93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aggiornato importo PIRAMIDATI
</t>
        </r>
      </text>
    </comment>
    <comment ref="P93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aggiornato importo PIRAMIDATI
</t>
        </r>
      </text>
    </comment>
    <comment ref="U943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contributi COVID (eurospital)+ PRIVATI VARI</t>
        </r>
      </text>
    </comment>
    <comment ref="S95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rimodulato effetto COVID confrontando il periodo genn-sett 2020 con genn-sett 2019</t>
        </r>
      </text>
    </comment>
    <comment ref="Z95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ricavi -632.383,87</t>
        </r>
      </text>
    </comment>
    <comment ref="S958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mantenuta attività 2019 ASS5</t>
        </r>
      </text>
    </comment>
    <comment ref="X958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mantenuta attività 2019 ASS5</t>
        </r>
      </text>
    </comment>
    <comment ref="Z958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ricavi -226.792</t>
        </r>
      </text>
    </comment>
    <comment ref="Z96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&gt; ricavi 219.481,6</t>
        </r>
      </text>
    </comment>
    <comment ref="R961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aggiunti ricavi attività tossic. Forense
80.000 PRESTAZIONI ERRONEAMENTE IMPUTATE</t>
        </r>
      </text>
    </comment>
    <comment ref="S961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INSERIRE RICAVO PER TAMPONI e minore attività per esami vari</t>
        </r>
      </text>
    </comment>
    <comment ref="U961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insarita anche la quota delle prestaz erroneamente imputate</t>
        </r>
      </text>
    </comment>
    <comment ref="V961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minor ricavo MST</t>
        </r>
      </text>
    </comment>
    <comment ref="X961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aggiunti ricavi attività tossic. forense</t>
        </r>
      </text>
    </comment>
    <comment ref="Z961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ricavi -69.869,74</t>
        </r>
      </text>
    </comment>
    <comment ref="S975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infermieri covid a monfalcone</t>
        </r>
      </text>
    </comment>
    <comment ref="Z97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&gt; ricavi 10.416,01</t>
        </r>
      </text>
    </comment>
    <comment ref="R976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GAMETI REG E GALENICHE</t>
        </r>
      </text>
    </comment>
    <comment ref="S976" authorId="4" shapeId="0">
      <text>
        <r>
          <rPr>
            <b/>
            <sz val="9"/>
            <color indexed="81"/>
            <rFont val="Tahoma"/>
            <family val="2"/>
          </rPr>
          <t>cinzia.macovez:</t>
        </r>
        <r>
          <rPr>
            <sz val="9"/>
            <color indexed="81"/>
            <rFont val="Tahoma"/>
            <family val="2"/>
          </rPr>
          <t xml:space="preserve">
inserito PMA udine
da verificare con dati infragruppo co.ge superiore</t>
        </r>
      </text>
    </comment>
    <comment ref="U976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PMA regionale e Galeniche</t>
        </r>
      </text>
    </comment>
    <comment ref="X976" authorId="4" shapeId="0">
      <text>
        <r>
          <rPr>
            <b/>
            <sz val="9"/>
            <color indexed="81"/>
            <rFont val="Tahoma"/>
            <family val="2"/>
          </rPr>
          <t>cinzia.macovez:</t>
        </r>
        <r>
          <rPr>
            <sz val="9"/>
            <color indexed="81"/>
            <rFont val="Tahoma"/>
            <family val="2"/>
          </rPr>
          <t xml:space="preserve">
inserito PMA udine
da verificare con dati infragruppo co.ge superiore</t>
        </r>
      </text>
    </comment>
    <comment ref="R984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PMA 32.870 ED ESAMI FATT spostati sul conto 630/100/300/650/20/20 su indicazioni regionali</t>
        </r>
      </text>
    </comment>
    <comment ref="S98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inserito a costo vedi linee reg
</t>
        </r>
      </text>
    </comment>
    <comment ref="X98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inserito a costo vedi linee reg
</t>
        </r>
      </text>
    </comment>
    <comment ref="S1001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differenza tra costi Spinraza e ricavo sovraziendale </t>
        </r>
      </text>
    </comment>
    <comment ref="U1001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tolto perché spiraza finanziato tutto da sovraziendale</t>
        </r>
      </text>
    </comment>
    <comment ref="X1001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differenza tra costi Spinraza e ricavo sovraziendale </t>
        </r>
      </text>
    </comment>
    <comment ref="S1002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inserito nella proposta PAO per errore. Tolto ed inserito nelle prestazioni a pvt</t>
        </r>
      </text>
    </comment>
    <comment ref="X1002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inserito nella proposta PAO per errore. Tolto ed inserito nelle prestazioni a pvt</t>
        </r>
      </text>
    </comment>
    <comment ref="R1013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INSERIRE RICOVERI NON FATT</t>
        </r>
      </text>
    </comment>
    <comment ref="X1013" authorId="4" shapeId="0">
      <text>
        <r>
          <rPr>
            <b/>
            <sz val="9"/>
            <color indexed="81"/>
            <rFont val="Tahoma"/>
            <family val="2"/>
          </rPr>
          <t>cinzia.macovez:</t>
        </r>
        <r>
          <rPr>
            <sz val="9"/>
            <color indexed="81"/>
            <rFont val="Tahoma"/>
            <family val="2"/>
          </rPr>
          <t xml:space="preserve">
mantenuta proiez III trim
+ 49.425 della mobilità internazionale 2019 messi per errore anche nella proposta PAO</t>
        </r>
      </text>
    </comment>
    <comment ref="Z1013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ricavi -239.561</t>
        </r>
      </text>
    </comment>
    <comment ref="U1016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tolta la PMA regionale, inserita al conto infragruppo</t>
        </r>
      </text>
    </comment>
    <comment ref="X1016" authorId="4" shapeId="0">
      <text>
        <r>
          <rPr>
            <b/>
            <sz val="9"/>
            <color indexed="81"/>
            <rFont val="Tahoma"/>
            <family val="2"/>
          </rPr>
          <t>cinzia.macovez:</t>
        </r>
        <r>
          <rPr>
            <sz val="9"/>
            <color indexed="81"/>
            <rFont val="Tahoma"/>
            <family val="2"/>
          </rPr>
          <t xml:space="preserve">
da verificare costi nipt e imer/ass5
+ 49.425 della mobilità internazionale 2019 messi per errore anche nella proposta PAO</t>
        </r>
      </text>
    </comment>
    <comment ref="Z1016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ricavi -47.426</t>
        </r>
      </text>
    </comment>
    <comment ref="S1053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aumentato per allineamento con infragruppo ASFO 15,000 pari costi</t>
        </r>
      </text>
    </comment>
    <comment ref="X1053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aumentato per allineamento con infragruppo ASFO 15,000 pari costi</t>
        </r>
      </text>
    </comment>
    <comment ref="R1065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GEVAP ED INGLESE</t>
        </r>
      </text>
    </comment>
    <comment ref="S1065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Gevap-uff.concorsi
</t>
        </r>
      </text>
    </comment>
    <comment ref="X1065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Gevap-uff.concorsi
</t>
        </r>
      </text>
    </comment>
    <comment ref="S1067" authorId="4" shapeId="0">
      <text>
        <r>
          <rPr>
            <b/>
            <sz val="9"/>
            <color indexed="81"/>
            <rFont val="Tahoma"/>
            <family val="2"/>
          </rPr>
          <t xml:space="preserve">cinzia.macovez:
</t>
        </r>
        <r>
          <rPr>
            <sz val="9"/>
            <color indexed="81"/>
            <rFont val="Tahoma"/>
            <family val="2"/>
          </rPr>
          <t>tolto &lt; ricavi -36.000
minori ricavi per formazione da ARCS</t>
        </r>
      </text>
    </comment>
    <comment ref="U1067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25.000 formazione rimb ARCS 
10.000 odontostomatolog
60.000 rifiuti partita laboratorio+10.500 rimborso supporto educativo 
ricovero paziente cervignano</t>
        </r>
      </text>
    </comment>
    <comment ref="V1067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Cinzia Macovez:
riduzione rimborso formazione arcs</t>
        </r>
      </text>
    </comment>
    <comment ref="X1067" authorId="4" shapeId="0">
      <text>
        <r>
          <rPr>
            <b/>
            <sz val="9"/>
            <color indexed="81"/>
            <rFont val="Tahoma"/>
            <family val="2"/>
          </rPr>
          <t>cinzia.macovez:</t>
        </r>
        <r>
          <rPr>
            <sz val="9"/>
            <color indexed="81"/>
            <rFont val="Tahoma"/>
            <family val="2"/>
          </rPr>
          <t xml:space="preserve">
solo rifiuti ASUITS(dato aggiornato 11/02/19 Economato)
 no POCT, no SPOKE+ PENALI ARCS+RIMB FORMAZIONE+
40.000 rimb trasporti da/a ASUITS</t>
        </r>
      </text>
    </comment>
    <comment ref="S1070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comando cacciari e bertuzzi</t>
        </r>
      </text>
    </comment>
    <comment ref="U1078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cinzia.macovez:
85.0000 univ e il rimborso midollo è stato spostato sul conto infragruppo
</t>
        </r>
      </text>
    </comment>
    <comment ref="X1078" authorId="4" shapeId="0">
      <text>
        <r>
          <rPr>
            <b/>
            <sz val="9"/>
            <color indexed="81"/>
            <rFont val="Tahoma"/>
            <family val="2"/>
          </rPr>
          <t>cinzia.macovez:</t>
        </r>
        <r>
          <rPr>
            <sz val="9"/>
            <color indexed="81"/>
            <rFont val="Tahoma"/>
            <family val="2"/>
          </rPr>
          <t xml:space="preserve">
85.0000 univ e formaz TI
172.000 AIFA+
60.000 midollo+7000 lombardia
</t>
        </r>
      </text>
    </comment>
    <comment ref="S1087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ricavi -2.721,53</t>
        </r>
      </text>
    </comment>
    <comment ref="S1095" authorId="0" shapeId="0">
      <text>
        <r>
          <rPr>
            <b/>
            <sz val="9"/>
            <color indexed="81"/>
            <rFont val="Tahoma"/>
            <family val="2"/>
          </rPr>
          <t>Marina Seganti:</t>
        </r>
        <r>
          <rPr>
            <sz val="9"/>
            <color indexed="81"/>
            <rFont val="Tahoma"/>
            <family val="2"/>
          </rPr>
          <t xml:space="preserve">
tolto &lt; ricavi -13.172,10</t>
        </r>
      </text>
    </comment>
    <comment ref="S1098" authorId="3" shapeId="0">
      <text>
        <r>
          <rPr>
            <b/>
            <sz val="9"/>
            <color indexed="81"/>
            <rFont val="Tahoma"/>
            <family val="2"/>
          </rPr>
          <t xml:space="preserve">Cinzia Macovez:
</t>
        </r>
        <r>
          <rPr>
            <sz val="9"/>
            <color indexed="81"/>
            <rFont val="Tahoma"/>
            <family val="2"/>
          </rPr>
          <t>tolto &lt; ricavi -34.568,88
minori ricavi per quote di iscrizione formazione e sponsor</t>
        </r>
      </text>
    </comment>
    <comment ref="U1098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formazione</t>
        </r>
      </text>
    </comment>
    <comment ref="X1098" authorId="3" shapeId="0">
      <text>
        <r>
          <rPr>
            <b/>
            <sz val="9"/>
            <color indexed="81"/>
            <rFont val="Tahoma"/>
            <family val="2"/>
          </rPr>
          <t>Cinzia Macovez:</t>
        </r>
        <r>
          <rPr>
            <sz val="9"/>
            <color indexed="81"/>
            <rFont val="Tahoma"/>
            <family val="2"/>
          </rPr>
          <t xml:space="preserve">
per la formazione inseriti i ricavi degli sponsor le quote di iscrizione c'erano già</t>
        </r>
      </text>
    </comment>
    <comment ref="S1100" authorId="4" shapeId="0">
      <text>
        <r>
          <rPr>
            <b/>
            <sz val="9"/>
            <color indexed="81"/>
            <rFont val="Tahoma"/>
            <family val="2"/>
          </rPr>
          <t xml:space="preserve">cinzia.macovez:
</t>
        </r>
        <r>
          <rPr>
            <sz val="9"/>
            <color indexed="81"/>
            <rFont val="Tahoma"/>
            <family val="2"/>
          </rPr>
          <t>tolto &lt; ricavi -288.948,20
allineato attività+473 per pareggio bilancio</t>
        </r>
      </text>
    </comment>
    <comment ref="U1100" authorId="2" shapeId="0">
      <text>
        <r>
          <rPr>
            <b/>
            <sz val="9"/>
            <color indexed="81"/>
            <rFont val="Tahoma"/>
            <family val="2"/>
          </rPr>
          <t>Alessandra Rachelli:</t>
        </r>
        <r>
          <rPr>
            <sz val="9"/>
            <color indexed="81"/>
            <rFont val="Tahoma"/>
            <family val="2"/>
          </rPr>
          <t xml:space="preserve">
ridotto per abolizione superticket</t>
        </r>
      </text>
    </comment>
    <comment ref="X1100" authorId="4" shapeId="0">
      <text>
        <r>
          <rPr>
            <b/>
            <sz val="9"/>
            <color indexed="81"/>
            <rFont val="Tahoma"/>
            <family val="2"/>
          </rPr>
          <t>cinzia.macovez:</t>
        </r>
        <r>
          <rPr>
            <sz val="9"/>
            <color indexed="81"/>
            <rFont val="Tahoma"/>
            <family val="2"/>
          </rPr>
          <t xml:space="preserve">
allineato attività+473 per pareggio bilancio</t>
        </r>
      </text>
    </comment>
    <comment ref="S1123" authorId="4" shapeId="0">
      <text>
        <r>
          <rPr>
            <b/>
            <sz val="9"/>
            <color indexed="81"/>
            <rFont val="Tahoma"/>
            <family val="2"/>
          </rPr>
          <t xml:space="preserve">cinzia.macovez:
</t>
        </r>
        <r>
          <rPr>
            <sz val="9"/>
            <color indexed="81"/>
            <rFont val="Tahoma"/>
            <family val="2"/>
          </rPr>
          <t>tolto &lt; ricavi 22.174
sirio riduzione per covid</t>
        </r>
      </text>
    </comment>
    <comment ref="X1123" authorId="4" shapeId="0">
      <text>
        <r>
          <rPr>
            <b/>
            <sz val="9"/>
            <color indexed="81"/>
            <rFont val="Tahoma"/>
            <family val="2"/>
          </rPr>
          <t>cinzia.macovez:</t>
        </r>
        <r>
          <rPr>
            <sz val="9"/>
            <color indexed="81"/>
            <rFont val="Tahoma"/>
            <family val="2"/>
          </rPr>
          <t xml:space="preserve">
penali, serenissima,sirio abbonato un mese</t>
        </r>
      </text>
    </comment>
  </commentList>
</comments>
</file>

<file path=xl/sharedStrings.xml><?xml version="1.0" encoding="utf-8"?>
<sst xmlns="http://schemas.openxmlformats.org/spreadsheetml/2006/main" count="8074" uniqueCount="3956">
  <si>
    <t>Conto  Economico</t>
  </si>
  <si>
    <t>Importi: Euro</t>
  </si>
  <si>
    <t xml:space="preserve">Importo </t>
  </si>
  <si>
    <t>%</t>
  </si>
  <si>
    <t>A)</t>
  </si>
  <si>
    <t>VALORE DELLA PRODUZIONE</t>
  </si>
  <si>
    <t>Contributi d'esercizio</t>
  </si>
  <si>
    <t>a) Contributi in conto esercizio da Regione  o Provincia Autonoma per quota F.S. regionale</t>
  </si>
  <si>
    <t>b) Contributi in c/esercizio extra fondo</t>
  </si>
  <si>
    <t>1)  Contributi da Regione o Prov. Aut. (extra fondo) vincolati</t>
  </si>
  <si>
    <t>2)  Contributi da Regione o Prov. Aut. (extra fondo) - Risorse aggiuntive da bilancio regionale a titolo di copertura LEA</t>
  </si>
  <si>
    <t>3)  Contributi da Regione o Prov. Aut. (extra fondo) - Risorse aggiuntive da bilancio regionale a titolo di copertura extra LEA</t>
  </si>
  <si>
    <t>4)  Contributi da Regione o Prov. Aut. (extra fondo) - Altro</t>
  </si>
  <si>
    <t>5)  Contributi da Aziende sanitarie pubbliche (extra fondo)</t>
  </si>
  <si>
    <t>6)  Contributi da altri soggetti pubblici</t>
  </si>
  <si>
    <t>c) Contributi in c/esercizio per ricerca</t>
  </si>
  <si>
    <t>1)  Contributi da Ministero della Salute per ricerca corrente</t>
  </si>
  <si>
    <t>2)  Contributi da Ministero della Salute per ricerca finalizzata</t>
  </si>
  <si>
    <t>3)  Contributi da Regione ed altri soggetti pubblici</t>
  </si>
  <si>
    <t>4)  Contributi da privati</t>
  </si>
  <si>
    <t>d) Contributi in c/esercizio - da privati</t>
  </si>
  <si>
    <t>Rettifiche contributi c/esercizio per destinazione ad investimenti</t>
  </si>
  <si>
    <t>Utilizzo fondi per quote inutilizzate contributi vincolati di esercizi precedenti</t>
  </si>
  <si>
    <t>Ricavi per prestazioni sanitarie e sociosanitarie a rilevanza sanitaria</t>
  </si>
  <si>
    <t>a) Ricavi per prestazioni sanitarie e sociosanitarie - ad aziende sanitarie pubbliche</t>
  </si>
  <si>
    <t>b) Ricavi per prestazioni sanitarie e sociosanitarie - intramoenia</t>
  </si>
  <si>
    <t>c) Ricavi per prestazioni sanitarie e sociosanitarie - altro</t>
  </si>
  <si>
    <t xml:space="preserve">Concorsi, recuperi e rimborsi </t>
  </si>
  <si>
    <t>Compartecipazione alla spesa per prestazioni sanitarie (ticket)</t>
  </si>
  <si>
    <t>Quote contributi in c/capitale imputata nell'esercizio</t>
  </si>
  <si>
    <t>Incrementi delle immobilizzazioni per lavori interni</t>
  </si>
  <si>
    <t>Altri ricavi e proventi</t>
  </si>
  <si>
    <t>TOTALE A)</t>
  </si>
  <si>
    <t>B)</t>
  </si>
  <si>
    <t>COSTI DELLA PRODUZIONE</t>
  </si>
  <si>
    <t>Acquisti di beni</t>
  </si>
  <si>
    <t>a) Acquisti di beni sanitari</t>
  </si>
  <si>
    <t>b) Acquisti di beni non sanitari</t>
  </si>
  <si>
    <t>Acquisti di servizi sanitari</t>
  </si>
  <si>
    <t>a)  Acquisti servizi sanitari - Medicina di base</t>
  </si>
  <si>
    <t>b) Acquisti servizi sanitari - Farmaceutica</t>
  </si>
  <si>
    <t>c) Acquisti servizi sanitari per assistenza specialistica ambulatoriale</t>
  </si>
  <si>
    <t>d)  Acquisti servizi sanitari per assistenza riabilitativa</t>
  </si>
  <si>
    <t>e) Acquisti servizi sanitari per assistenza integrativa</t>
  </si>
  <si>
    <t>f)  Acquisti servizi sanitari per assistenza protesica</t>
  </si>
  <si>
    <t>g) Acquisti servizi sanitari per assistenza ospedaliera</t>
  </si>
  <si>
    <t>h)  Acquisto prestazioni di psichiatria residenziale e semiresidenziale</t>
  </si>
  <si>
    <t>i)  Acquisto prestazioni di distribuzione farmaci File F</t>
  </si>
  <si>
    <t>j)  Acquisto prestazioni termali in convenzione</t>
  </si>
  <si>
    <t>k)  Acquisto prestazioni di trasporto sanitario</t>
  </si>
  <si>
    <t>l)  Acquisto prestazioni Socio-Sanitarie a rilevanza sanitaria</t>
  </si>
  <si>
    <t>m)  Compartecipazione al personale per att. libero-prof. (intramoenia)</t>
  </si>
  <si>
    <t>n)  Rimborsi, assegni e contributi sanitari</t>
  </si>
  <si>
    <t>o)  Consulenze, Collaborazioni,  Interinale e altre prestazioni di lavoro sanitarie e sociosanitarie</t>
  </si>
  <si>
    <t>p) Altri servizi sanitari e sociosanitari a rilevanza sanitaria</t>
  </si>
  <si>
    <t>q) Costi per differenziale tariffe TUC</t>
  </si>
  <si>
    <t>Acquisti di servizi non sanitari</t>
  </si>
  <si>
    <t>a)  Servizi non sanitari</t>
  </si>
  <si>
    <t>b) Consulenze, Collaborazioni, Interinale e altre prestazioni di lavoro non sanitarie</t>
  </si>
  <si>
    <t>c) Formazione</t>
  </si>
  <si>
    <t>Manutenzione e riparazione</t>
  </si>
  <si>
    <t>Godimento di beni di terzi</t>
  </si>
  <si>
    <t>Costi del personale</t>
  </si>
  <si>
    <t>a) Personale dirigente medico</t>
  </si>
  <si>
    <t>b) Personale dirigente ruolo sanitario non medico</t>
  </si>
  <si>
    <t>c) Personale comparto ruolo sanitario</t>
  </si>
  <si>
    <t>d) Personale dirigente altri ruoli</t>
  </si>
  <si>
    <t>e) Personale comparto altri ruoli</t>
  </si>
  <si>
    <t>Oneri diversi di gestione</t>
  </si>
  <si>
    <t xml:space="preserve">Ammortamenti </t>
  </si>
  <si>
    <t>a) Ammortamento immobilizzazioni immateriali</t>
  </si>
  <si>
    <t>b) Ammortamento dei fabbricati</t>
  </si>
  <si>
    <t>c) Ammortamento delle altre immobilizzazioni materiali</t>
  </si>
  <si>
    <t>Svalutazione delle immobilizzazioni e  dei crediti</t>
  </si>
  <si>
    <t>Variazione delle rimanenze</t>
  </si>
  <si>
    <t>a) Variazione delle rimanenze sanitarie</t>
  </si>
  <si>
    <t>b) Variazione delle rimanenze non sanitarie</t>
  </si>
  <si>
    <t>Accantonamenti</t>
  </si>
  <si>
    <t>a) Accantonamenti per rischi</t>
  </si>
  <si>
    <t>b) Accantonamenti per premio operosità</t>
  </si>
  <si>
    <t>c) Accantonamenti per quote inutilizzate di contributi vincolati</t>
  </si>
  <si>
    <t>d) Altri accantonamenti</t>
  </si>
  <si>
    <t>TOTALE B)</t>
  </si>
  <si>
    <t>DIFFERENZA TRA VALORE E COSTI DELLA PRODUZIONE (A-B)</t>
  </si>
  <si>
    <t>C)</t>
  </si>
  <si>
    <t>PROVENTI E ONERI FINANZIARI</t>
  </si>
  <si>
    <t>1)</t>
  </si>
  <si>
    <t xml:space="preserve">Interessi attivi e altri proventi finanziari </t>
  </si>
  <si>
    <t>2)</t>
  </si>
  <si>
    <t xml:space="preserve">Interessi passivi e altri oneri finanziari </t>
  </si>
  <si>
    <t>TOTALE C)</t>
  </si>
  <si>
    <t>TOTALE PROVENTI E ONERI FINANZIARI</t>
  </si>
  <si>
    <t>D)</t>
  </si>
  <si>
    <t>RETTIFICHE DI VALORE DI ATTIVITA' FINANZIARIE</t>
  </si>
  <si>
    <t>Rivalutazioni</t>
  </si>
  <si>
    <t>Svalutazioni</t>
  </si>
  <si>
    <t>TOTALE D)</t>
  </si>
  <si>
    <t>E)</t>
  </si>
  <si>
    <t>PROVENTI E ONERI STRAORDINARI</t>
  </si>
  <si>
    <t>Proventi straordinari</t>
  </si>
  <si>
    <t>a) Plusvalenze</t>
  </si>
  <si>
    <t>b) Altri proventi straordinari</t>
  </si>
  <si>
    <t>Oneri straordinari</t>
  </si>
  <si>
    <t>a) Minusvalenze</t>
  </si>
  <si>
    <t>b) Altri oneri straordinari</t>
  </si>
  <si>
    <t>TOTALE E)</t>
  </si>
  <si>
    <t>TOTALE DELLE PARTITE STRAORDINARIE</t>
  </si>
  <si>
    <t>RISULTATO PRIMA DELLE IMPOSTE (A - B +-C +-D +-E)</t>
  </si>
  <si>
    <t>Y)</t>
  </si>
  <si>
    <t>IMPOSTE SUL REDDITO D'ESERCIZIO</t>
  </si>
  <si>
    <t>IRAP</t>
  </si>
  <si>
    <t>a) IRAP relativa a personale dipendente</t>
  </si>
  <si>
    <t>b) IRAP relativa a collaboratori e personale assimilato a lavoro dipendente</t>
  </si>
  <si>
    <t>c) IRAP relativa ad attività di libera professione (intramoenia)</t>
  </si>
  <si>
    <t>d) IRAP relativa ad attività commerciale</t>
  </si>
  <si>
    <t>IRES</t>
  </si>
  <si>
    <t>3)</t>
  </si>
  <si>
    <t xml:space="preserve"> Accantonamento a F.do Imposte (Accertamenti, condoni, ecc.)</t>
  </si>
  <si>
    <t>TOTALE Y)</t>
  </si>
  <si>
    <t>UTILE (PERDITA) DELL'ESERCIZIO</t>
  </si>
  <si>
    <t>Livello</t>
  </si>
  <si>
    <t xml:space="preserve"> VOCE MODELLO CE</t>
  </si>
  <si>
    <t>CODICE VOCE CE Ministeriale</t>
  </si>
  <si>
    <t>I</t>
  </si>
  <si>
    <t>II</t>
  </si>
  <si>
    <t>III</t>
  </si>
  <si>
    <t>IV</t>
  </si>
  <si>
    <t>V</t>
  </si>
  <si>
    <t>VI</t>
  </si>
  <si>
    <t>Contributi in c/esercizio</t>
  </si>
  <si>
    <t>Contributi da Regione o Prov. Aut. per quota F.S. regionale</t>
  </si>
  <si>
    <t>da Regione o Prov. Aut. per quota F.S. regionale indistinto</t>
  </si>
  <si>
    <t>AA0030</t>
  </si>
  <si>
    <t>AA0031</t>
  </si>
  <si>
    <t>Finanziamento indistinto finalizzato da Regione</t>
  </si>
  <si>
    <t>AA0032</t>
  </si>
  <si>
    <t>AA0033</t>
  </si>
  <si>
    <t>Funzioni Pronto Soccorso</t>
  </si>
  <si>
    <t>AA0034</t>
  </si>
  <si>
    <t>Funzioni Altro</t>
  </si>
  <si>
    <t>AA0035</t>
  </si>
  <si>
    <t>Quota finalizzata per il Piano aziendale di cui all'art. 1, comma 528, L. 208/2015</t>
  </si>
  <si>
    <t>AA0036</t>
  </si>
  <si>
    <t>da Regione o Prov. Aut. per quota F.S. regionale vincolato</t>
  </si>
  <si>
    <t>AA0040</t>
  </si>
  <si>
    <t>Didattica</t>
  </si>
  <si>
    <t>Altri contributi da FS regionale vincolati per attività sovraziendali</t>
  </si>
  <si>
    <t>Altri contributi da FS regionale vincolati</t>
  </si>
  <si>
    <t>Contributi c/esercizio (extra fondo)</t>
  </si>
  <si>
    <t>AA0050</t>
  </si>
  <si>
    <t xml:space="preserve">da Regione o Prov. Aut. (extra fondo) </t>
  </si>
  <si>
    <t>AA0060</t>
  </si>
  <si>
    <t>Contributi da Regione o Prov. Aut. (extra fondo) vincolati</t>
  </si>
  <si>
    <t>AA0070</t>
  </si>
  <si>
    <t>Contributi per anziani non autosufficienti</t>
  </si>
  <si>
    <t>Contributi da Regione per attività sociale</t>
  </si>
  <si>
    <t>Contributi da Regione o Prov. Aut. (extra fondo) vincolati a progetti europei</t>
  </si>
  <si>
    <t>Contributi da Regione o Prov. Aut. (extra fondo) - vincolati a progetti ministeriali</t>
  </si>
  <si>
    <t>Altri contributi da Regione o Prov. Aut. (extra fondo) vincolati - sanità</t>
  </si>
  <si>
    <t>Altri contributi da Regione o Prov. Aut. (extra fondo) vincolati - sociale</t>
  </si>
  <si>
    <t>AA0080</t>
  </si>
  <si>
    <t>AA0090</t>
  </si>
  <si>
    <t>Contributi da Regione o Prov. Aut. (extra fondo) - Altro</t>
  </si>
  <si>
    <t>AA0100</t>
  </si>
  <si>
    <t xml:space="preserve">Contributi da Aziende sanitarie pubbliche della Regione o Prov. Aut. (extra fondo) </t>
  </si>
  <si>
    <t>AA0110</t>
  </si>
  <si>
    <t>Contributi da Aziende sanitarie pubbliche della Regione o Prov. Aut. (extra fondo) vincolati</t>
  </si>
  <si>
    <t>AA0120</t>
  </si>
  <si>
    <t>Contributi da Aziende sanitarie pubbliche della Regione o Prov. Aut. (extra fondo) altro</t>
  </si>
  <si>
    <t>AA0130</t>
  </si>
  <si>
    <t xml:space="preserve">Contributi da Ministero della Salute e da altri soggetti pubblici (extra fondo) </t>
  </si>
  <si>
    <t>AA0140</t>
  </si>
  <si>
    <t xml:space="preserve">Contributi da Ministero della Salute  (extra fondo) </t>
  </si>
  <si>
    <t>AA0141</t>
  </si>
  <si>
    <t>Contributi da altri soggetti pubblici (extra fondo) vincolati</t>
  </si>
  <si>
    <t>AA0150</t>
  </si>
  <si>
    <t>Da Ministero dell'Università</t>
  </si>
  <si>
    <t>Da comuni per attività sanitaria</t>
  </si>
  <si>
    <t>Da comuni per attività socio assistenziale territoriale delegata</t>
  </si>
  <si>
    <t>Da Provincia</t>
  </si>
  <si>
    <t>Altri contributi da altri soggetti pubblici (extra fondo) vincolati - attività sanitaria</t>
  </si>
  <si>
    <t>Altri contributi da altri soggetti pubblici (extra fondo) vincolati - attività socio assistenziale territoriale delegata</t>
  </si>
  <si>
    <t>Contributi da altri soggetti pubblici (extra fondo) L. 210/92</t>
  </si>
  <si>
    <t>AA0160</t>
  </si>
  <si>
    <t>Contributi da altri soggetti pubblici (extra fondo) altro</t>
  </si>
  <si>
    <t>AA0170</t>
  </si>
  <si>
    <t>Contibuti da altri soggetti pubblici (extra fondo) - in attuazione dell’art.79, comma 1 sexies lettera c), del D.L. 112/2008, convertito con legge 133/2008 e della legge 23 dicembre 2009 n. 191</t>
  </si>
  <si>
    <t>AA0171</t>
  </si>
  <si>
    <t>Contributi c/esercizio per ricerca</t>
  </si>
  <si>
    <t>AA0180</t>
  </si>
  <si>
    <t>Contributi da Ministero della Salute per ricerca corrente</t>
  </si>
  <si>
    <t>AA0190</t>
  </si>
  <si>
    <t>Contributi da Ministero della Salute per ricerca finalizzata</t>
  </si>
  <si>
    <t>AA0200</t>
  </si>
  <si>
    <t>Contributi da Regione ed altri soggetti pubblici per ricerca</t>
  </si>
  <si>
    <t>AA0210</t>
  </si>
  <si>
    <t>Ricerca da Regione</t>
  </si>
  <si>
    <t>Ricerca da altri</t>
  </si>
  <si>
    <t>Contributi da privati per ricerca</t>
  </si>
  <si>
    <t>AA0220</t>
  </si>
  <si>
    <t>Contributi c/esercizio da privati</t>
  </si>
  <si>
    <t>AA0230</t>
  </si>
  <si>
    <t>Rettifica contributi c/esercizio per destinazione ad investimenti</t>
  </si>
  <si>
    <t>AA0240</t>
  </si>
  <si>
    <t>Rettifica contributi in c/esercizio per destinazione ad investimenti - da Regione o Prov. Aut. per quota F.S. regionale</t>
  </si>
  <si>
    <t>AA0250</t>
  </si>
  <si>
    <t>Rettifica contributi in c/esercizio per destinazione ad investimenti - altri contributi</t>
  </si>
  <si>
    <t>AA0260</t>
  </si>
  <si>
    <t>Utilizzo fondi per quote inutilizzate contributi finalizzati e vincolati di esercizi precedenti</t>
  </si>
  <si>
    <t>AA0270</t>
  </si>
  <si>
    <t>Utilizzo fondi per quote inutilizzate contributi di esercizi precedenti da Regione o Prov. Aut. per quota F.S. regionale indistinto finalizzato</t>
  </si>
  <si>
    <t>AA0271</t>
  </si>
  <si>
    <t>Utilizzo fondi per quote inutilizzate contributi di esercizi precedenti da Regione o Prov. Aut. per quota F.S. regionale vincolato</t>
  </si>
  <si>
    <t>AA0280</t>
  </si>
  <si>
    <t>Utilizzo fondi per quote inutilizzate contributi di esercizi precedenti da soggetti pubblici (extra fondo) vincolati</t>
  </si>
  <si>
    <t>AA0290</t>
  </si>
  <si>
    <t>Utilizzo fondi per quote inutilizzate contributi di esercizi precedenti per ricerca</t>
  </si>
  <si>
    <t>AA0300</t>
  </si>
  <si>
    <t>Utilizzo fondi per quote inutilizzate contributi vincolati di esercizi precedenti da privati</t>
  </si>
  <si>
    <t>AA0310</t>
  </si>
  <si>
    <t>AA320</t>
  </si>
  <si>
    <t xml:space="preserve">Ricavi per prestazioni sanitarie e sociosanitarie a rilevanza sanitaria erogate a soggetti pubblici </t>
  </si>
  <si>
    <t>AA0330</t>
  </si>
  <si>
    <t>Ricavi per prestaz. sanitarie  e sociosanitarie a rilevanza sanitaria erogate ad Aziende sanitarie pubbliche della Regione</t>
  </si>
  <si>
    <t>AA0340</t>
  </si>
  <si>
    <t>Prestazioni di ricovero</t>
  </si>
  <si>
    <t>AA0350</t>
  </si>
  <si>
    <t>Rimborso per prestazioni in regime di ricovero (DRG)</t>
  </si>
  <si>
    <t>Rimborso per prestazioni fatturate in regime di ricovero</t>
  </si>
  <si>
    <t>Prestazioni di specialistica ambulatoriale</t>
  </si>
  <si>
    <t>AA0360</t>
  </si>
  <si>
    <t>Rimborso per prestazioni ambulatoriali e diagnostiche</t>
  </si>
  <si>
    <t>Rimborso per prestazioni ambulatoriali e diagnostiche fatturate</t>
  </si>
  <si>
    <t>AA0361</t>
  </si>
  <si>
    <t>Prestazioni di psichiatria residenziale e semiresidenziale</t>
  </si>
  <si>
    <t>AA0370</t>
  </si>
  <si>
    <t>Prestazioni di File F</t>
  </si>
  <si>
    <t>AA0380</t>
  </si>
  <si>
    <t>Prestazioni servizi MMG, PLS, Contin. assistenziale</t>
  </si>
  <si>
    <t>AA0390</t>
  </si>
  <si>
    <t>Prestazioni servizi farmaceutica convenzionata</t>
  </si>
  <si>
    <t>AA0400</t>
  </si>
  <si>
    <t>Prestazioni termali</t>
  </si>
  <si>
    <t>AA0410</t>
  </si>
  <si>
    <t>Prestazioni trasporto ambulanze ed elisoccorso</t>
  </si>
  <si>
    <t>AA0420</t>
  </si>
  <si>
    <t>Prestazioni assistenza integrativa</t>
  </si>
  <si>
    <t>AA0421</t>
  </si>
  <si>
    <t>Prestazioni assistenza protesica</t>
  </si>
  <si>
    <t>AA0422</t>
  </si>
  <si>
    <t>Prestazioni assistenza riabilitativa extraospedaliera</t>
  </si>
  <si>
    <t>AA0423</t>
  </si>
  <si>
    <t>Ricavi per cessione di emocomponenti e cellule staminali</t>
  </si>
  <si>
    <t>AA0424</t>
  </si>
  <si>
    <t>Prestazioni assistenza domiciliare integrata (ADI)</t>
  </si>
  <si>
    <t>AA0425</t>
  </si>
  <si>
    <t xml:space="preserve">Altre prestazioni sanitarie e socio-sanitarie a rilevanza sanitaria </t>
  </si>
  <si>
    <t>AA0430</t>
  </si>
  <si>
    <t>Consulenze sanitarie</t>
  </si>
  <si>
    <t xml:space="preserve">Ricavi per prestaz. sanitarie e sociosanitarie a rilevanza sanitaria erogate ad altri soggetti pubblici </t>
  </si>
  <si>
    <t>AA0440</t>
  </si>
  <si>
    <t>Ricavi per prestaz. sanitarie e sociosanitarie a rilevanza sanitaria erogate a soggetti pubblici Extraregione</t>
  </si>
  <si>
    <t>AA0450</t>
  </si>
  <si>
    <t>AA0460</t>
  </si>
  <si>
    <t>Rimborso per prestazioni in regime di ricovero in compensazione</t>
  </si>
  <si>
    <t>Prestazioni ambulatoriali</t>
  </si>
  <si>
    <t>AA0470</t>
  </si>
  <si>
    <t>Rimborso per prestazioni ambulatoriali e diagnostiche in compensazione</t>
  </si>
  <si>
    <t>Prestazioni pronto soccorso non seguite da ricovero</t>
  </si>
  <si>
    <t>AA0471</t>
  </si>
  <si>
    <t>Prestazioni di psichiatria non soggetta a compensazione (resid. e semiresid.)</t>
  </si>
  <si>
    <t>AA0480</t>
  </si>
  <si>
    <t>AA0490</t>
  </si>
  <si>
    <t>Prestazioni servizi MMG, PLS, Contin. assistenziale Extraregione</t>
  </si>
  <si>
    <t>AA0500</t>
  </si>
  <si>
    <t>Prestazioni servizi farmaceutica convenzionata Extraregione</t>
  </si>
  <si>
    <t>AA0510</t>
  </si>
  <si>
    <t>Prestazioni termali Extraregione</t>
  </si>
  <si>
    <t>AA0520</t>
  </si>
  <si>
    <t>Prestazioni trasporto ambulanze ed elisoccorso Extraregione</t>
  </si>
  <si>
    <t>AA0530</t>
  </si>
  <si>
    <t>Prestazioni assistenza integrativa da pubblico (extraregione)</t>
  </si>
  <si>
    <t>AA0541</t>
  </si>
  <si>
    <t>Prestazioni assistenza protesica da pubblico (extraregione)</t>
  </si>
  <si>
    <t>AA0542</t>
  </si>
  <si>
    <t>Ricavi per cessione di emocomponenti e cellule staminali Extraregione</t>
  </si>
  <si>
    <t>AA0550</t>
  </si>
  <si>
    <t>AA0560</t>
  </si>
  <si>
    <t>Ricavi GSA per differenziale saldo mobilità interregionale</t>
  </si>
  <si>
    <t>Altre prestazioni sanitarie e sociosanitarie a rilevanza sanitaria erogate a soggetti pubblici Extraregione</t>
  </si>
  <si>
    <t>AA0561</t>
  </si>
  <si>
    <t>Altre prestazioni sanitarie e sociosanitarie a rilevanza sanitaria non soggette a compensazione Extraregione</t>
  </si>
  <si>
    <t>AA0570</t>
  </si>
  <si>
    <t>Prestazioni di assistenza riabilitativa non soggette a compensazione Extraregione</t>
  </si>
  <si>
    <t>AA0580</t>
  </si>
  <si>
    <t>Altre prestazioni sanitarie e socio-sanitarie a rilevanza sanitaria non soggette a compensazione Extraregione</t>
  </si>
  <si>
    <t>AA0590</t>
  </si>
  <si>
    <t>Altre prestazioni sanitarie a rilevanza sanitaria - Mobilità attiva Internazionale</t>
  </si>
  <si>
    <t>AA0600</t>
  </si>
  <si>
    <t>Altre prestazioni sanitarie a rilevanza sanitaria - Mobilità attiva Internazionale rilevata dalle AO, AOU, IRCCS.</t>
  </si>
  <si>
    <t>AA0601</t>
  </si>
  <si>
    <t>Altre prestazioni sanitarie e sociosanitarie a rilevanza sanitaria ad Aziende sanitarie e casse mutua estera - (fatturate direttamente)</t>
  </si>
  <si>
    <t>AA0602</t>
  </si>
  <si>
    <t>Ricavi per prestazioni sanitarie e sociosanitarie a rilevanza sanitaria erogate da privati v/residenti Extraregione in compensazione (mobilità attiva)</t>
  </si>
  <si>
    <t>AA0610</t>
  </si>
  <si>
    <t>Prestazioni di ricovero da priv. Extraregione in compensazione (mobilità attiva)</t>
  </si>
  <si>
    <t>AA0620</t>
  </si>
  <si>
    <t>Prestazioni ambulatoriali da priv. Extraregione in compensazione  (mobilità attiva)</t>
  </si>
  <si>
    <t>AA0630</t>
  </si>
  <si>
    <t>Prestazioni  di pronto soccorso non segute da ricovero da priv. Extraregione in compensazione  (mobilità attiva)</t>
  </si>
  <si>
    <t>AA0631</t>
  </si>
  <si>
    <t>Prestazioni di File F da priv. Extraregione in compensazione (mobilità attiva)</t>
  </si>
  <si>
    <t>AA0640</t>
  </si>
  <si>
    <t>Altre prestazioni sanitarie e sociosanitarie a rilevanza sanitaria erogate da privati v/residenti Extraregione in compensazione (mobilità attiva)</t>
  </si>
  <si>
    <t>AA0650</t>
  </si>
  <si>
    <t xml:space="preserve">Ricavi per prestazioni sanitarie e sociosanitarie a rilevanza sanitaria erogate a privati </t>
  </si>
  <si>
    <t>AA0660</t>
  </si>
  <si>
    <t>Prestazioni di natura ospedaliera:</t>
  </si>
  <si>
    <t>Retta accompagnatori</t>
  </si>
  <si>
    <t>Maggiorazione per scelta medico specialista</t>
  </si>
  <si>
    <t>Servizio di Pronto Soccorso</t>
  </si>
  <si>
    <t xml:space="preserve">Trasporti in ambulanza </t>
  </si>
  <si>
    <t>Altre prestazioni di natura ospedaliera</t>
  </si>
  <si>
    <t>Prestazioni di natura territoriale:</t>
  </si>
  <si>
    <t>Rette R.S.A.</t>
  </si>
  <si>
    <t>Rette case di riposo</t>
  </si>
  <si>
    <t>Servizio Medicina del lavoro</t>
  </si>
  <si>
    <t>Servizio Prevenzione e Sicurezza Ambienti di lavoro</t>
  </si>
  <si>
    <t>Servizio Igiene e Sanità pubblica</t>
  </si>
  <si>
    <t>Servizio Igiene dell'abitato e dell'abitazione</t>
  </si>
  <si>
    <t>Servizio Igiene degli alimenti</t>
  </si>
  <si>
    <t>Servizio Disinfezioni, disinfestazioni, derattizzazioni</t>
  </si>
  <si>
    <t>Servizio Impiantistico antinfortunistico</t>
  </si>
  <si>
    <t>Servizio Fisico ambientale</t>
  </si>
  <si>
    <t>Diritti veterinari</t>
  </si>
  <si>
    <t>Sanzioni amministrative</t>
  </si>
  <si>
    <t>Sanzioni amministrative sul lavoro</t>
  </si>
  <si>
    <t>Servizio medicina legale: visite mediche e certificazioni</t>
  </si>
  <si>
    <t>Servizio medicina legale: visite med fiscali lav. dipendenti:</t>
  </si>
  <si>
    <t>dipendenti pubblici</t>
  </si>
  <si>
    <t>dipendenti privati</t>
  </si>
  <si>
    <t>Altre prestazioni di natura territoriale</t>
  </si>
  <si>
    <t>Prestazioni amministrative e gestionali</t>
  </si>
  <si>
    <t>Consulenze</t>
  </si>
  <si>
    <t>Diritti per rilascio certificati, cartelle cliniche e fotocopie</t>
  </si>
  <si>
    <t>Corrispettivi per diritti sanitari</t>
  </si>
  <si>
    <t>Sperimentazioni</t>
  </si>
  <si>
    <t>Cessione plasma</t>
  </si>
  <si>
    <t>Altri proventi e ricavi diversi:</t>
  </si>
  <si>
    <t>Ricavi c/transitorio</t>
  </si>
  <si>
    <t>Altri proventi e ricavi diversi</t>
  </si>
  <si>
    <t>Ricavi per prestazioni sanitarie erogate in regime di intramoenia</t>
  </si>
  <si>
    <t>Ricavi per prestazioni sanitarie intramoenia - Area ospedaliera</t>
  </si>
  <si>
    <t>AA0680</t>
  </si>
  <si>
    <t>Ricavi per prestazioni sanitarie intramoenia - Area specialistica</t>
  </si>
  <si>
    <t>AA0690</t>
  </si>
  <si>
    <t>Ricavi per prestazioni sanitarie intramoenia - Area sanità pubblica</t>
  </si>
  <si>
    <t>AA0700</t>
  </si>
  <si>
    <t>Ricavi per prestazioni sanitarie intramoenia - Consulenze (ex art. 55 c.1 lett. c), d) ed ex art. 57-58)</t>
  </si>
  <si>
    <t>AA0710</t>
  </si>
  <si>
    <t>Ricavi per prestazioni sanitarie intramoenia - Consulenze (ex art. 55 c.1 lett. c), d) ed ex art. 57-58) (Aziende sanitarie pubbliche della Regione)</t>
  </si>
  <si>
    <t>AA0720</t>
  </si>
  <si>
    <t>Ricavi per prestazioni sanitarie intramoenia - Altro</t>
  </si>
  <si>
    <t>AA0730</t>
  </si>
  <si>
    <t>Ricavi per prestazioni sanitarie intramoenia - Altro (Aziende sanitarie pubbliche della Regione)</t>
  </si>
  <si>
    <t>AA0740</t>
  </si>
  <si>
    <t>Concorsi, recuperi e rimborsi</t>
  </si>
  <si>
    <t>Rimborsi assicurativi</t>
  </si>
  <si>
    <t>AA0760</t>
  </si>
  <si>
    <t>Concorsi, recuperi e rimborsi da Regione</t>
  </si>
  <si>
    <t>Rimborso degli oneri stipendiali del personale dell'azienda in posizione di comando presso la Regione</t>
  </si>
  <si>
    <t>AA0780</t>
  </si>
  <si>
    <t>Altri concorsi, recuperi e rimborsi da parte della Regione</t>
  </si>
  <si>
    <t>AA0790</t>
  </si>
  <si>
    <t>Concorsi, recuperi e rimborsi da Aziende sanitarie pubbliche della Regione</t>
  </si>
  <si>
    <t>Rimborso degli oneri stipendiali del personale dipendente dell'azienda in posizione di comando presso Aziende sanitarie pubbliche della Regione</t>
  </si>
  <si>
    <t>AA0810</t>
  </si>
  <si>
    <t>Rimborsi per acquisto beni da parte di Aziende sanitarie pubbliche della Regione</t>
  </si>
  <si>
    <t>AA0820</t>
  </si>
  <si>
    <t>Altri concorsi, recuperi e rimborsi da parte di Aziende sanitarie pubbliche della Regione</t>
  </si>
  <si>
    <t>AA0830</t>
  </si>
  <si>
    <t>Consulenze non sanitarie</t>
  </si>
  <si>
    <t>Altri concorsi, recuperi e rimborsi</t>
  </si>
  <si>
    <t>Altri concorsi, recuperi e rimborsi da parte della Regione - GSA</t>
  </si>
  <si>
    <t>AA0831</t>
  </si>
  <si>
    <t>Concorsi, recuperi e rimborsi da altri soggetti pubblici</t>
  </si>
  <si>
    <t>AA0840</t>
  </si>
  <si>
    <t>Rimborso degli oneri stipendiali del personale dipendente dell'azienda in posizione di comando presso altri soggetti pubblici</t>
  </si>
  <si>
    <t>AA0850</t>
  </si>
  <si>
    <t>Rimborsi per acquisto beni da parte di altri soggetti pubblici</t>
  </si>
  <si>
    <t>AA0860</t>
  </si>
  <si>
    <t>Altri concorsi, recuperi e rimborsi da parte di altri soggetti pubblici</t>
  </si>
  <si>
    <t>AA0870</t>
  </si>
  <si>
    <t>Da comuni per integrazione rette in R.S.A.</t>
  </si>
  <si>
    <t>Da comuni per integrazione rette in attività sociale</t>
  </si>
  <si>
    <t>Rimborso INAIL infortuni personale dipendente</t>
  </si>
  <si>
    <t>Prestazioni amministrative e gestionali extra - regionali</t>
  </si>
  <si>
    <t>Consulenze non sanitarie extra - regionali</t>
  </si>
  <si>
    <t>Concorsi, recuperi e rimborsi da privati</t>
  </si>
  <si>
    <t>AA0880</t>
  </si>
  <si>
    <t>Rimborso da aziende farmaceutiche per Pay back</t>
  </si>
  <si>
    <t>AA0890</t>
  </si>
  <si>
    <t>Pay-back per il superamento del tetto della spesa farmaceutica territoriale</t>
  </si>
  <si>
    <t>AA0900</t>
  </si>
  <si>
    <t>Pay-back per superamento del tetto della spesa farmaceutica ospedaliera</t>
  </si>
  <si>
    <t>AA0910</t>
  </si>
  <si>
    <t>Ulteriore Pay-back</t>
  </si>
  <si>
    <t>AA0920</t>
  </si>
  <si>
    <t>Rimborso per Pay back sui dispositivi medici</t>
  </si>
  <si>
    <t>AA0921</t>
  </si>
  <si>
    <t>Altri concorsi, recuperi e rimborsi da privati</t>
  </si>
  <si>
    <t>AA0930</t>
  </si>
  <si>
    <t>Uso telefono e TV degenti</t>
  </si>
  <si>
    <t>Da parte del personale nelle spese per vitto, vestiario e alloggio</t>
  </si>
  <si>
    <t>Da privati per attività sociale in favore di minori, disabili e altri</t>
  </si>
  <si>
    <t>Rimborso spese di bollo</t>
  </si>
  <si>
    <t>Recupero spese di registrazione</t>
  </si>
  <si>
    <t>Recupero spese legali</t>
  </si>
  <si>
    <t>Recupero spese telefoniche</t>
  </si>
  <si>
    <t>Recupero spese postali</t>
  </si>
  <si>
    <t>Tasse ammissione concorsi</t>
  </si>
  <si>
    <t>Rimborso vitto e alloggio da non dipendenti (per attività sanitaria)</t>
  </si>
  <si>
    <t>Rimborso spese viaggio e soggiorno su consulenze</t>
  </si>
  <si>
    <t>Rimborso contributi su consulenze</t>
  </si>
  <si>
    <t>Compartecipazione alla spesa per prestazioni sanitarie (Ticket)</t>
  </si>
  <si>
    <t>AA0940</t>
  </si>
  <si>
    <t>AA0950</t>
  </si>
  <si>
    <t>Compartecipazione alla spesa per prestazioni sanitarie - Ticket sul pronto soccorso</t>
  </si>
  <si>
    <t>AA0960</t>
  </si>
  <si>
    <t>Compartecipazione alla spesa per prestazioni sanitarie (Ticket) - Altro</t>
  </si>
  <si>
    <t>AA0970</t>
  </si>
  <si>
    <t>Quota contributi c/capitale imputata all'esercizio</t>
  </si>
  <si>
    <t>AA0980</t>
  </si>
  <si>
    <t>Quota imputata all'esercizio dei finanziamenti per investimenti dallo Stato</t>
  </si>
  <si>
    <t>AA0990</t>
  </si>
  <si>
    <t xml:space="preserve">Quota imputata all'esercizio dei finanziamenti per investimenti da Regione </t>
  </si>
  <si>
    <t>AA1000</t>
  </si>
  <si>
    <t>Quota imputata all'esercizio dei finanziamenti per beni di prima dotazione</t>
  </si>
  <si>
    <t>AA1010</t>
  </si>
  <si>
    <t>Quota imputata all'esercizio dei contributi in c/ esercizio FSR destinati ad investimenti</t>
  </si>
  <si>
    <t>AA1020</t>
  </si>
  <si>
    <t>Quota imputata all'esercizio degli altri contributi in c/ esercizio destinati ad investimenti</t>
  </si>
  <si>
    <t>AA1030</t>
  </si>
  <si>
    <t>Quota imputata all'esercizio di altre poste del patrimonio netto</t>
  </si>
  <si>
    <t>AA1040</t>
  </si>
  <si>
    <t>AA1050</t>
  </si>
  <si>
    <t>AA1060</t>
  </si>
  <si>
    <t>Ricavi per prestazioni non sanitarie</t>
  </si>
  <si>
    <t>AA1070</t>
  </si>
  <si>
    <t>Differenze alberghiere camere speciali</t>
  </si>
  <si>
    <t>Cessione liquidi di fissaggio, rottami e materiali diversi</t>
  </si>
  <si>
    <t>Altri ricavi per prestazioni non sanitarie</t>
  </si>
  <si>
    <t>Fitti attivi ed altri proventi da attività immobiliari</t>
  </si>
  <si>
    <t>AA1080</t>
  </si>
  <si>
    <t>Rimborso spese condominiali</t>
  </si>
  <si>
    <t>Locazioni attive</t>
  </si>
  <si>
    <t>Altri fitti attivi ed altri proventi da attività immobiliari</t>
  </si>
  <si>
    <t>Altri proventi diversi</t>
  </si>
  <si>
    <t>AA1090</t>
  </si>
  <si>
    <t>Cessione gestione esercizi pubblici e macchine distributrici</t>
  </si>
  <si>
    <t>Donazioni e lasciti</t>
  </si>
  <si>
    <t>Interessi attivi</t>
  </si>
  <si>
    <t>CA0010</t>
  </si>
  <si>
    <t>Interessi attivi su c/tesoreria unica</t>
  </si>
  <si>
    <t>CA0020</t>
  </si>
  <si>
    <t>Interessi attivi su c/c postali e bancari</t>
  </si>
  <si>
    <t>CA0030</t>
  </si>
  <si>
    <t>Interessi attivi su depositi bancari</t>
  </si>
  <si>
    <t>Interessi attivi su depositi postali</t>
  </si>
  <si>
    <t>Altri interessi attivi</t>
  </si>
  <si>
    <t>CA0040</t>
  </si>
  <si>
    <t>Interessi attivi su titoli</t>
  </si>
  <si>
    <t>Interessi moratori e legali</t>
  </si>
  <si>
    <t>Altri proventi</t>
  </si>
  <si>
    <t>CA0050</t>
  </si>
  <si>
    <t>Proventi da partecipazioni</t>
  </si>
  <si>
    <t>CA0060</t>
  </si>
  <si>
    <t>Proventi finanziari da crediti iscritti nelle immobilizzazioni</t>
  </si>
  <si>
    <t>CA0070</t>
  </si>
  <si>
    <t>Proventi finanziari da titoli iscritti nelle immobilizzazioni</t>
  </si>
  <si>
    <t>CA0080</t>
  </si>
  <si>
    <t>Altri proventi finanziari diversi dai precedenti</t>
  </si>
  <si>
    <t>CA0090</t>
  </si>
  <si>
    <t>Utili su cambi</t>
  </si>
  <si>
    <t>CA0100</t>
  </si>
  <si>
    <t>Rivalutazioni per rettifiche di valori di attività finanziarie</t>
  </si>
  <si>
    <t>DA0010</t>
  </si>
  <si>
    <t>EA0010</t>
  </si>
  <si>
    <t>Plusvalenze</t>
  </si>
  <si>
    <t>EA0020</t>
  </si>
  <si>
    <t>Altri proventi straordinari</t>
  </si>
  <si>
    <t>EA0030</t>
  </si>
  <si>
    <t>Proventi da donazioni e liberalità diverse</t>
  </si>
  <si>
    <t>EA0040</t>
  </si>
  <si>
    <t>Sopravvenienze attive</t>
  </si>
  <si>
    <t>EA0050</t>
  </si>
  <si>
    <t>Sopravvenienze attive per quote FS vincolato</t>
  </si>
  <si>
    <t>EA0051</t>
  </si>
  <si>
    <t xml:space="preserve">Sopravvenienze attive v/Aziende sanitarie pubbliche della Regione </t>
  </si>
  <si>
    <t>EA0060</t>
  </si>
  <si>
    <t>Sopravvenienze attive v/terzi</t>
  </si>
  <si>
    <t>EA0070</t>
  </si>
  <si>
    <t>Sopravvenienze attive v/terzi relative alla mobilità extraregionale</t>
  </si>
  <si>
    <t>EA0080</t>
  </si>
  <si>
    <t>Sopravvenienze attive v/terzi relative al personale</t>
  </si>
  <si>
    <t>EA0090</t>
  </si>
  <si>
    <t>Sopravvenienze attive v/terzi relative alle convenzioni con medici di base</t>
  </si>
  <si>
    <t>EA0100</t>
  </si>
  <si>
    <t>Sopravvenienze attive v/terzi relative alle convenzioni per la specialistica</t>
  </si>
  <si>
    <t>EA0110</t>
  </si>
  <si>
    <t>Sopravvenienze attive v/terzi relative all'acquisto prestaz. sanitarie da operatori accreditati</t>
  </si>
  <si>
    <t>EA0120</t>
  </si>
  <si>
    <t>Sopravvenienze attive v/terzi relative all'acquisto di beni e servizi</t>
  </si>
  <si>
    <t>EA0130</t>
  </si>
  <si>
    <t>Altre sopravvenienze attive v/terzi</t>
  </si>
  <si>
    <t>EA0140</t>
  </si>
  <si>
    <t xml:space="preserve">Insussistenze attive </t>
  </si>
  <si>
    <t>Insussistenze attive v/Aziende sanitarie pubbliche della Regione</t>
  </si>
  <si>
    <t>EA0160</t>
  </si>
  <si>
    <t>Insussistenze attive v/terzi</t>
  </si>
  <si>
    <t>Insussistenze attive v/terzi relative alla mobilità extraregionale</t>
  </si>
  <si>
    <t>EA0180</t>
  </si>
  <si>
    <t>Insussistenze attive v/terzi relative al personale</t>
  </si>
  <si>
    <t>EA0190</t>
  </si>
  <si>
    <t>Insussistenze attive v/terzi relative alle convenzioni con medici di base</t>
  </si>
  <si>
    <t>EA0200</t>
  </si>
  <si>
    <t>Insussistenze attive v/terzi relative alle convenzioni per la specialistica</t>
  </si>
  <si>
    <t>EA0210</t>
  </si>
  <si>
    <t>Insussistenze attive v/terzi relative all'acquisto prestaz. sanitarie da operatori accreditati</t>
  </si>
  <si>
    <t>EA0220</t>
  </si>
  <si>
    <t>Insussistenze attive v/terzi relative all'acquisto di beni e servizi</t>
  </si>
  <si>
    <t>EA0230</t>
  </si>
  <si>
    <t>Altre insussistenze attive v/terzi</t>
  </si>
  <si>
    <t>EA0240</t>
  </si>
  <si>
    <t>EA0250</t>
  </si>
  <si>
    <t>Totale ricavi</t>
  </si>
  <si>
    <t>Totale costi</t>
  </si>
  <si>
    <t>Risultato</t>
  </si>
  <si>
    <t>ACQUISTI DI BENI</t>
  </si>
  <si>
    <t>BA0010</t>
  </si>
  <si>
    <t>Acquisti di beni sanitari</t>
  </si>
  <si>
    <t>BA0020</t>
  </si>
  <si>
    <t>Prodotti farmaceutici ed emoderivati</t>
  </si>
  <si>
    <t>BA0030</t>
  </si>
  <si>
    <t>Medicinali con AIC, ad eccezione di vaccini ed emoderivati di produzione regionale</t>
  </si>
  <si>
    <t>BA0040</t>
  </si>
  <si>
    <t>Medicinali con AIC, ad eccezione di vaccini, emoderivati di produzione regionale, ossigeno e altri gas medicali</t>
  </si>
  <si>
    <t>Medicinali senza AIC</t>
  </si>
  <si>
    <t>BA0050</t>
  </si>
  <si>
    <t>Ossigeno e altri gas medicali</t>
  </si>
  <si>
    <t>BA0051</t>
  </si>
  <si>
    <t>Emoderivati di produzione regionale</t>
  </si>
  <si>
    <t>BA0060</t>
  </si>
  <si>
    <t>Emoderivati di produzione regionale da pubblico (Aziende sanitarie pubbliche della Regione) - Mobilità intraregionale</t>
  </si>
  <si>
    <t>BA0061</t>
  </si>
  <si>
    <t>Emoderivati di produzione regionale da pubblico (Aziende sanitarie pubbliche della Regione) - Mobilità extraregionale</t>
  </si>
  <si>
    <t>BA0062</t>
  </si>
  <si>
    <t>Emoderivati di produzione regionale da altri soggetti</t>
  </si>
  <si>
    <t>BA0063</t>
  </si>
  <si>
    <t>Sangue ed emocomponenti</t>
  </si>
  <si>
    <t>BA0070</t>
  </si>
  <si>
    <t>da pubblico (Aziende sanitarie pubbliche della Regione) – Mobilità intraregionale</t>
  </si>
  <si>
    <t>BA0080</t>
  </si>
  <si>
    <t>da pubblico (Aziende sanitarie pubbliche extra Regione) – Mobilità extraregionale</t>
  </si>
  <si>
    <t>BA0090</t>
  </si>
  <si>
    <t>da altri soggetti</t>
  </si>
  <si>
    <t>BA0100</t>
  </si>
  <si>
    <t>Dispositivi medici</t>
  </si>
  <si>
    <t>BA0210</t>
  </si>
  <si>
    <t xml:space="preserve">Dispositivi medici </t>
  </si>
  <si>
    <t>BA0220</t>
  </si>
  <si>
    <t>Dispositivi medici impiantabili attivi</t>
  </si>
  <si>
    <t>BA0230</t>
  </si>
  <si>
    <t>Dispositivi medico diagnostici in vitro (IVD)</t>
  </si>
  <si>
    <t>BA0240</t>
  </si>
  <si>
    <t>Prodotti dietetici</t>
  </si>
  <si>
    <t>BA0250</t>
  </si>
  <si>
    <t>Materiali per la profilassi (vaccini)</t>
  </si>
  <si>
    <t>BA0260</t>
  </si>
  <si>
    <t>Prodotti chimici</t>
  </si>
  <si>
    <t>BA0270</t>
  </si>
  <si>
    <t>Materiali e prodotti per uso veterinario</t>
  </si>
  <si>
    <t>BA0280</t>
  </si>
  <si>
    <t>Altri beni e prodotti sanitari</t>
  </si>
  <si>
    <t>BA0290</t>
  </si>
  <si>
    <t>Beni e prodotti sanitari da Aziende sanitarie pubbliche della Regione</t>
  </si>
  <si>
    <t>BA0300</t>
  </si>
  <si>
    <t>BA0301</t>
  </si>
  <si>
    <t>BA0303</t>
  </si>
  <si>
    <t>BA0304</t>
  </si>
  <si>
    <t>BA0305</t>
  </si>
  <si>
    <t>BA0306</t>
  </si>
  <si>
    <t>BA0307</t>
  </si>
  <si>
    <t xml:space="preserve">Altri beni e prodotti sanitari </t>
  </si>
  <si>
    <t>BA0308</t>
  </si>
  <si>
    <t>Acquisti di beni non sanitari</t>
  </si>
  <si>
    <t>BA0310</t>
  </si>
  <si>
    <t>Prodotti alimentari</t>
  </si>
  <si>
    <t>BA0320</t>
  </si>
  <si>
    <t>Materiali di guardaroba, di pulizia e di convivenza in genere</t>
  </si>
  <si>
    <t>BA0330</t>
  </si>
  <si>
    <t>Combustibili, carburanti e lubrificanti</t>
  </si>
  <si>
    <t>BA0340</t>
  </si>
  <si>
    <t>Supporti informatici e cancelleria</t>
  </si>
  <si>
    <t>BA0350</t>
  </si>
  <si>
    <t>Cancelleria e stampati</t>
  </si>
  <si>
    <t>Materiali di consumo per l'informatica</t>
  </si>
  <si>
    <t>Materiale didattico, audiovisivo e fotografico</t>
  </si>
  <si>
    <t>Materiale per la manutenzione</t>
  </si>
  <si>
    <t>BA0360</t>
  </si>
  <si>
    <t>Materiali ed accessori per beni sanitari</t>
  </si>
  <si>
    <t>Materiali ed accessori per beni non sanitari</t>
  </si>
  <si>
    <t>Altri beni e prodotti non sanitari</t>
  </si>
  <si>
    <t>BA0370</t>
  </si>
  <si>
    <t>Beni e prodotti non sanitari da Aziende sanitarie pubbliche della Regione</t>
  </si>
  <si>
    <t>BA0380</t>
  </si>
  <si>
    <t>Altri beni e prodotti non sanitari da Aziende sanitarie pubbliche della Regione</t>
  </si>
  <si>
    <t>ACQUISTI DI SERVIZI</t>
  </si>
  <si>
    <t>BA0390</t>
  </si>
  <si>
    <t>Acquisti servizi sanitari</t>
  </si>
  <si>
    <t>BA0400</t>
  </si>
  <si>
    <t>Acquisti servizi sanitari per medicina di base</t>
  </si>
  <si>
    <t>BA0410</t>
  </si>
  <si>
    <t>- da convenzione</t>
  </si>
  <si>
    <t>BA0420</t>
  </si>
  <si>
    <t>Costi per assistenza MMG</t>
  </si>
  <si>
    <t>BA0430</t>
  </si>
  <si>
    <t>Quota capitaria nazionale</t>
  </si>
  <si>
    <t>Compensi da fondo ponderazione</t>
  </si>
  <si>
    <t>Compensi da fondo qualità dell'assistenza</t>
  </si>
  <si>
    <t>Compensi da fondo quota capitaria regionale</t>
  </si>
  <si>
    <t>Compensi extra derivanti da accordi nazionali</t>
  </si>
  <si>
    <t>Compensi da accordi regionali</t>
  </si>
  <si>
    <t>Compensi da accordi aziendali</t>
  </si>
  <si>
    <t>Premi assicurativi malattia</t>
  </si>
  <si>
    <t>Formazione</t>
  </si>
  <si>
    <t>Altre competenze</t>
  </si>
  <si>
    <t>Oneri sociali</t>
  </si>
  <si>
    <t>Costi per assistenza PLS</t>
  </si>
  <si>
    <t>BA0440</t>
  </si>
  <si>
    <t>Costi per assistenza Continuità assistenziale</t>
  </si>
  <si>
    <t>BA0450</t>
  </si>
  <si>
    <t>Compensi fissi  Conv. per ass. guardia medica festiva e notturna</t>
  </si>
  <si>
    <t>Compensi fissi  Conv. per emergenza sanitaria territoriale</t>
  </si>
  <si>
    <t>Compensi fissi Conv. per ass. guardia medica turistica</t>
  </si>
  <si>
    <t>Compensi da accordi regionali Conv. per ass. guardia medica festiva e notturna</t>
  </si>
  <si>
    <t xml:space="preserve">Compensi da accordi regionali Conv. per emergenza sanitaria territoriale </t>
  </si>
  <si>
    <t>Compensi da accordi aziendali Conv. per ass. guardia medica festiva e notturna</t>
  </si>
  <si>
    <t xml:space="preserve">Compensi da accordi aziendali Conv. per emergenza sanitaria territoriale </t>
  </si>
  <si>
    <t>Altri compensi</t>
  </si>
  <si>
    <t>Premi assicurativi malattia Conv. per ass. guardia medica festiva e notturna</t>
  </si>
  <si>
    <t>Premi assicurativi malattia Conv. per emergenza sanitaria territoriale</t>
  </si>
  <si>
    <t>Premi assicurativi malattia  Conv. per ass. guardia medica turistica</t>
  </si>
  <si>
    <t>Oneri sociali Conv. per ass. guardia medica festiva e notturna</t>
  </si>
  <si>
    <t>Oneri sociali Conv. per emergenza sanitaria territoriale</t>
  </si>
  <si>
    <t>Oneri sociali  Conv. per ass. guardia medica turistica</t>
  </si>
  <si>
    <t>Altro (medicina dei servizi, psicologi, medici 118, ecc)</t>
  </si>
  <si>
    <t>BA0460</t>
  </si>
  <si>
    <t xml:space="preserve">Compensi fissi </t>
  </si>
  <si>
    <t>Medicina fiscale</t>
  </si>
  <si>
    <t>- da pubblico (Aziende sanitarie pubbliche della Regione) - Mobilità intraregionale</t>
  </si>
  <si>
    <t>BA0470</t>
  </si>
  <si>
    <t>- da pubblico (Aziende sanitarie pubbliche Extraregione) - Mobilità extraregionale</t>
  </si>
  <si>
    <t>BA0480</t>
  </si>
  <si>
    <t>Acquisti servizi sanitari per farmaceutica</t>
  </si>
  <si>
    <t>BA0490</t>
  </si>
  <si>
    <t>BA0500</t>
  </si>
  <si>
    <t>Prodotti farmaceutici e galenici</t>
  </si>
  <si>
    <t>Contributi farmacie rurali ed Enpaf</t>
  </si>
  <si>
    <t>- da pubblico (Aziende sanitarie pubbliche della Regione)- Mobilità intraregionale</t>
  </si>
  <si>
    <t>BA0510</t>
  </si>
  <si>
    <t>- da pubblico (Extraregione)</t>
  </si>
  <si>
    <t>BA0520</t>
  </si>
  <si>
    <t>Acquisti servizi sanitari per assistenza specialistica ambulatoriale</t>
  </si>
  <si>
    <t>BA0530</t>
  </si>
  <si>
    <t>- da pubblico (Aziende sanitarie pubbliche della Regione)</t>
  </si>
  <si>
    <t>BA0540</t>
  </si>
  <si>
    <t>Acquisto di prestazioni ambulatoriali e diagnostiche regionali</t>
  </si>
  <si>
    <t>Acquisto di prestazioni ambulatoriali e diagnostiche regionali fatturate</t>
  </si>
  <si>
    <t>Prestazioni di pronto soccorso  non seguite da ricovero - da pubblico (Aziende sanitarie pubbliche della Regione)</t>
  </si>
  <si>
    <t>BA0541</t>
  </si>
  <si>
    <t>- da pubblico (altri soggetti pubbl. della Regione)</t>
  </si>
  <si>
    <t>BA0550</t>
  </si>
  <si>
    <t>Prestazioni di pronto soccorso  non seguite da ricovero - da pubblico (altri soggetti pubbl. della Regione)</t>
  </si>
  <si>
    <t>BA0551</t>
  </si>
  <si>
    <t>BA0560</t>
  </si>
  <si>
    <t>Acquisto di prestazioni ambulatoriali e diagnostiche extraregione in compensazione</t>
  </si>
  <si>
    <t>Acquisto di prestazioni ambulatoriali e diagnostiche extraregione  fatturate</t>
  </si>
  <si>
    <t>Prestazioni di pronto soccorso  non seguite da ricovero - da pubblico (Extraregione)</t>
  </si>
  <si>
    <t>BA0561</t>
  </si>
  <si>
    <t>- da privato - Medici SUMAI</t>
  </si>
  <si>
    <t>BA0570</t>
  </si>
  <si>
    <t>Compensi fissi</t>
  </si>
  <si>
    <t>Compendi da fondo ponderazione</t>
  </si>
  <si>
    <t>- da privato</t>
  </si>
  <si>
    <t>BA0580</t>
  </si>
  <si>
    <t>Servizi sanitari per assistenza specialistica da IRCCS privati e Policlinici privati</t>
  </si>
  <si>
    <t>BA0590</t>
  </si>
  <si>
    <t xml:space="preserve"> Servizi sanitari per prestazioni di pronto soccorso non seguite da ricovero - da IRCCS privati e Policlinici privati</t>
  </si>
  <si>
    <t>BA0591</t>
  </si>
  <si>
    <t>Servizi sanitari per assistenza specialistica da Ospedali Classificati privati</t>
  </si>
  <si>
    <t>BA0600</t>
  </si>
  <si>
    <t>Servizi sanitari per prestazioni di pronto soccorso non seguite da ricovero - da Ospedali Classificati privati</t>
  </si>
  <si>
    <t>BA0601</t>
  </si>
  <si>
    <t>Servizi sanitari per assistenza specialistica da Case di Cura private</t>
  </si>
  <si>
    <t>BA0610</t>
  </si>
  <si>
    <t>Servizi sanitari per prestazioni di pronto soccorso non seguite da ricovero - da Case di Cura private</t>
  </si>
  <si>
    <t>BA0611</t>
  </si>
  <si>
    <t>Servizi sanitari per assistenza specialistica da altri privati</t>
  </si>
  <si>
    <t>BA0620</t>
  </si>
  <si>
    <t>Servizi sanitari per prestazioni di pronto soccorso non seguite da ricovero - da altri privati</t>
  </si>
  <si>
    <t>BA0621</t>
  </si>
  <si>
    <t>- da privato per cittadini non residenti - Extraregione (mobilità attiva in compensazione)</t>
  </si>
  <si>
    <t>BA0630</t>
  </si>
  <si>
    <t>Servizi sanitari per prestazioni di pronto soccorso non seguite da ricovero - da privato per cittadini non residenti - Extraregione (mobilità attiva in compensazione)</t>
  </si>
  <si>
    <t>BA0631</t>
  </si>
  <si>
    <t>Acquisti servizi sanitari per assistenza riabilitativa</t>
  </si>
  <si>
    <t>BA0640</t>
  </si>
  <si>
    <t>BA0650</t>
  </si>
  <si>
    <t>BA0660</t>
  </si>
  <si>
    <t>- da pubblico (Extraregione) non soggetti a compensazione</t>
  </si>
  <si>
    <t>BA0670</t>
  </si>
  <si>
    <t>- da privato (intraregionale)</t>
  </si>
  <si>
    <t>BA0680</t>
  </si>
  <si>
    <t>Assistenza riabilitativa ex art.26 L.833/78 - in regime di ricovero</t>
  </si>
  <si>
    <t>Assistenza riabilitativa ex art.26 L.833/78 - in regime ambulatoriale</t>
  </si>
  <si>
    <t>- da privato (extraregionale)</t>
  </si>
  <si>
    <t>BA0690</t>
  </si>
  <si>
    <t>Acquisti servizi sanitari per assistenza integrativa</t>
  </si>
  <si>
    <t>BA0700</t>
  </si>
  <si>
    <t xml:space="preserve">  da pubblico (Aziende sanitarie pubbliche della Regione)</t>
  </si>
  <si>
    <t>BA0710</t>
  </si>
  <si>
    <t>BA0720</t>
  </si>
  <si>
    <t>BA0730</t>
  </si>
  <si>
    <t>- da privato - AFIR</t>
  </si>
  <si>
    <t>BA0740</t>
  </si>
  <si>
    <t>AFIR farmacie convenzionate</t>
  </si>
  <si>
    <t>Fornitura ausilii per incontinenti</t>
  </si>
  <si>
    <t>Ossigeno terapia domiciliare</t>
  </si>
  <si>
    <t>AFIR altro</t>
  </si>
  <si>
    <t>Acquisti servizi sanitari per assistenza protesica</t>
  </si>
  <si>
    <t>BA0760</t>
  </si>
  <si>
    <t>BA0770</t>
  </si>
  <si>
    <t>BA0780</t>
  </si>
  <si>
    <t>BA0790</t>
  </si>
  <si>
    <t>Assist. Protesica indiretta art. 26, c. 3 L. 833/78 e DM 2/3/84</t>
  </si>
  <si>
    <t>Servizio supporto gestione assistenza protesica</t>
  </si>
  <si>
    <t>Acquisti servizi sanitari per assistenza ospedaliera</t>
  </si>
  <si>
    <t>BA0800</t>
  </si>
  <si>
    <t>BA0810</t>
  </si>
  <si>
    <t>Acquisto di prestazioni in regime di ricovero (DRG) regionali</t>
  </si>
  <si>
    <t>Acquisto di prestazioni fatturate in regime di ricovero regionali</t>
  </si>
  <si>
    <t>BA0820</t>
  </si>
  <si>
    <t>BA0830</t>
  </si>
  <si>
    <t>Acquisto di prestazioni in regime di ricovero (DRG) extra regionali</t>
  </si>
  <si>
    <t>Acquisto di prestazioni fatturate in regime di ricovero extra regionali</t>
  </si>
  <si>
    <t>BA0840</t>
  </si>
  <si>
    <t>Servizi sanitari per assistenza ospedaliera da IRCCS privati e Policlinici privati</t>
  </si>
  <si>
    <t>BA0850</t>
  </si>
  <si>
    <t>Servizi sanitari per assistenza ospedaliera da Ospedali Classificati privati</t>
  </si>
  <si>
    <t>BA0860</t>
  </si>
  <si>
    <t>Servizi sanitari per assistenza ospedaliera da Case di Cura private</t>
  </si>
  <si>
    <t>BA0870</t>
  </si>
  <si>
    <t>Servizi sanitari per assistenza ospedaliera da altri privati</t>
  </si>
  <si>
    <t>BA0880</t>
  </si>
  <si>
    <t>BA0890</t>
  </si>
  <si>
    <t>Acquisto prestazioni di psichiatria residenziale e semiresidenziale</t>
  </si>
  <si>
    <t>BA0900</t>
  </si>
  <si>
    <t>BA0910</t>
  </si>
  <si>
    <t>BA0920</t>
  </si>
  <si>
    <t>- da pubblico (Extraregione) - non soggette a compensazione</t>
  </si>
  <si>
    <t>BA0930</t>
  </si>
  <si>
    <t>BA0940</t>
  </si>
  <si>
    <t>BA0950</t>
  </si>
  <si>
    <t>Acquisto prestazioni di distribuzione farmaci File F</t>
  </si>
  <si>
    <t>BA0960</t>
  </si>
  <si>
    <t>BA0970</t>
  </si>
  <si>
    <t>Rimborso costo farmaci</t>
  </si>
  <si>
    <t>Servizio di distribuzione</t>
  </si>
  <si>
    <t>BA0980</t>
  </si>
  <si>
    <t>BA0990</t>
  </si>
  <si>
    <t>BA1000</t>
  </si>
  <si>
    <t>Compenso distribuzione per conto (DPC)</t>
  </si>
  <si>
    <t>Altro</t>
  </si>
  <si>
    <t>BA1010</t>
  </si>
  <si>
    <t>BA1020</t>
  </si>
  <si>
    <t>Acquisto prestazioni termali in convenzione</t>
  </si>
  <si>
    <t>BA1030</t>
  </si>
  <si>
    <t>BA1040</t>
  </si>
  <si>
    <t>BA1050</t>
  </si>
  <si>
    <t>BA1060</t>
  </si>
  <si>
    <t>BA1070</t>
  </si>
  <si>
    <t>BA1080</t>
  </si>
  <si>
    <t>Acquisto prestazioni di trasporto sanitario</t>
  </si>
  <si>
    <t>BA1090</t>
  </si>
  <si>
    <t>BA1100</t>
  </si>
  <si>
    <t>BA1110</t>
  </si>
  <si>
    <t>BA1120</t>
  </si>
  <si>
    <t>BA1130</t>
  </si>
  <si>
    <t>Trasporti primari (emergenza)</t>
  </si>
  <si>
    <t>Trasporti secondari</t>
  </si>
  <si>
    <t>Elisoccorso</t>
  </si>
  <si>
    <t>Trasporti nefropatici</t>
  </si>
  <si>
    <t>Acquisto prestazioni Socio-Sanitarie a rilevanza sanitaria</t>
  </si>
  <si>
    <t>BA1140</t>
  </si>
  <si>
    <t>BA1150</t>
  </si>
  <si>
    <t>Assistenza domiciliare integrata (ADI)</t>
  </si>
  <si>
    <t>BA1151</t>
  </si>
  <si>
    <t xml:space="preserve"> Altre prestazioni socio-sanitarie a rilevanza sanitaria</t>
  </si>
  <si>
    <t>BA1152</t>
  </si>
  <si>
    <t>- da pubblico (altri soggetti pubblici della Regione)</t>
  </si>
  <si>
    <t>BA1160</t>
  </si>
  <si>
    <t>RSA esterne</t>
  </si>
  <si>
    <t>Rimborso per assistenza sanitaria in strutture residenziali e semi residenziali per anziani</t>
  </si>
  <si>
    <t>Abbattimento rette anziani non autosufficienti</t>
  </si>
  <si>
    <t>Altre prestazioni  da pubblico (altri soggetti pubblici della Regione)</t>
  </si>
  <si>
    <t xml:space="preserve"> - da pubblico  (Extraregione) - Acquisto di Altre prestazioni sociosanitarie a rilevanza sanitaria erogate a soggetti pubblici Extraregione</t>
  </si>
  <si>
    <t>BA1161</t>
  </si>
  <si>
    <t>- da pubblico (Extraregione) non soggette a compensazione</t>
  </si>
  <si>
    <t>BA1170</t>
  </si>
  <si>
    <t>BA1180</t>
  </si>
  <si>
    <t>Conv. per ass. ostetrica ed infermieristica</t>
  </si>
  <si>
    <t>Conv. per ass. domiciliare -ADI</t>
  </si>
  <si>
    <t>Assist. riabilitativa residenziale e integrativa territoriale per tossicodipendenti</t>
  </si>
  <si>
    <t>Convenzioni per attività di consultorio familiare</t>
  </si>
  <si>
    <t>Altre prestazioni da privato (intraregionale)</t>
  </si>
  <si>
    <t>BA1190</t>
  </si>
  <si>
    <t>Altre prestazioni  da privato (extraregionale)</t>
  </si>
  <si>
    <t>Compartecipazione al personale per att. libero-prof. (intramoenia)</t>
  </si>
  <si>
    <t>BA1200</t>
  </si>
  <si>
    <t>Compartecipazione al personale per att. libero professionale intramoenia - Area ospedaliera</t>
  </si>
  <si>
    <t>BA1210</t>
  </si>
  <si>
    <t>Compartecipazione al personale per att. libero professionale intramoenia- Area specialistica</t>
  </si>
  <si>
    <t>BA1220</t>
  </si>
  <si>
    <t>Compartecipazione al personale per att. libero professionale intramoenia - Area sanità pubblica</t>
  </si>
  <si>
    <t>BA1230</t>
  </si>
  <si>
    <t>Compartecipazione al personale per att. libero professionale intramoenia - Consulenze (ex art. 55 c.1 lett. c), d) ed ex Art. 57-58)</t>
  </si>
  <si>
    <t>BA1240</t>
  </si>
  <si>
    <t>Consulenze a favore di terzi, rimborsate Dirigenza medica e veterinaria</t>
  </si>
  <si>
    <t>Consulenze a favore di terzi, rimborsate Dirigenza sanitaria e delle professioni sanitarie</t>
  </si>
  <si>
    <t>Consulenze a favore di terzi, rimborsate Dirigenza medica universitaria</t>
  </si>
  <si>
    <t>Oneri su compartecipazione al  personale per att. libero  professionale intramoenia - Altro</t>
  </si>
  <si>
    <t>Compartecipazione al personale per att. libero professionale intramoenia - Consulenze (ex art. 55 c.1 lett. c), d) ed ex Art. 57-58) (Aziende sanitarie pubbliche della Regione)</t>
  </si>
  <si>
    <t>BA1250</t>
  </si>
  <si>
    <t>Compartecipazione al personale per att. libero professionale intramoenia - Altro</t>
  </si>
  <si>
    <t>BA1260</t>
  </si>
  <si>
    <t>Consulenze a favore di terzi, rimborsate Dirigenza ruolo professionale</t>
  </si>
  <si>
    <t xml:space="preserve">Consulenze a favore di terzi, rimborsate Dirigenza ruolo tecnico </t>
  </si>
  <si>
    <t xml:space="preserve">Consulenze a favore di terzi, rimborsate Dirigenza ruolo amministrativo </t>
  </si>
  <si>
    <t>Consulenze a favore di terzi, rimborsate Comparto ruolo sanitario</t>
  </si>
  <si>
    <t>Consulenze a favore di terzi, rimborsate Comparto ruolo professionale</t>
  </si>
  <si>
    <t>Consulenze a favore di terzi, rimborsate Comparto ruolo tecnico</t>
  </si>
  <si>
    <t xml:space="preserve">Consulenze a favore di terzi, rimborsate Comparto ruolo amministrativo </t>
  </si>
  <si>
    <t>Personale di supporto diretto e indiretto</t>
  </si>
  <si>
    <t>Quota di perequazione</t>
  </si>
  <si>
    <t>Compartecipazione al personale per att. libero  professionale intramoenia - Altro (Aziende sanitarie pubbliche della Regione)</t>
  </si>
  <si>
    <t>BA1270</t>
  </si>
  <si>
    <t>Rimborsi, assegni e contributi sanitari</t>
  </si>
  <si>
    <t>BA1280</t>
  </si>
  <si>
    <t>Contributi ad associazioni di volontariato</t>
  </si>
  <si>
    <t>BA1290</t>
  </si>
  <si>
    <t>Rimborsi per cure all'estero</t>
  </si>
  <si>
    <t>BA1300</t>
  </si>
  <si>
    <t>Contributi a società partecipate e/o enti dipendenti della Regione</t>
  </si>
  <si>
    <t>BA1310</t>
  </si>
  <si>
    <t>Contributo Legge 210/92</t>
  </si>
  <si>
    <t>BA1320</t>
  </si>
  <si>
    <t>Altri rimborsi, assegni e contributi</t>
  </si>
  <si>
    <t>BA1330</t>
  </si>
  <si>
    <t>Rimborsi per ricoveri in Italia</t>
  </si>
  <si>
    <t>Rimborsi per altra assistenza sanitaria</t>
  </si>
  <si>
    <t>Contributi ai nefropatici</t>
  </si>
  <si>
    <t>Contributi ai donatori di sangue lavoratori</t>
  </si>
  <si>
    <t>Altri contributi agli assistiti</t>
  </si>
  <si>
    <t>Altri contributi per attività socio - assistenziale</t>
  </si>
  <si>
    <t>Contributi ad enti</t>
  </si>
  <si>
    <t>Rimborsi per responsabilità civile</t>
  </si>
  <si>
    <t>Rimborsi per attività delegate della Regione</t>
  </si>
  <si>
    <t>Rimborsi, assegni e contributi v/Aziende sanitarie pubbliche della Regione</t>
  </si>
  <si>
    <t>BA1340</t>
  </si>
  <si>
    <t>Rimborsi per attività delegate della Regione (SOVRAZIENDALI)</t>
  </si>
  <si>
    <t>Altri rimborsi, assegni e contributi v/Aziende sanitarie pubbliche della Regione</t>
  </si>
  <si>
    <t>Rimborsi, assegni e contributi v/Regione - GSA</t>
  </si>
  <si>
    <t>BA1341</t>
  </si>
  <si>
    <t>Consulenze, Collaborazioni,  Interinale e altre prestazioni di lavoro sanitarie e sociosanitarie</t>
  </si>
  <si>
    <t>BA1350</t>
  </si>
  <si>
    <t>Consulenze sanitarie e sociosan. da Aziende sanitarie pubbliche della Regione</t>
  </si>
  <si>
    <t>BA1360</t>
  </si>
  <si>
    <t>Consulenze sanitarie e sociosanit. da terzi - Altri soggetti pubblici</t>
  </si>
  <si>
    <t>BA1370</t>
  </si>
  <si>
    <t>Consulenze, Collaborazioni,  Interinale e altre prestazioni di lavoro sanitarie e socios. da privato</t>
  </si>
  <si>
    <t>BA1380</t>
  </si>
  <si>
    <t>Consulenze sanitarie da privato - articolo 55, comma 2, CCNL 8 giugno 2000</t>
  </si>
  <si>
    <t>BA1390</t>
  </si>
  <si>
    <t>Altre consulenze sanitarie e sociosanitarie da privato</t>
  </si>
  <si>
    <t>BA1400</t>
  </si>
  <si>
    <t>Compensi diretti per prestazioni aggiuntive al personale del comparto</t>
  </si>
  <si>
    <t>Consulenze sanitarie e sociosanitarie da privati</t>
  </si>
  <si>
    <t>Oneri sociali su consulenze sanitarie e sociosanitarie da privato</t>
  </si>
  <si>
    <t>Collaborazioni coordinate e continuative sanitarie e socios. da privato</t>
  </si>
  <si>
    <t>BA1410</t>
  </si>
  <si>
    <t>Personale esterno con contratto di diritto privato - area sanitaria</t>
  </si>
  <si>
    <t>Costo contrattisti - area sanitaria</t>
  </si>
  <si>
    <t>Costo contrattisti - ricerca corrente</t>
  </si>
  <si>
    <t>Costo contrattisti - ricerca finalizzata</t>
  </si>
  <si>
    <t xml:space="preserve">Indennità a personale universitario - area sanitaria </t>
  </si>
  <si>
    <t>BA1420</t>
  </si>
  <si>
    <t>Indennità personale universitario (De Maria)</t>
  </si>
  <si>
    <t xml:space="preserve">Lavoro interinale - area sanitaria </t>
  </si>
  <si>
    <t>BA1430</t>
  </si>
  <si>
    <t xml:space="preserve">Altre collaborazioni e prestazioni di lavoro - area sanitaria </t>
  </si>
  <si>
    <t>BA1440</t>
  </si>
  <si>
    <t>Costo del personale tirocinante - area sanitaria</t>
  </si>
  <si>
    <t>Costo borsisti - area sanitaria</t>
  </si>
  <si>
    <t>Costo borsisti - ricerca corrente</t>
  </si>
  <si>
    <t>Costo borsisti - ricerca finalizzata</t>
  </si>
  <si>
    <t>Indennità per commissioni sanitarie</t>
  </si>
  <si>
    <t>Compensi ai docenti</t>
  </si>
  <si>
    <t>Assegni studio agli allievi</t>
  </si>
  <si>
    <t>Altre collaborazioni e prestazioni di lavoro - area sanitaria</t>
  </si>
  <si>
    <t xml:space="preserve">Oneri sociali su altre collaborazioni e prestazioni di lavoro - area sanitaria </t>
  </si>
  <si>
    <t>Rimborso oneri stipendiali del personale sanitario in comando</t>
  </si>
  <si>
    <t>BA1450</t>
  </si>
  <si>
    <t>Rimborso oneri stipendiali personale sanitario in comando da Aziende sanitarie pubbliche della Regione</t>
  </si>
  <si>
    <t>BA1460</t>
  </si>
  <si>
    <t>Rimborso oneri stipendiali personale sanitario in comando da Regioni, soggetti pubblici e da Università</t>
  </si>
  <si>
    <t>BA1470</t>
  </si>
  <si>
    <t>Rimborso oneri stipendiali personale sanitario in comando da aziende di altre Regioni (Extraregione)</t>
  </si>
  <si>
    <t>BA1480</t>
  </si>
  <si>
    <t>Altri servizi sanitari e sociosanitari a rilevanza sanitaria</t>
  </si>
  <si>
    <t>BA1490</t>
  </si>
  <si>
    <t>Altri servizi sanitari e sociosanitari a rilevanza sanitaria da pubblico - Aziende sanitarie pubbliche della Regione</t>
  </si>
  <si>
    <t>BA1500</t>
  </si>
  <si>
    <t>Altri servizi sanitari e sociosanitari  a rilevanza sanitaria da pubblico - Altri soggetti pubblici della Regione</t>
  </si>
  <si>
    <t>BA1510</t>
  </si>
  <si>
    <t>Altri servizi sanitari e sociosanitari a rilevanza sanitaria da pubblico (Extraregione)</t>
  </si>
  <si>
    <t>BA1520</t>
  </si>
  <si>
    <t>Altri servizi sanitari da privato</t>
  </si>
  <si>
    <t>BA1530</t>
  </si>
  <si>
    <t>Compensi per sperimentazioni cliniche</t>
  </si>
  <si>
    <t>Costi per servizi sanitari - Mobilità internazionale passiva</t>
  </si>
  <si>
    <t>BA1540</t>
  </si>
  <si>
    <t>Costi per servizi sanitari - Mobilità internazionale passiva rilevata dalle ASL</t>
  </si>
  <si>
    <t>BA1541</t>
  </si>
  <si>
    <t>Costi per prestazioni sanitarie erogate da aziende sanitarie estere (fatturate direttamente)</t>
  </si>
  <si>
    <t>BA1542</t>
  </si>
  <si>
    <t>BA1550</t>
  </si>
  <si>
    <t>Costi GSA per differenziale saldo mobilità interregionale</t>
  </si>
  <si>
    <t>BA1560</t>
  </si>
  <si>
    <t xml:space="preserve">Servizi non sanitari </t>
  </si>
  <si>
    <t>BA1570</t>
  </si>
  <si>
    <t>Lavanderia</t>
  </si>
  <si>
    <t>BA1580</t>
  </si>
  <si>
    <t>Pulizia</t>
  </si>
  <si>
    <t>BA1590</t>
  </si>
  <si>
    <t>Mensa</t>
  </si>
  <si>
    <t>BA1600</t>
  </si>
  <si>
    <t>Mensa dipendenti</t>
  </si>
  <si>
    <t>BA1601</t>
  </si>
  <si>
    <t>Mensa degenti</t>
  </si>
  <si>
    <t>BA1602</t>
  </si>
  <si>
    <t>Riscaldamento</t>
  </si>
  <si>
    <t>BA1610</t>
  </si>
  <si>
    <t>Servizi di assistenza informatica</t>
  </si>
  <si>
    <t>BA1620</t>
  </si>
  <si>
    <t>Servizio informatico sanitario regionale (SISR)</t>
  </si>
  <si>
    <t>Elaborazione ricette prescrizioni</t>
  </si>
  <si>
    <t>Altri servizi di assistenza informatica</t>
  </si>
  <si>
    <t>Servizi trasporti (non sanitari)</t>
  </si>
  <si>
    <t>BA1630</t>
  </si>
  <si>
    <t>Smaltimento rifiuti</t>
  </si>
  <si>
    <t>BA1640</t>
  </si>
  <si>
    <t>Utenze telefoniche</t>
  </si>
  <si>
    <t>BA1650</t>
  </si>
  <si>
    <t>Spese telefoniche</t>
  </si>
  <si>
    <t>Internet</t>
  </si>
  <si>
    <t>Utenze elettricità</t>
  </si>
  <si>
    <t>BA1660</t>
  </si>
  <si>
    <t>Altre utenze</t>
  </si>
  <si>
    <t>BA1670</t>
  </si>
  <si>
    <t>Acqua</t>
  </si>
  <si>
    <t>Gas</t>
  </si>
  <si>
    <t>Canoni radiotelevisivi</t>
  </si>
  <si>
    <t>Banche dati</t>
  </si>
  <si>
    <t>Premi di assicurazione</t>
  </si>
  <si>
    <t>BA1680</t>
  </si>
  <si>
    <t xml:space="preserve">Premi di assicurazione - R.C. Professionale </t>
  </si>
  <si>
    <t>BA1690</t>
  </si>
  <si>
    <t>Premi di assicurazione - Altri premi assicurativi</t>
  </si>
  <si>
    <t>BA1700</t>
  </si>
  <si>
    <t>Altri servizi non sanitari</t>
  </si>
  <si>
    <t>BA1710</t>
  </si>
  <si>
    <t>Altri servizi non sanitari da pubblico (Aziende sanitarie pubbliche della Regione)</t>
  </si>
  <si>
    <t>BA1720</t>
  </si>
  <si>
    <t>Altri servizi non sanitari da altri soggetti pubblici</t>
  </si>
  <si>
    <t>BA1730</t>
  </si>
  <si>
    <t>Altri servizi non sanitari da pubblico</t>
  </si>
  <si>
    <t>Altri servizi socio - assistenziali da pubblico</t>
  </si>
  <si>
    <t>Altri servizi non sanitari da privato</t>
  </si>
  <si>
    <t>BA1740</t>
  </si>
  <si>
    <t>Servizi di vigilanza</t>
  </si>
  <si>
    <t>Servizi religiosi</t>
  </si>
  <si>
    <t>Spese bancarie</t>
  </si>
  <si>
    <t>Spese di incasso</t>
  </si>
  <si>
    <t>Spese di rappresentanza</t>
  </si>
  <si>
    <t>Pubblicità e inserzioni</t>
  </si>
  <si>
    <t>Altre spese legali</t>
  </si>
  <si>
    <t>Spese postali</t>
  </si>
  <si>
    <t>Bolli e marche</t>
  </si>
  <si>
    <t>Abbonamenti e riviste</t>
  </si>
  <si>
    <t>Altre spese generali e amministrative</t>
  </si>
  <si>
    <t>Rimborsi spese personale dipendente</t>
  </si>
  <si>
    <t>Altri rimborsi spese</t>
  </si>
  <si>
    <t>Altri servizi socio - assistenziali da privato</t>
  </si>
  <si>
    <t>Consulenze, Collaborazioni, Interinale e altre prestazioni di lavoro non sanitarie</t>
  </si>
  <si>
    <t>BA1750</t>
  </si>
  <si>
    <t>Consulenze non sanitarie da Aziende sanitarie pubbliche della Regione</t>
  </si>
  <si>
    <t>BA1760</t>
  </si>
  <si>
    <t>Consulenze non sanitarie da Terzi - Altri soggetti pubblici</t>
  </si>
  <si>
    <t>BA1770</t>
  </si>
  <si>
    <t>Consulenze, Collaborazioni, Interinale e altre prestazioni di lavoro non sanitarie da privato</t>
  </si>
  <si>
    <t>BA1780</t>
  </si>
  <si>
    <t>Consulenze non sanitarie da privato</t>
  </si>
  <si>
    <t>BA1790</t>
  </si>
  <si>
    <t>Consulenze fiscali</t>
  </si>
  <si>
    <t>Consulenze amministrative</t>
  </si>
  <si>
    <t>Consulenze tecniche</t>
  </si>
  <si>
    <t>Consulenze legali</t>
  </si>
  <si>
    <t>Altre consulenze non sanitarie da privato</t>
  </si>
  <si>
    <t>Collaborazioni coordinate e continuative non sanitarie da privato</t>
  </si>
  <si>
    <t>BA1800</t>
  </si>
  <si>
    <t xml:space="preserve">Indennità a personale universitario - area non sanitaria </t>
  </si>
  <si>
    <t>BA1810</t>
  </si>
  <si>
    <t xml:space="preserve">Lavoro interinale - area non sanitaria </t>
  </si>
  <si>
    <t>BA1820</t>
  </si>
  <si>
    <t xml:space="preserve">Altre collaborazioni e prestazioni di lavoro - area non sanitaria </t>
  </si>
  <si>
    <t>BA1830</t>
  </si>
  <si>
    <t>Costo del personale tirocinante - area non sanitaria</t>
  </si>
  <si>
    <t>Personale esterno con contratto di diritto privato - area non sanitaria</t>
  </si>
  <si>
    <t>Costo borsisti - area non sanitaria</t>
  </si>
  <si>
    <t>Indennità per commissioni non sanitarie</t>
  </si>
  <si>
    <t>Altre Consulenze non sanitarie da privato - in attuazione dell’art.79, comma 1 sexies lettera c), del D.L. 112/2008, convertito con legge 133/2008 e della legge 23 dicembre 2009 n. 191.</t>
  </si>
  <si>
    <t>BA1831</t>
  </si>
  <si>
    <t>Rimborso oneri stipendiali del personale non sanitario in comando</t>
  </si>
  <si>
    <t>BA1840</t>
  </si>
  <si>
    <t>Rimborso oneri stipendiali personale non sanitario in comando da Aziende sanitarie pubbliche della Regione</t>
  </si>
  <si>
    <t>BA1850</t>
  </si>
  <si>
    <t>Rimborso oneri stipendiali personale non sanitario in comando da Regione, soggetti pubblici e da Università</t>
  </si>
  <si>
    <t>BA1860</t>
  </si>
  <si>
    <t>Rimborso oneri stipendiali personale non sanitario in comando da aziende di altre Regioni (Extraregione)</t>
  </si>
  <si>
    <t>BA1870</t>
  </si>
  <si>
    <t>Formazione (esternalizzata e non)</t>
  </si>
  <si>
    <t>BA1880</t>
  </si>
  <si>
    <t>Formazione (esternalizzata e non) da pubblico</t>
  </si>
  <si>
    <t>BA1890</t>
  </si>
  <si>
    <t>Formazione (esternalizzata e non) da privato</t>
  </si>
  <si>
    <t>BA1900</t>
  </si>
  <si>
    <t>Manutenzione e riparazione (ordinaria esternalizzata)</t>
  </si>
  <si>
    <t>Manutenzione e riparazione ai fabbricati e loro pertinenze</t>
  </si>
  <si>
    <t>BA1920</t>
  </si>
  <si>
    <t>Manutenzione e riparazione agli impianti e macchinari</t>
  </si>
  <si>
    <t>BA1930</t>
  </si>
  <si>
    <t>Impianti di trasmissione dati e telefonia</t>
  </si>
  <si>
    <t>Impiantistica varia</t>
  </si>
  <si>
    <t>Altre manutenzione e riparazione agli impianti e macchinari</t>
  </si>
  <si>
    <t>Manutenzione e riparazione alle attrezzature sanitarie e scientifiche</t>
  </si>
  <si>
    <t>BA1940</t>
  </si>
  <si>
    <t>Manutenzione e riparazione ai mobili e arredi</t>
  </si>
  <si>
    <t>BA1950</t>
  </si>
  <si>
    <t>Manutenzione e riparazione agli automezzi</t>
  </si>
  <si>
    <t>BA1960</t>
  </si>
  <si>
    <t>Altre manutenzioni e riparazioni</t>
  </si>
  <si>
    <t>BA1970</t>
  </si>
  <si>
    <t>Attrezzature informatiche</t>
  </si>
  <si>
    <t>Software</t>
  </si>
  <si>
    <t>Manutenzioni e riparazioni da Aziende sanitarie pubbliche della Regione</t>
  </si>
  <si>
    <t>BA1980</t>
  </si>
  <si>
    <t>BA1990</t>
  </si>
  <si>
    <t>Fitti passivi</t>
  </si>
  <si>
    <t>BA2000</t>
  </si>
  <si>
    <t>Locazioni passive</t>
  </si>
  <si>
    <t>Spese condominiali</t>
  </si>
  <si>
    <t>Canoni di noleggio</t>
  </si>
  <si>
    <t>BA2010</t>
  </si>
  <si>
    <t>Canoni di noleggio - area sanitaria</t>
  </si>
  <si>
    <t>BA2020</t>
  </si>
  <si>
    <t>Canoni di noleggio - area non sanitaria</t>
  </si>
  <si>
    <t>BA2030</t>
  </si>
  <si>
    <t>Canoni hardware e software</t>
  </si>
  <si>
    <t>Canoni fotocopiatrici</t>
  </si>
  <si>
    <t>Canoni noleggio automezzi</t>
  </si>
  <si>
    <t>Canoni noleggio altro</t>
  </si>
  <si>
    <t>Canoni di leasing</t>
  </si>
  <si>
    <t>BA2040</t>
  </si>
  <si>
    <t>Canoni di leasing - area sanitaria</t>
  </si>
  <si>
    <t>BA2050</t>
  </si>
  <si>
    <t>Canoni di leasing operativo</t>
  </si>
  <si>
    <t>Canoni di leasing finanziario</t>
  </si>
  <si>
    <t>Canoni di leasing - area non sanitaria</t>
  </si>
  <si>
    <t>BA2060</t>
  </si>
  <si>
    <t>Canoni di project financing</t>
  </si>
  <si>
    <t>BA2061</t>
  </si>
  <si>
    <t>Locazioni e noleggi da Aziende sanitarie pubbliche della Regione</t>
  </si>
  <si>
    <t>BA2070</t>
  </si>
  <si>
    <t>Personale del ruolo sanitario</t>
  </si>
  <si>
    <t>BA2090</t>
  </si>
  <si>
    <t>Costo del personale dirigente ruolo sanitario</t>
  </si>
  <si>
    <t>BA2100</t>
  </si>
  <si>
    <t>Costo del personale dirigente medico</t>
  </si>
  <si>
    <t>BA2110</t>
  </si>
  <si>
    <t>Costo del personale dirigente medico - tempo indeterminato</t>
  </si>
  <si>
    <t>BA2120</t>
  </si>
  <si>
    <t>Voci di costo a carattere stipendiale</t>
  </si>
  <si>
    <t>Retribuzione di posizione</t>
  </si>
  <si>
    <t>Indennità di risultato:</t>
  </si>
  <si>
    <t>Indennità di risultato Dirigenza medica e veterinaria</t>
  </si>
  <si>
    <t>Indennità di risultato Dirigenza medica universitaria</t>
  </si>
  <si>
    <t>Altro trattamento accessorio:</t>
  </si>
  <si>
    <t>Competenze accessorie Dirigenza medica e veterinaria</t>
  </si>
  <si>
    <t>Competenze accessorie Dirigenza medica universitaria</t>
  </si>
  <si>
    <t>Altri oneri per il personale:</t>
  </si>
  <si>
    <t>Accantonamento al fondo per TFR dipendenti</t>
  </si>
  <si>
    <t>Accantonamento ai fondi integrativi pensione</t>
  </si>
  <si>
    <t>Altre competenze Dirigenza medica e veterinaria</t>
  </si>
  <si>
    <t>Altre competenze Dirigenza medica universitaria</t>
  </si>
  <si>
    <t>Oneri sociali su retribuzione:</t>
  </si>
  <si>
    <t>Oneri sociali Dirigenza medica e veterinaria</t>
  </si>
  <si>
    <t>Oneri sociali Dirigenza medica universitaria</t>
  </si>
  <si>
    <t>Costo del personale dirigente medico - tempo determinato</t>
  </si>
  <si>
    <t>BA2130</t>
  </si>
  <si>
    <t>Costo del personale dirigente medico - altro</t>
  </si>
  <si>
    <t>BA2140</t>
  </si>
  <si>
    <t>Costo del personale dirigente non medico</t>
  </si>
  <si>
    <t>BA2150</t>
  </si>
  <si>
    <t>Costo del personale dirigente non medico - tempo indeterminato</t>
  </si>
  <si>
    <t>BA2160</t>
  </si>
  <si>
    <t>Indennità di risultato</t>
  </si>
  <si>
    <t>Altro trattamento accessorio</t>
  </si>
  <si>
    <t>Altri oneri per il personale personale dirigente non medico:</t>
  </si>
  <si>
    <t>Altre competenze personale dirigente non medico</t>
  </si>
  <si>
    <t>Oneri sociali su retribuzione</t>
  </si>
  <si>
    <t>Costo del personale dirigente non medico - tempo determinato</t>
  </si>
  <si>
    <t>BA2170</t>
  </si>
  <si>
    <t>BA2180</t>
  </si>
  <si>
    <t>Costo del personale comparto ruolo sanitario</t>
  </si>
  <si>
    <t>BA2190</t>
  </si>
  <si>
    <t>Costo del personale comparto ruolo sanitario - tempo indeterminato</t>
  </si>
  <si>
    <t>BA2200</t>
  </si>
  <si>
    <t>Straordinario</t>
  </si>
  <si>
    <t>Indennità personale</t>
  </si>
  <si>
    <t>Retribuzione per produttività personale</t>
  </si>
  <si>
    <t>Altri oneri per il personale</t>
  </si>
  <si>
    <t>Costo del personale comparto ruolo sanitario - tempo determinato</t>
  </si>
  <si>
    <t>BA2210</t>
  </si>
  <si>
    <t>Costo del personale comparto ruolo sanitario - altro</t>
  </si>
  <si>
    <t>BA2220</t>
  </si>
  <si>
    <t>Personale del ruolo professionale</t>
  </si>
  <si>
    <t>BA2230</t>
  </si>
  <si>
    <t>Costo del personale dirigente ruolo professionale</t>
  </si>
  <si>
    <t>BA2240</t>
  </si>
  <si>
    <t>Costo del personale dirigente ruolo professionale - tempo indeterminato</t>
  </si>
  <si>
    <t>BA2250</t>
  </si>
  <si>
    <t>Altre competenze personale dirigente ruolo professionale</t>
  </si>
  <si>
    <t>Costo del personale dirigente ruolo professionale - tempo determinato</t>
  </si>
  <si>
    <t>BA2260</t>
  </si>
  <si>
    <t>Costo del personale dirigente ruolo professionale - altro</t>
  </si>
  <si>
    <t>BA2270</t>
  </si>
  <si>
    <t>Costo del personale comparto ruolo professionale</t>
  </si>
  <si>
    <t>BA2280</t>
  </si>
  <si>
    <t>Costo del personale comparto ruolo professionale - tempo indeterminato</t>
  </si>
  <si>
    <t>BA2290</t>
  </si>
  <si>
    <t>Costo del personale comparto ruolo professionale - tempo determinato</t>
  </si>
  <si>
    <t>BA2300</t>
  </si>
  <si>
    <t>Costo del personale comparto ruolo professionale - altro</t>
  </si>
  <si>
    <t>BA2310</t>
  </si>
  <si>
    <t>Personale del ruolo tecnico</t>
  </si>
  <si>
    <t>BA2320</t>
  </si>
  <si>
    <t>Costo del personale dirigente ruolo tecnico</t>
  </si>
  <si>
    <t>BA2330</t>
  </si>
  <si>
    <t>Costo del personale dirigente ruolo tecnico - tempo indeterminato</t>
  </si>
  <si>
    <t>BA2340</t>
  </si>
  <si>
    <t>Altre competenze personale dirigente ruolo tecnico</t>
  </si>
  <si>
    <t>Costo del personale dirigente ruolo tecnico - tempo determinato</t>
  </si>
  <si>
    <t>BA2350</t>
  </si>
  <si>
    <t>Costo del personale dirigente ruolo tecnico - altro</t>
  </si>
  <si>
    <t>BA2360</t>
  </si>
  <si>
    <t>Costo del personale comparto ruolo tecnico</t>
  </si>
  <si>
    <t>BA2370</t>
  </si>
  <si>
    <t>Costo del personale comparto ruolo tecnico - tempo indeterminato</t>
  </si>
  <si>
    <t>BA2380</t>
  </si>
  <si>
    <t>Costo del personale comparto ruolo tecnico - tempo determinato</t>
  </si>
  <si>
    <t>BA2390</t>
  </si>
  <si>
    <t>Costo del personale comparto ruolo tecnico - altro</t>
  </si>
  <si>
    <t>BA2400</t>
  </si>
  <si>
    <t>Personale del ruolo amministrativo</t>
  </si>
  <si>
    <t>BA2410</t>
  </si>
  <si>
    <t>Costo del personale dirigente ruolo amministrativo</t>
  </si>
  <si>
    <t>BA2420</t>
  </si>
  <si>
    <t>Costo del personale dirigente ruolo amministrativo - tempo indeterminato</t>
  </si>
  <si>
    <t>BA2430</t>
  </si>
  <si>
    <t>Altre competenze personale dirigente ruolo amministrativo</t>
  </si>
  <si>
    <t>Costo del personale dirigente ruolo amministrativo - tempo determinato</t>
  </si>
  <si>
    <t>BA2440</t>
  </si>
  <si>
    <t>Costo del personale dirigente ruolo amministrativo - altro</t>
  </si>
  <si>
    <t>BA2450</t>
  </si>
  <si>
    <t>Costo del personale comparto ruolo amministrativo</t>
  </si>
  <si>
    <t>BA2460</t>
  </si>
  <si>
    <t>Costo del personale comparto ruolo amministrativo - tempo indeterminato</t>
  </si>
  <si>
    <t>BA2470</t>
  </si>
  <si>
    <t>Costo del personale comparto ruolo amministrativo - tempo determinato</t>
  </si>
  <si>
    <t>BA2480</t>
  </si>
  <si>
    <t>Costo del personale comparto ruolo amministrativo - altro</t>
  </si>
  <si>
    <t>BA2490</t>
  </si>
  <si>
    <t>BA2500</t>
  </si>
  <si>
    <t>Imposte e tasse (escluso IRAP e IRES)</t>
  </si>
  <si>
    <t>BA2510</t>
  </si>
  <si>
    <t>Imposte di registro</t>
  </si>
  <si>
    <t>Imposte di bollo</t>
  </si>
  <si>
    <t>Tasse di concessione governative</t>
  </si>
  <si>
    <t>Imposte comunali</t>
  </si>
  <si>
    <t>Tasse di circolazione automezzi</t>
  </si>
  <si>
    <t>Permessi di transito e sosta</t>
  </si>
  <si>
    <t>Imposte e tasse diverse</t>
  </si>
  <si>
    <t>Perdite su crediti</t>
  </si>
  <si>
    <t>BA2520</t>
  </si>
  <si>
    <t>Altri oneri diversi di gestione</t>
  </si>
  <si>
    <t>BA2530</t>
  </si>
  <si>
    <t>Indennità, rimborso spese e oneri sociali per gli Organi Direttivi e Collegio Sindacale</t>
  </si>
  <si>
    <t>BA2540</t>
  </si>
  <si>
    <t>Compensi agli organi direttivi e di indirizzo</t>
  </si>
  <si>
    <t>Indennità</t>
  </si>
  <si>
    <t>Altri compensi Organi direttivi e di indirizzo</t>
  </si>
  <si>
    <t>Compensi al collegio sindacale</t>
  </si>
  <si>
    <t>Altri compensi Collegio sindacale</t>
  </si>
  <si>
    <t>Compensi ad altri organismi</t>
  </si>
  <si>
    <t>Altri compensi ad altri organismi</t>
  </si>
  <si>
    <t>BA2550</t>
  </si>
  <si>
    <t>Premi di assicurazione personale dipendente</t>
  </si>
  <si>
    <t>Contravvenzioni e sanzioni amministrative</t>
  </si>
  <si>
    <t>Altri oneri diversi di gestione da Aziende sanitarie pubbliche della Regione</t>
  </si>
  <si>
    <t>BA2551</t>
  </si>
  <si>
    <t>Altri oneri diversi di gestione - per Autoassicurazione</t>
  </si>
  <si>
    <t>BA2552</t>
  </si>
  <si>
    <t>Ammortamenti delle immobilizzazioni immateriali</t>
  </si>
  <si>
    <t>BA2570</t>
  </si>
  <si>
    <t>Ammortamento Costi di impianto e ampliamento</t>
  </si>
  <si>
    <t>Ammortamento Costi di ricerca, sviluppo</t>
  </si>
  <si>
    <t xml:space="preserve">Ammortamento Diritti di brevetto e diritti di utilizzazione delle opere d'ingegno derivanti dall'attività di ricerca </t>
  </si>
  <si>
    <t>Ammortamento Diritti di brevetto e diritti di utilizzazione delle opere d'ingegno altro</t>
  </si>
  <si>
    <t>Ammortamento Concessioni, licenze, marchi e diritti simili</t>
  </si>
  <si>
    <t>Ammortamento Migliorie su beni di terzi</t>
  </si>
  <si>
    <t>Ammortamento Pubblicità</t>
  </si>
  <si>
    <t>Ammortamento altre immobilizzazioni immateriali</t>
  </si>
  <si>
    <t>Ammortamenti delle immobilizzazioni materiali</t>
  </si>
  <si>
    <t>BA2580</t>
  </si>
  <si>
    <t>Ammortamento dei fabbricati</t>
  </si>
  <si>
    <t>BA2590</t>
  </si>
  <si>
    <t>Ammortamenti fabbricati non strumentali (disponibili)</t>
  </si>
  <si>
    <t>BA2600</t>
  </si>
  <si>
    <t>Ammortamenti fabbricati strumentali (indisponibili)</t>
  </si>
  <si>
    <t>BA2610</t>
  </si>
  <si>
    <t>Ammortamenti delle altre immobilizzazioni materiali</t>
  </si>
  <si>
    <t>BA2620</t>
  </si>
  <si>
    <t>Ammortamento Impianti e macchinari</t>
  </si>
  <si>
    <t>Ammortamento Attrezzature sanitarie e scientifiche</t>
  </si>
  <si>
    <t>Ammortamento mobili e arredi</t>
  </si>
  <si>
    <t>Ammortamento automezzi</t>
  </si>
  <si>
    <t>Ammortamento altre immobilizzazioni materiali</t>
  </si>
  <si>
    <t>Svalutazione delle immobilizzazioni e dei crediti</t>
  </si>
  <si>
    <t>BA2630</t>
  </si>
  <si>
    <t>Svalutazione delle immobilizzazioni immateriali e materiali</t>
  </si>
  <si>
    <t>BA2640</t>
  </si>
  <si>
    <t>Svalutazione delle immobilizzazioni immateriali</t>
  </si>
  <si>
    <t>Svalutazione costi di impianto e di ampliamento</t>
  </si>
  <si>
    <t>Svalutazione costi di ricerca e sviluppo</t>
  </si>
  <si>
    <t>Svalutazione diritti di brevetto e diritti di utilizzazione delle opere d'ingegno</t>
  </si>
  <si>
    <t>Svalutazione altre immobilizzazioni immateriali</t>
  </si>
  <si>
    <t>Svalutazione delle immobilizzazioni materiali</t>
  </si>
  <si>
    <t>Svalutazione terreni disponibili</t>
  </si>
  <si>
    <t>Svalutazione terreni indisponibili</t>
  </si>
  <si>
    <t>Svalutazione fabbricati disponibili</t>
  </si>
  <si>
    <t>Svalutazione fabbricati indisponibili</t>
  </si>
  <si>
    <t>Svalutazione impianti e macchinari</t>
  </si>
  <si>
    <t>Svalutazione attrezzature sanitarie e scientifiche</t>
  </si>
  <si>
    <t>Svalutazione mobili e arredi</t>
  </si>
  <si>
    <t xml:space="preserve">Svalutazione automezzi </t>
  </si>
  <si>
    <t>Svalutazione oggetti d'arte</t>
  </si>
  <si>
    <t>Svalutazione altre immobilizzazioni materiali</t>
  </si>
  <si>
    <t>Svalutazione dei crediti</t>
  </si>
  <si>
    <t>BA2650</t>
  </si>
  <si>
    <t>Svalutazione Crediti finanziari v/Stato</t>
  </si>
  <si>
    <t>Svalutazione  Crediti finanziari v/Regione</t>
  </si>
  <si>
    <t>Svalutazione  Crediti finanziari v/partecipate</t>
  </si>
  <si>
    <t>Svalutazione  Crediti finanziari v/altri</t>
  </si>
  <si>
    <t>Svalutazione Crediti v/Stato per spesa corrente - Integrazione a norma del D.L.vo 56/2000</t>
  </si>
  <si>
    <t>Svalutazione  Crediti v/Stato per spesa corrente - FSN</t>
  </si>
  <si>
    <t>Svalutazione  Crediti v/Stato per mobilità attiva extraregionale</t>
  </si>
  <si>
    <t>Svalutazione  Crediti v/Stato per mobilità attiva internazionale</t>
  </si>
  <si>
    <t>Svalutazione  Crediti v/Stato per acconto quota fabbisogno sanitario regionale standard</t>
  </si>
  <si>
    <t>Svalutazione  Crediti v/Stato per finanziamento sanitario aggiuntivo corrente</t>
  </si>
  <si>
    <t>Svalutazione   Crediti v/Stato per spesa corrente - altro</t>
  </si>
  <si>
    <t>Svalutazione  Crediti v/Stato per finanziamenti per investimenti</t>
  </si>
  <si>
    <t>Svalutazione  Crediti v/Stato per ricerca corrente - Ministero della Salute</t>
  </si>
  <si>
    <t>Svalutazione  Crediti v/Stato per ricerca finalizzata - Ministero della Salute</t>
  </si>
  <si>
    <t xml:space="preserve">Svalutazione Crediti v/Stato per ricerca - altre Amministrazioni centrali </t>
  </si>
  <si>
    <t>Svalutazione  Crediti v/Stato per ricerca - finanziamenti per investimenti</t>
  </si>
  <si>
    <t>Svalutazione Crediti v/prefetture</t>
  </si>
  <si>
    <t>Svalutazione  Crediti v/Regione o Provincia Autonoma per spesa corrente - IRAP</t>
  </si>
  <si>
    <t>Svalutazione  Crediti v/Regione o Provincia Autonoma per spesa corrente - Addizionale IRPEF</t>
  </si>
  <si>
    <t>Svalutazione  Crediti v/Regione o Provincia Autonoma per quota FSR</t>
  </si>
  <si>
    <t>Svalutazione   Crediti v/Regione o Provincia Autonoma per mobilità attiva intraregionale</t>
  </si>
  <si>
    <t>Svalutazione Crediti v/Regione o Provincia Autonoma per mobilità attiva extraregionale</t>
  </si>
  <si>
    <t>Svalutazione Crediti v/Regione o Provincia Autonoma per acconto quota FSR</t>
  </si>
  <si>
    <t>Svalutazione Crediti v/Regione o Provincia Autonoma per finanziamento sanitario aggiuntivo corrente LEA</t>
  </si>
  <si>
    <t>Svalutazione  Crediti v/Regione o Provincia Autonoma per finanziamento sanitario aggiuntivo corrente extra LEA</t>
  </si>
  <si>
    <t>Svalutazione Crediti v/Regione o Provincia Autonoma per spesa corrente - altro</t>
  </si>
  <si>
    <t>Svalutazione Crediti v/Regione o Provincia Autonoma per ricerca</t>
  </si>
  <si>
    <t>Svalutazione  Crediti v/Regione o Provincia Autonoma per finanziamenti per investimenti</t>
  </si>
  <si>
    <t>Svalutazione  Crediti v/Regione o Provincia Autonoma per incremento fondo dotazione</t>
  </si>
  <si>
    <t>Svalutazione Crediti v/Regione o Provincia Autonoma per ripiano perdite</t>
  </si>
  <si>
    <t>Svalutazione Crediti v/Regione per copertura debiti al 31/12/2005</t>
  </si>
  <si>
    <t>Svalutazione  Crediti v/Regione o Provincia Autonoma per ricostituzione risorse da investimenti esercizi precedenti</t>
  </si>
  <si>
    <t>Svalutazione  Crediti v/Comuni</t>
  </si>
  <si>
    <t>Svalutazione  Crediti v/Aziende sanitarie pubbliche della Regione - per mobilità in compensazione</t>
  </si>
  <si>
    <t>Svalutazione  Crediti v/Aziende sanitarie pubbliche della Regione - per mobilità non in compensazione</t>
  </si>
  <si>
    <t>Svalutazione  Crediti v/Aziende sanitarie pubbliche della Regione - per altre prestazioni</t>
  </si>
  <si>
    <t>Svalutazione Crediti v/Aziende sanitarie pubbliche della Regione - acconto quota FSR da distribuire</t>
  </si>
  <si>
    <t>Svalutazione Crediti v/Aziende sanitarie pubbliche Extraregione</t>
  </si>
  <si>
    <t>Svalutazione  Crediti v/enti regionali</t>
  </si>
  <si>
    <t>Svalutazione  Crediti v/sperimentazioni gestionali</t>
  </si>
  <si>
    <t>Svalutazione  Crediti v/altre partecipate</t>
  </si>
  <si>
    <t>Svalutazione Crediti v/Erario</t>
  </si>
  <si>
    <t>Svalutazione Crediti v/clienti privati</t>
  </si>
  <si>
    <t>Svalutazione  Crediti v/gestioni liquidatorie</t>
  </si>
  <si>
    <t>Svalutazione  Crediti v/altri soggetti pubblici</t>
  </si>
  <si>
    <t>Svalutazione  Crediti v/altri soggetti pubblici per ricerca</t>
  </si>
  <si>
    <t>Svalutazione  Altri crediti diversi</t>
  </si>
  <si>
    <t>BA2660</t>
  </si>
  <si>
    <t>Variazione rimanenze sanitarie</t>
  </si>
  <si>
    <t>BA2670</t>
  </si>
  <si>
    <t>BA2671</t>
  </si>
  <si>
    <t>BA2672</t>
  </si>
  <si>
    <t>BA2673</t>
  </si>
  <si>
    <t>BA2674</t>
  </si>
  <si>
    <t>BA2675</t>
  </si>
  <si>
    <t>BA2676</t>
  </si>
  <si>
    <t>BA2677</t>
  </si>
  <si>
    <t>BA2678</t>
  </si>
  <si>
    <t>Variazione rimanenze non sanitarie</t>
  </si>
  <si>
    <t>BA2680</t>
  </si>
  <si>
    <t>BA2681</t>
  </si>
  <si>
    <t>BA2682</t>
  </si>
  <si>
    <t>BA2683</t>
  </si>
  <si>
    <t>BA2684</t>
  </si>
  <si>
    <t>BA2685</t>
  </si>
  <si>
    <t>BA2686</t>
  </si>
  <si>
    <t>Accantonamenti dell’esercizio</t>
  </si>
  <si>
    <t>BA2690</t>
  </si>
  <si>
    <t>Accantonamenti per rischi</t>
  </si>
  <si>
    <t>BA2700</t>
  </si>
  <si>
    <t>Accantonamenti per cause civili ed oneri processuali</t>
  </si>
  <si>
    <t>BA2710</t>
  </si>
  <si>
    <t>Accantonamenti per contenzioso personale dipendente</t>
  </si>
  <si>
    <t>BA2720</t>
  </si>
  <si>
    <t>Accantonamenti per rischi connessi all'acquisto di prestazioni sanitarie da privato</t>
  </si>
  <si>
    <t>BA2730</t>
  </si>
  <si>
    <t>Accantonamenti per copertura diretta dei rischi (autoassicurazione)</t>
  </si>
  <si>
    <t>BA2740</t>
  </si>
  <si>
    <t>Accantonamenti per franchigia assicurativa</t>
  </si>
  <si>
    <t>BA2741</t>
  </si>
  <si>
    <t>Altri accantonamenti per rischi</t>
  </si>
  <si>
    <t>BA2750</t>
  </si>
  <si>
    <t>Accantonamenti al F.do equo indennizzo</t>
  </si>
  <si>
    <t>Accantonamenti per accordi bonari</t>
  </si>
  <si>
    <t>Altri accantonamenti per interessi di mora</t>
  </si>
  <si>
    <t>BA2751</t>
  </si>
  <si>
    <t>Accantonamenti per premio di operosità (SUMAI)</t>
  </si>
  <si>
    <t>BA2760</t>
  </si>
  <si>
    <t>Accantonamento al fondo SUMAI - Specialisti ambulatoriali</t>
  </si>
  <si>
    <t>Accantonamento al fondo SUMAI - altre professioni</t>
  </si>
  <si>
    <t>Accantonamenti per quote inutilizzate di contributi vincolati</t>
  </si>
  <si>
    <t>BA2770</t>
  </si>
  <si>
    <t xml:space="preserve"> Accantonamenti per quote inutilizzate contributi da Regione e Prov. Aut. per quota F.S. indistinto finalizzato</t>
  </si>
  <si>
    <t>BA2771</t>
  </si>
  <si>
    <t>Accantonamenti per quote inutilizzate contributi da Regione e Prov. Aut. per quota F.S. vincolato</t>
  </si>
  <si>
    <t>BA2780</t>
  </si>
  <si>
    <t>Accantonamenti per quote inutilizzate contributi da soggetti pubblici (extra fondo) vincolati</t>
  </si>
  <si>
    <t>BA2790</t>
  </si>
  <si>
    <t>Accantonamenti per quote inutilizzate contributi da soggetti pubblici per ricerca</t>
  </si>
  <si>
    <t>BA2800</t>
  </si>
  <si>
    <t>Accantonamenti per quote inutilizzate contributi vincolati da privati</t>
  </si>
  <si>
    <t>BA2810</t>
  </si>
  <si>
    <t>Accantonamenti per quote inutilizzate contributi vincolati da privati - sperimentazioni</t>
  </si>
  <si>
    <t>Accantonamenti per quote inutilizzate contributi vincolati da privati - altro</t>
  </si>
  <si>
    <t>Accantonamenti per quote inutilizzate contributi da soggetti privati per ricerca</t>
  </si>
  <si>
    <t>BA2811</t>
  </si>
  <si>
    <t>Altri accantonamenti</t>
  </si>
  <si>
    <t>BA2820</t>
  </si>
  <si>
    <t>Acc. Rinnovi convenzioni MMG/PLS/MCA</t>
  </si>
  <si>
    <t>BA2840</t>
  </si>
  <si>
    <t>Acc. Rinnovi convenzioni Medici Sumai</t>
  </si>
  <si>
    <t>BA2850</t>
  </si>
  <si>
    <t>Acc. Rinnovi contratt.: dirigenza medica</t>
  </si>
  <si>
    <t>BA2860</t>
  </si>
  <si>
    <t>Acc. Rinnovi contratt.: dirigenza non medica</t>
  </si>
  <si>
    <t>BA2870</t>
  </si>
  <si>
    <t>Acc. Rinnovi contratt.: comparto</t>
  </si>
  <si>
    <t>BA2880</t>
  </si>
  <si>
    <t>Acc. per Trattamento di fine rapporto dipendenti</t>
  </si>
  <si>
    <t>BA2881</t>
  </si>
  <si>
    <t>Acc. per Trattamenti di quiescenza e simili</t>
  </si>
  <si>
    <t>BA2882</t>
  </si>
  <si>
    <t>Acc. per Fondi integrativi pensione</t>
  </si>
  <si>
    <t>BA2883</t>
  </si>
  <si>
    <t>Acc. Incentivi funzioni tecniche art. 113 D.lgs 50/2016</t>
  </si>
  <si>
    <t>BA2884</t>
  </si>
  <si>
    <t>BA2890</t>
  </si>
  <si>
    <t>Interessi passivi</t>
  </si>
  <si>
    <t>CA0110</t>
  </si>
  <si>
    <t>Interessi passivi su anticipazioni di cassa</t>
  </si>
  <si>
    <t>CA0120</t>
  </si>
  <si>
    <t>Interessi passivi su mutui</t>
  </si>
  <si>
    <t>CA0130</t>
  </si>
  <si>
    <t>Altri interessi passivi</t>
  </si>
  <si>
    <t>CA0140</t>
  </si>
  <si>
    <t>Altri oneri</t>
  </si>
  <si>
    <t>Altri oneri finanziari</t>
  </si>
  <si>
    <t>CA0160</t>
  </si>
  <si>
    <t>Perdite su cambi</t>
  </si>
  <si>
    <t>CA0170</t>
  </si>
  <si>
    <t>Svalutazioni per rettifiche di valori di attività finanziarie</t>
  </si>
  <si>
    <t>DA0020</t>
  </si>
  <si>
    <t>EA0260</t>
  </si>
  <si>
    <t>Minusvalenze</t>
  </si>
  <si>
    <t>EA0270</t>
  </si>
  <si>
    <t>Altri oneri straordinari</t>
  </si>
  <si>
    <t>EA0280</t>
  </si>
  <si>
    <t>Oneri tributari da esercizi precedenti</t>
  </si>
  <si>
    <t>EA0290</t>
  </si>
  <si>
    <t>Oneri da cause civili ed oneri processuali</t>
  </si>
  <si>
    <t>EA0300</t>
  </si>
  <si>
    <t>Sopravvenienze passive</t>
  </si>
  <si>
    <t>EA0310</t>
  </si>
  <si>
    <t>Sopravvenienze passive v/Aziende sanitarie pubbliche della Regione</t>
  </si>
  <si>
    <t>EA0320</t>
  </si>
  <si>
    <t>Sopravvenienze passive v/Aziende sanitarie pubbliche relative alla mobilità intraregionale</t>
  </si>
  <si>
    <t>EA0330</t>
  </si>
  <si>
    <t>Altre sopravvenienze passive v/Aziende sanitarie pubbliche della Regione</t>
  </si>
  <si>
    <t>EA0340</t>
  </si>
  <si>
    <t>Sopravvenienze passive v/terzi</t>
  </si>
  <si>
    <t>EA0350</t>
  </si>
  <si>
    <t>Sopravvenienze passive v/terzi relative alla mobilità extraregionale</t>
  </si>
  <si>
    <t>EA0360</t>
  </si>
  <si>
    <t>Sopravvenienze passive v/terzi relative al personale</t>
  </si>
  <si>
    <t>EA0370</t>
  </si>
  <si>
    <t>Soprav. passive v/terzi relative al personale - dirigenza medica</t>
  </si>
  <si>
    <t>EA0380</t>
  </si>
  <si>
    <t>Soprav. passive v/terzi relative al personale - dirigenza non medica</t>
  </si>
  <si>
    <t>EA0390</t>
  </si>
  <si>
    <t>Soprav. passive v/terzi relative al personale - comparto</t>
  </si>
  <si>
    <t>EA0400</t>
  </si>
  <si>
    <t>Sopravvenienze passive v/terzi relative alle convenzioni con medici di base</t>
  </si>
  <si>
    <t>EA0410</t>
  </si>
  <si>
    <t>Sopravvenienze passive v/terzi relative alle convenzioni per la specialistica</t>
  </si>
  <si>
    <t>EA0420</t>
  </si>
  <si>
    <t>Sopravvenienze passive v/terzi relative all'acquisto prestaz. sanitarie da operatori accreditati</t>
  </si>
  <si>
    <t>EA0430</t>
  </si>
  <si>
    <t>Sopravvenienze passive v/terzi relative all'acquisto di beni e servizi</t>
  </si>
  <si>
    <t>EA0440</t>
  </si>
  <si>
    <t>Altre sopravvenienze passive v/terzi</t>
  </si>
  <si>
    <t>EA0450</t>
  </si>
  <si>
    <t>Insussistenze passive</t>
  </si>
  <si>
    <t>EA0460</t>
  </si>
  <si>
    <t>Insussistenze passive per quote FS vincolato</t>
  </si>
  <si>
    <t>EA0461</t>
  </si>
  <si>
    <t>Insussistenze passive v/Aziende sanitarie pubbliche della Regione</t>
  </si>
  <si>
    <t>EA0470</t>
  </si>
  <si>
    <t>Insussistenze passive v/terzi</t>
  </si>
  <si>
    <t>EA0480</t>
  </si>
  <si>
    <t>Insussistenze passive v/terzi relative alla mobilità extraregionale</t>
  </si>
  <si>
    <t>EA0490</t>
  </si>
  <si>
    <t>Insussistenze passive v/terzi relative al personale</t>
  </si>
  <si>
    <t>EA0500</t>
  </si>
  <si>
    <t>Insussistenze passive v/terzi relative alle convenzioni con medici di base</t>
  </si>
  <si>
    <t>EA0510</t>
  </si>
  <si>
    <t>Insussistenze passive v/terzi relative alle convenzioni per la specialistica</t>
  </si>
  <si>
    <t>EA0520</t>
  </si>
  <si>
    <t>Insussistenze passive v/terzi relative all'acquisto prestaz. sanitarie da operatori accreditati</t>
  </si>
  <si>
    <t>EA0530</t>
  </si>
  <si>
    <t>Insussistenze passive v/terzi relative all'acquisto di beni e servizi</t>
  </si>
  <si>
    <t>EA0540</t>
  </si>
  <si>
    <t>Altre insussistenze passive v/terzi</t>
  </si>
  <si>
    <t>EA0550</t>
  </si>
  <si>
    <t>EA0560</t>
  </si>
  <si>
    <t>YA0010</t>
  </si>
  <si>
    <t>IRAP relativa a personale dipendente</t>
  </si>
  <si>
    <t>YA0020</t>
  </si>
  <si>
    <t>IRAP relativa a collaboratori e personale assimilato a lavoro dipendente</t>
  </si>
  <si>
    <t>YA0030</t>
  </si>
  <si>
    <t>IRAP relativa ad attività di libera professione (intramoenia)</t>
  </si>
  <si>
    <t>YA0040</t>
  </si>
  <si>
    <t>IRAP relativa ad attività commerciale</t>
  </si>
  <si>
    <t>YA0050</t>
  </si>
  <si>
    <t>YA0060</t>
  </si>
  <si>
    <t>IRES su attività istituzionale</t>
  </si>
  <si>
    <t>YA0070</t>
  </si>
  <si>
    <t>IRES su attività commerciale</t>
  </si>
  <si>
    <t>YA0080</t>
  </si>
  <si>
    <t>Accantonamento a F.do Imposte (Accertamenti, condoni, ecc.)</t>
  </si>
  <si>
    <t>YA0090</t>
  </si>
  <si>
    <t>MINISTERO DELLA SALUTE</t>
  </si>
  <si>
    <t>Direzione Generale della Programmazione Sanitaria</t>
  </si>
  <si>
    <t>Direzione Generale della Digitalizzazione, del Sistema Informativo Sanitario e della Statistica</t>
  </si>
  <si>
    <t>MODELLO DI RILEVAZIONE DEL CONTO ECONOMICO 
ENTI DEL SERVIZIO SANITARIO NAZIONALE</t>
  </si>
  <si>
    <t>STRUTTURA RILEVATA</t>
  </si>
  <si>
    <t>PERIODO DI RILEVAZIONE</t>
  </si>
  <si>
    <t xml:space="preserve"> REGIONE</t>
  </si>
  <si>
    <t>ENTE SSN</t>
  </si>
  <si>
    <t xml:space="preserve">            ANNO</t>
  </si>
  <si>
    <t xml:space="preserve">    TRIMESTRE</t>
  </si>
  <si>
    <t xml:space="preserve">    PREVENTIVO</t>
  </si>
  <si>
    <t>CONSUNTIVO</t>
  </si>
  <si>
    <t>APPROVAZIONE BILANCIO DA PARTE DEL COLLEGIO SINDACALE</t>
  </si>
  <si>
    <t xml:space="preserve">SI </t>
  </si>
  <si>
    <t xml:space="preserve">NO  </t>
  </si>
  <si>
    <t>Cons</t>
  </si>
  <si>
    <t>CODICE</t>
  </si>
  <si>
    <t>DESCRIZIONE</t>
  </si>
  <si>
    <t>AA0010</t>
  </si>
  <si>
    <t>A.1)  Contributi in c/esercizio</t>
  </si>
  <si>
    <t>AA0020</t>
  </si>
  <si>
    <t>A.1.A)  Contributi da Regione o Prov. Aut. per quota F.S. regionale</t>
  </si>
  <si>
    <t>A.1.A.1)  da Regione o Prov. Aut. per quota F.S. regionale indistinto</t>
  </si>
  <si>
    <t>A.1.A.1.1) Finanziamento indistinto</t>
  </si>
  <si>
    <t>A.1.A.1.2) Finanziamento indistinto finalizzato da Regione</t>
  </si>
  <si>
    <t>A.1.A.1.3) Funzioni</t>
  </si>
  <si>
    <t>A.1.A.1.3.A) Funzioni - Pronto Soccorso</t>
  </si>
  <si>
    <t>A.1.A.1.3.B) Funzioni - Altro</t>
  </si>
  <si>
    <t>A.1.A.1.4) Quota finalizzata per il Piano aziendale di cui all'art. 1, comma 528, L. 208/2015</t>
  </si>
  <si>
    <t>A.1.A.2)  da Regione o Prov. Aut. per quota F.S. regionale vincolato</t>
  </si>
  <si>
    <t>A.1.B)  Contributi c/esercizio (extra fondo)</t>
  </si>
  <si>
    <t xml:space="preserve">A.1.B.1)  da Regione o Prov. Aut. (extra fondo) </t>
  </si>
  <si>
    <t>A.1.B.1.1)  Contributi da Regione o Prov. Aut. (extra fondo) vincolati</t>
  </si>
  <si>
    <t>A.1.B.1.4)  Contributi da Regione o Prov. Aut. (extra fondo) - Altro</t>
  </si>
  <si>
    <t xml:space="preserve">A.1.B.2)  Contributi da Aziende sanitarie pubbliche della Regione o Prov. Aut. (extra fondo) </t>
  </si>
  <si>
    <t>R</t>
  </si>
  <si>
    <t>A.1.B.2.1)  Contributi da Aziende sanitarie pubbliche della Regione o Prov. Aut. (extra fondo) vincolati</t>
  </si>
  <si>
    <t>A.1.B.2.2)  Contributi da Aziende sanitarie pubbliche della Regione o Prov. Aut. (extra fondo) altro</t>
  </si>
  <si>
    <t xml:space="preserve">A.1.B.3)  Contributi da Ministero della Salute e da altri soggetti pubblici (extra fondo) </t>
  </si>
  <si>
    <t>A.1.B.3.1)  Contributi da Ministero della Salute (extra fondo)</t>
  </si>
  <si>
    <t>A.1.B.3.2)  Contributi da altri soggetti pubblici (extra fondo) vincolati</t>
  </si>
  <si>
    <t>A.1.B.3.3)  Contributi da altri soggetti pubblici (extra fondo) L. 210/92</t>
  </si>
  <si>
    <t>A.1.B.3.4)  Contributi da altri soggetti pubblici (extra fondo) altro</t>
  </si>
  <si>
    <t>A.1.B.3.5) Contibuti da altri soggetti pubblici (extra fondo) - in attuazione dell’art.79, comma 1 sexies lettera c), del D.L. 112/2008, convertito con legge 133/2008 e della legge 23 dicembre 2009 n. 191.</t>
  </si>
  <si>
    <t>A.1.C)  Contributi c/esercizio per ricerca</t>
  </si>
  <si>
    <t>A.1.C.1)  Contributi da Ministero della Salute per ricerca corrente</t>
  </si>
  <si>
    <t>A.1.C.2)  Contributi da Ministero della Salute per ricerca finalizzata</t>
  </si>
  <si>
    <t>A.1.C.3)  Contributi da Regione ed altri soggetti pubblici per ricerca</t>
  </si>
  <si>
    <t>A.1.C.4)  Contributi da privati per ricerca</t>
  </si>
  <si>
    <t>A.1.D)  Contributi c/esercizio da privati</t>
  </si>
  <si>
    <t>A.2)  Rettifica contributi c/esercizio per destinazione ad investimenti</t>
  </si>
  <si>
    <t>A.2.A)  Rettifica contributi in c/esercizio per destinazione ad investimenti - da Regione o Prov. Aut. per quota F.S. regionale</t>
  </si>
  <si>
    <t>A.2.B)  Rettifica contributi in c/esercizio per destinazione ad investimenti - altri contributi</t>
  </si>
  <si>
    <t>A.3) Utilizzo fondi per quote inutilizzate contributi finalizzati e vincolati di esercizi precedenti</t>
  </si>
  <si>
    <t>A.3.A)  Utilizzo fondi per quote inutilizzate contributi di esercizi precedenti da Regione o Prov. Aut. per quota F.S. regionale indistinto finalizzato</t>
  </si>
  <si>
    <t>A.3.B)  Utilizzo fondi per quote inutilizzate contributi di esercizi precedenti da Regione o Prov. Aut. per quota F.S. regionale vincolato</t>
  </si>
  <si>
    <t>A.3.C) Utilizzo fondi per quote inutilizzate contributi di esercizi precedenti da soggetti pubblici (extra fondo) vincolati</t>
  </si>
  <si>
    <t>A.3.D)  Utilizzo fondi per quote inutilizzate contributi di esercizi precedenti per ricerca</t>
  </si>
  <si>
    <t>A.3.E) Utilizzo fondi per quote inutilizzate contributi vincolati di esercizi precedenti da privati</t>
  </si>
  <si>
    <t>AA0320</t>
  </si>
  <si>
    <t>A.4)  Ricavi per prestazioni sanitarie e sociosanitarie a rilevanza sanitaria</t>
  </si>
  <si>
    <t xml:space="preserve">A.4.A)  Ricavi per prestazioni sanitarie e sociosanitarie a rilevanza sanitaria erogate a soggetti pubblici </t>
  </si>
  <si>
    <t>A.4.A.1)  Ricavi per prestaz. sanitarie  e sociosanitarie a rilevanza sanitaria erogate ad Aziende sanitarie pubbliche della Regione</t>
  </si>
  <si>
    <t>A.4.A.1.1) Prestazioni di ricovero</t>
  </si>
  <si>
    <t>A.4.A.1.2) Prestazioni di specialistica ambulatoriale</t>
  </si>
  <si>
    <t>A.4.A.1.3) Prestazioni di pronto soccorso non seguite da ricovero</t>
  </si>
  <si>
    <t>A.4.A.1.4) Prestazioni di psichiatria residenziale e semiresidenziale</t>
  </si>
  <si>
    <t>A.4.A.1.5) Prestazioni di File F</t>
  </si>
  <si>
    <t>A.4.A.1.6) Prestazioni servizi MMG, PLS, Contin. assistenziale</t>
  </si>
  <si>
    <t>A.4.A.1.7) Prestazioni servizi farmaceutica convenzionata</t>
  </si>
  <si>
    <t>A.4.A.1.8) Prestazioni termali</t>
  </si>
  <si>
    <t>A.4.A.1.9) Prestazioni trasporto ambulanze ed elisoccorso</t>
  </si>
  <si>
    <t>A.4.A.1.10) Prestazioni assistenza integrativa</t>
  </si>
  <si>
    <t>A.4.A.1.11) Prestazioni assistenza protesica</t>
  </si>
  <si>
    <t>A.4.A.1.12) Prestazioni assistenza riabilitativa extraospedaliera</t>
  </si>
  <si>
    <t>A.4.A.1.13) Ricavi per cessione di emocomponenti e cellule staminali</t>
  </si>
  <si>
    <t>A.4.A.1.14) Prestazioni assistenza domiciliare integrata (ADI)</t>
  </si>
  <si>
    <t xml:space="preserve">A.4.A.1.15) Altre prestazioni sanitarie e socio-sanitarie a rilevanza sanitaria </t>
  </si>
  <si>
    <t xml:space="preserve">A.4.A.2) Ricavi per prestaz. sanitarie e sociosanitarie a rilevanza sanitaria erogate ad altri soggetti pubblici </t>
  </si>
  <si>
    <t>A.4.A.3) Ricavi per prestaz. sanitarie e sociosanitarie a rilevanza sanitaria erogate a soggetti pubblici Extraregione</t>
  </si>
  <si>
    <t>S</t>
  </si>
  <si>
    <t>A.4.A.3.1) Prestazioni di ricovero</t>
  </si>
  <si>
    <t>A.4.A.3.2) Prestazioni ambulatoriali</t>
  </si>
  <si>
    <t>A.4.A.3.3) Prestazioni pronto soccorso non seguite da ricovero</t>
  </si>
  <si>
    <t>SS</t>
  </si>
  <si>
    <t>A.4.A.3.4) Prestazioni di psichiatria non soggetta a compensazione (resid. e semiresid.)</t>
  </si>
  <si>
    <t>A.4.A.3.5) Prestazioni di File F</t>
  </si>
  <si>
    <t>A.4.A.3.6) Prestazioni servizi MMG, PLS, Contin. assistenziale Extraregione</t>
  </si>
  <si>
    <t>A.4.A.3.7) Prestazioni servizi farmaceutica convenzionata Extraregione</t>
  </si>
  <si>
    <t>A.4.A.3.8) Prestazioni termali Extraregione</t>
  </si>
  <si>
    <t>A.4.A.3.9) Prestazioni trasporto ambulanze ed elisoccorso Extraregione</t>
  </si>
  <si>
    <t>A.4.A.3.10) Prestazioni assistenza integrativa da pubblico (extraregione)</t>
  </si>
  <si>
    <t>A.4.A.3.11) Prestazioni assistenza protesica da pubblico (extraregione)</t>
  </si>
  <si>
    <t>A.4.A.3.12) Ricavi per cessione di emocomponenti e cellule staminali Extraregione</t>
  </si>
  <si>
    <t>A.4.A.3.13) Ricavi GSA per differenziale saldo mobilità interregionale</t>
  </si>
  <si>
    <t>A.4.A.3.14) Altre prestazioni sanitarie e sociosanitarie a rilevanza sanitaria erogate a soggetti pubblici Extraregione</t>
  </si>
  <si>
    <t>A.4.A.3.15) Altre prestazioni sanitarie e sociosanitarie a rilevanza sanitaria non soggette a compensazione Extraregione</t>
  </si>
  <si>
    <t>A.4.A.3.15.A) Prestazioni di assistenza riabilitativa non soggette a compensazione Extraregione</t>
  </si>
  <si>
    <t>A.4.A.3.15.B) Altre prestazioni sanitarie e socio-sanitarie a rilevanza sanitaria non soggette a compensazione Extraregione</t>
  </si>
  <si>
    <t>A.4.A.3.16) Altre prestazioni sanitarie a rilevanza sanitaria - Mobilità attiva Internazionale</t>
  </si>
  <si>
    <t>A.4.A.3.17) Altre prestazioni sanitarie a rilevanza sanitaria - Mobilità attiva Internazionale rilevata dalle AO, AOU, IRCCS.</t>
  </si>
  <si>
    <t>A.4.A.3.18) Altre prestazioni sanitarie e sociosanitarie a rilevanza sanitaria ad Aziende sanitarie e casse mutua estera - (fatturate direttamente)</t>
  </si>
  <si>
    <t>A.4.B)  Ricavi per prestazioni sanitarie e sociosanitarie a rilevanza sanitaria erogate da privati v/residenti Extraregione in compensazione (mobilità attiva)</t>
  </si>
  <si>
    <t>A.4.B.1)  Prestazioni di ricovero da priv. Extraregione in compensazione (mobilità attiva)</t>
  </si>
  <si>
    <t>A.4.B.2)  Prestazioni ambulatoriali da priv. Extraregione in compensazione  (mobilità attiva)</t>
  </si>
  <si>
    <t>A.4.B.3)  Prestazioni  di pronto soccorso non seguite da ricovero da priv. Extraregione in compensazione  (mobilità attiva)</t>
  </si>
  <si>
    <t>A.4.B.4)  Prestazioni di File F da priv. Extraregione in compensazione (mobilità attiva)</t>
  </si>
  <si>
    <t>A.4.B.5)  Altre prestazioni sanitarie e sociosanitarie a rilevanza sanitaria erogate da privati v/residenti Extraregione in compensazione (mobilità attiva)</t>
  </si>
  <si>
    <t xml:space="preserve">A.4.C)  Ricavi per prestazioni sanitarie e sociosanitarie a rilevanza sanitaria erogate a privati </t>
  </si>
  <si>
    <t>AA0670</t>
  </si>
  <si>
    <t>A.4.D)  Ricavi per prestazioni sanitarie erogate in regime di intramoenia</t>
  </si>
  <si>
    <t>A.4.D.1)  Ricavi per prestazioni sanitarie intramoenia - Area ospedaliera</t>
  </si>
  <si>
    <t>A.4.D.2)  Ricavi per prestazioni sanitarie intramoenia - Area specialistica</t>
  </si>
  <si>
    <t>A.4.D.3)  Ricavi per prestazioni sanitarie intramoenia - Area sanità pubblica</t>
  </si>
  <si>
    <t>A.4.D.4)  Ricavi per prestazioni sanitarie intramoenia - Consulenze (ex art. 55 c.1 lett. c), d) ed ex art. 57-58)</t>
  </si>
  <si>
    <t>A.4.D.5)  Ricavi per prestazioni sanitarie intramoenia - Consulenze (ex art. 55 c.1 lett. c), d) ed ex art. 57-58) (Aziende sanitarie pubbliche della Regione)</t>
  </si>
  <si>
    <t>A.4.D.6)  Ricavi per prestazioni sanitarie intramoenia - Altro</t>
  </si>
  <si>
    <t>A.4.D.7)  Ricavi per prestazioni sanitarie intramoenia - Altro (Aziende sanitarie pubbliche della Regione)</t>
  </si>
  <si>
    <t>AA0750</t>
  </si>
  <si>
    <t>A.5) Concorsi, recuperi e rimborsi</t>
  </si>
  <si>
    <t>A.5.A) Rimborsi assicurativi</t>
  </si>
  <si>
    <t>AA0770</t>
  </si>
  <si>
    <t>A.5.B) Concorsi, recuperi e rimborsi da Regione</t>
  </si>
  <si>
    <t>A.5.B.1) Rimborso degli oneri stipendiali del personale dell'azienda in posizione di comando presso la Regione</t>
  </si>
  <si>
    <t>A.5.B.2) Altri concorsi, recuperi e rimborsi da parte della Regione</t>
  </si>
  <si>
    <t>AA0800</t>
  </si>
  <si>
    <t>A.5.C) Concorsi, recuperi e rimborsi da Aziende sanitarie pubbliche della Regione</t>
  </si>
  <si>
    <t>A.5.C.1) Rimborso degli oneri stipendiali del personale dipendente dell'azienda in posizione di comando presso Aziende sanitarie pubbliche della Regione</t>
  </si>
  <si>
    <t>A.5.C.2) Rimborsi per acquisto beni da parte di Aziende sanitarie pubbliche della Regione</t>
  </si>
  <si>
    <t>A.5.C.3) Altri concorsi, recuperi e rimborsi da parte di Aziende sanitarie pubbliche della Regione</t>
  </si>
  <si>
    <t>A.5.C.4) Altri concorsi, recuperi e rimborsi da parte della Regione - GSA</t>
  </si>
  <si>
    <t>A.5.D) Concorsi, recuperi e rimborsi da altri soggetti pubblici</t>
  </si>
  <si>
    <t>A.5.D.1) Rimborso degli oneri stipendiali del personale dipendente dell'azienda in posizione di comando presso altri soggetti pubblici</t>
  </si>
  <si>
    <t>A.5.D.2) Rimborsi per acquisto beni da parte di altri soggetti pubblici</t>
  </si>
  <si>
    <t>A.5.D.3) Altri concorsi, recuperi e rimborsi da parte di altri soggetti pubblici</t>
  </si>
  <si>
    <t>A.5.E) Concorsi, recuperi e rimborsi da privati</t>
  </si>
  <si>
    <t>A.5.E.1) Rimborso da aziende farmaceutiche per Pay back</t>
  </si>
  <si>
    <t>A.5.E.1.1) Pay-back per il superamento del tetto della spesa farmaceutica territoriale</t>
  </si>
  <si>
    <t>A.5.E.1.2) Pay-back per superamento del tetto della spesa farmaceutica ospedaliera</t>
  </si>
  <si>
    <t>A.5.E.1.3) Ulteriore Pay-back</t>
  </si>
  <si>
    <t>A.5.E.2) Rimborso per Pay back sui dispositivi medici</t>
  </si>
  <si>
    <t>A.5.E.3) Altri concorsi, recuperi e rimborsi da privati</t>
  </si>
  <si>
    <t>A.6)  Compartecipazione alla spesa per prestazioni sanitarie (Ticket)</t>
  </si>
  <si>
    <t>A.6.A)  Compartecipazione alla spesa per prestazioni sanitarie - Ticket sulle prestazioni di specialistica ambulatoriale e APA-PAC</t>
  </si>
  <si>
    <t>A.6.B)  Compartecipazione alla spesa per prestazioni sanitarie - Ticket sul pronto soccorso</t>
  </si>
  <si>
    <t>A.6.C)  Compartecipazione alla spesa per prestazioni sanitarie (Ticket) - Altro</t>
  </si>
  <si>
    <t>A.7)  Quota contributi c/capitale imputata all'esercizio</t>
  </si>
  <si>
    <t>A.7.A) Quota imputata all'esercizio dei finanziamenti per investimenti dallo Stato</t>
  </si>
  <si>
    <t xml:space="preserve">A.7.B)  Quota imputata all'esercizio dei finanziamenti per investimenti da Regione </t>
  </si>
  <si>
    <t>A.7.C)  Quota imputata all'esercizio dei finanziamenti per beni di prima dotazione</t>
  </si>
  <si>
    <t>A.7.D) Quota imputata all'esercizio dei contributi in c/ esercizio FSR destinati ad investimenti</t>
  </si>
  <si>
    <t>A.7.E) Quota imputata all'esercizio degli altri contributi in c/ esercizio destinati ad investimenti</t>
  </si>
  <si>
    <t>A.7.F) Quota imputata all'esercizio di altre poste del patrimonio netto</t>
  </si>
  <si>
    <t>A.8)  Incrementi delle immobilizzazioni per lavori interni</t>
  </si>
  <si>
    <t>A.9) Altri ricavi e proventi</t>
  </si>
  <si>
    <t>A.9.A) Ricavi per prestazioni non sanitarie</t>
  </si>
  <si>
    <t>A.9.B) Fitti attivi ed altri proventi da attività immobiliari</t>
  </si>
  <si>
    <t>A.9.C) Altri proventi diversi</t>
  </si>
  <si>
    <t>AZ9999</t>
  </si>
  <si>
    <t>Totale valore della produzione (A)</t>
  </si>
  <si>
    <t>B)  Costi della produzione</t>
  </si>
  <si>
    <t>B.1)  Acquisti di beni</t>
  </si>
  <si>
    <t>B.1.A)  Acquisti di beni sanitari</t>
  </si>
  <si>
    <t>B.1.A.1)  Prodotti farmaceutici ed emoderivati</t>
  </si>
  <si>
    <t>B.1.A.1.1) Medicinali con AIC, ad eccezione di vaccini, emoderivati di produzione regionale, ossigeno e altri gas medicali</t>
  </si>
  <si>
    <t>B.1.A.1.2) Medicinali senza AIC</t>
  </si>
  <si>
    <t>B.1.A.1.3) Ossigeno e altri gas medicali</t>
  </si>
  <si>
    <t>B.1.A.1.4) Emoderivati di produzione regionale</t>
  </si>
  <si>
    <t>B.1.A.1.4.1) Emoderivati di produzione regionale da pubblico (Aziende sanitarie pubbliche della Regione) - Mobilità intraregionale</t>
  </si>
  <si>
    <t>B.1.A.1.4.2) Emoderivati di produzione regionale da pubblico (Aziende sanitarie pubbliche della Regione) - Mobilità extraregionale</t>
  </si>
  <si>
    <t>B.1.A.1.4.3) Emoderivati di produzione regionale da altri soggetti</t>
  </si>
  <si>
    <t>B.1.A.2)  Sangue ed emocomponenti</t>
  </si>
  <si>
    <t>B.1.A.2.1) da pubblico (Aziende sanitarie pubbliche della Regione) – Mobilità intraregionale</t>
  </si>
  <si>
    <t>B.1.A.2.2) da pubblico (Aziende sanitarie pubbliche extra Regione) – Mobilità extraregionale</t>
  </si>
  <si>
    <t>B.1.A.2.3) da altri soggetti</t>
  </si>
  <si>
    <t>B.1.A.3) Dispositivi medici</t>
  </si>
  <si>
    <t xml:space="preserve">B.1.A.3.1)  Dispositivi medici </t>
  </si>
  <si>
    <t>B.1.A.3.2)  Dispositivi medici impiantabili attivi</t>
  </si>
  <si>
    <t>B.1.A.3.3)  Dispositivi medico diagnostici in vitro (IVD)</t>
  </si>
  <si>
    <t>B.1.A.4)  Prodotti dietetici</t>
  </si>
  <si>
    <t>B.1.A.5)  Materiali per la profilassi (vaccini)</t>
  </si>
  <si>
    <t>B.1.A.6)  Prodotti chimici</t>
  </si>
  <si>
    <t>B.1.A.7)  Materiali e prodotti per uso veterinario</t>
  </si>
  <si>
    <t>B.1.A.8)  Altri beni e prodotti sanitari</t>
  </si>
  <si>
    <t>B.1.A.9)  Beni e prodotti sanitari da Aziende sanitarie pubbliche della Regione</t>
  </si>
  <si>
    <t>B.1.A.9.1)  Prodotti farmaceutici ed emoderivati</t>
  </si>
  <si>
    <t>B.1.A.9.3) Dispositivi medici</t>
  </si>
  <si>
    <t>B.1.A.9.4)  Prodotti dietetici</t>
  </si>
  <si>
    <t>B.1.A.9.5)  Materiali per la profilassi (vaccini)</t>
  </si>
  <si>
    <t>B.1.A.9.6)  Prodotti chimici</t>
  </si>
  <si>
    <t>B.1.A.9.7)  Materiali e prodotti per uso veterinario</t>
  </si>
  <si>
    <t>B.1.A.9.8)  Altri beni e prodotti sanitari</t>
  </si>
  <si>
    <t>B.1.B)  Acquisti di beni non sanitari</t>
  </si>
  <si>
    <t>B.1.B.1)  Prodotti alimentari</t>
  </si>
  <si>
    <t>B.1.B.2)  Materiali di guardaroba, di pulizia e di convivenza in genere</t>
  </si>
  <si>
    <t>B.1.B.3)  Combustibili, carburanti e lubrificanti</t>
  </si>
  <si>
    <t>B.1.B.4)  Supporti informatici e cancelleria</t>
  </si>
  <si>
    <t>B.1.B.5)  Materiale per la manutenzione</t>
  </si>
  <si>
    <t>B.1.B.6)  Altri beni e prodotti non sanitari</t>
  </si>
  <si>
    <t>B.1.B.7)  Beni e prodotti non sanitari da Aziende sanitarie pubbliche della Regione</t>
  </si>
  <si>
    <t>B.2)  Acquisti di servizi</t>
  </si>
  <si>
    <t>B.2.A)   Acquisti servizi sanitari</t>
  </si>
  <si>
    <t>B.2.A.1)   Acquisti servizi sanitari per medicina di base</t>
  </si>
  <si>
    <t>B.2.A.1.1) - da convenzione</t>
  </si>
  <si>
    <t>B.2.A.1.1.A) Costi per assistenza MMG</t>
  </si>
  <si>
    <t>B.2.A.1.1.B) Costi per assistenza PLS</t>
  </si>
  <si>
    <t>B.2.A.1.1.C) Costi per assistenza Continuità assistenziale</t>
  </si>
  <si>
    <t>B.2.A.1.1.D) Altro (medicina dei servizi, psicologi, medici 118, ecc)</t>
  </si>
  <si>
    <t>B.2.A.1.2) - da pubblico (Aziende sanitarie pubbliche della Regione) - Mobilità intraregionale</t>
  </si>
  <si>
    <t>B.2.A.1.3) - da pubblico (Aziende sanitarie pubbliche Extraregione) - Mobilità extraregionale</t>
  </si>
  <si>
    <t>B.2.A.2)   Acquisti servizi sanitari per farmaceutica</t>
  </si>
  <si>
    <t>B.2.A.2.1) - da convenzione</t>
  </si>
  <si>
    <t>B.2.A.2.2) - da pubblico (Aziende sanitarie pubbliche della Regione)- Mobilità intraregionale</t>
  </si>
  <si>
    <t>B.2.A.2.3) - da pubblico (Extraregione)</t>
  </si>
  <si>
    <t>B.2.A.3)   Acquisti servizi sanitari per assistenza specialistica ambulatoriale</t>
  </si>
  <si>
    <t>B.2.A.3.1) - da pubblico (Aziende sanitarie pubbliche della Regione)</t>
  </si>
  <si>
    <t>B.2.A.3.2) prestazioni di pronto soccorso  non seguite da ricovero - da pubblico (Aziende sanitarie pubbliche della Regione)</t>
  </si>
  <si>
    <t>B.2.A.3.3) - da pubblico (altri soggetti pubbl. della Regione)</t>
  </si>
  <si>
    <t>B.2.A.3.4) prestazioni di pronto soccorso  non seguite da ricovero - da pubblico (altri soggetti pubbl. della Regione)</t>
  </si>
  <si>
    <t>B.2.A.3.5) - da pubblico (Extraregione)</t>
  </si>
  <si>
    <t>B.2.A.3.6) prestazioni di pronto soccorso  non seguite da ricovero - da pubblico (Extraregione)</t>
  </si>
  <si>
    <t>B.2.A.3.7) - da privato - Medici SUMAI</t>
  </si>
  <si>
    <t>B.2.A.3.8) - da privato</t>
  </si>
  <si>
    <t>B.2.A.3.8.A) Servizi sanitari per assistenza specialistica da IRCCS privati e Policlinici privati</t>
  </si>
  <si>
    <t>B.2.A.3.8.B) Servizi sanitari per prestazioni di pronto soccorso non seguite da ricovero - da IRCCS privati e Policlinici privati</t>
  </si>
  <si>
    <t>B.2.A.3.8.C) Servizi sanitari per assistenza specialistica da Ospedali Classificati privati</t>
  </si>
  <si>
    <t>B.2.A.3.8.D) Servizi sanitari per prestazioni di pronto soccorso non seguite da ricovero - da Ospedali Classificati privati</t>
  </si>
  <si>
    <t>B.2.A.3.8.E) Servizi sanitari per assistenza specialistica da Case di Cura private</t>
  </si>
  <si>
    <t>B.2.A.3.8.F) Servizi sanitari per prestazioni di pronto soccorso non seguite da ricovero - da Case di Cura private</t>
  </si>
  <si>
    <t>B.2.A.3.8.G) Servizi sanitari per assistenza specialistica da altri privati</t>
  </si>
  <si>
    <t>B.2.A.3.8.H) Servizi sanitari per prestazioni di pronto soccorso non seguite da ricovero - da altri privati</t>
  </si>
  <si>
    <t>B.2.A.3.9) - da privato per cittadini non residenti - Extraregione (mobilità attiva in compensazione)</t>
  </si>
  <si>
    <t>B.2.A.3.10) Servizi sanitari per prestazioni di pronto soccorso non seguite da ricovero - da privato per cittadini non residenti - Extraregione (mobilità attiva in compensazione)</t>
  </si>
  <si>
    <t>B.2.A.4)   Acquisti servizi sanitari per assistenza riabilitativa</t>
  </si>
  <si>
    <t>B.2.A.4.1) - da pubblico (Aziende sanitarie pubbliche della Regione)</t>
  </si>
  <si>
    <t>B.2.A.4.2) - da pubblico (altri soggetti pubbl. della Regione)</t>
  </si>
  <si>
    <t>B.2.A.4.3) - da pubblico (Extraregione) non soggetti a compensazione</t>
  </si>
  <si>
    <t>B.2.A.4.4) - da privato (intraregionale)</t>
  </si>
  <si>
    <t>B.2.A.4.5) - da privato (extraregionale)</t>
  </si>
  <si>
    <t>B.2.A.5)   Acquisti servizi sanitari per assistenza integrativa</t>
  </si>
  <si>
    <t>B.2.A.5.1) - da pubblico (Aziende sanitarie pubbliche della Regione)</t>
  </si>
  <si>
    <t>B.2.A.5.2) - da pubblico (altri soggetti pubbl. della Regione)</t>
  </si>
  <si>
    <t>B.2.A.5.3) - da pubblico (Extraregione)</t>
  </si>
  <si>
    <t>B.2.A.5.4) - da privato</t>
  </si>
  <si>
    <t>BA0750</t>
  </si>
  <si>
    <t>B.2.A.6)   Acquisti servizi sanitari per assistenza protesica</t>
  </si>
  <si>
    <t>B.2.A.6.1) - da pubblico (Aziende sanitarie pubbliche della Regione)</t>
  </si>
  <si>
    <t>B.2.A.6.2) - da pubblico (altri soggetti pubbl. della Regione)</t>
  </si>
  <si>
    <t>B.2.A.6.3) - da pubblico (Extraregione)</t>
  </si>
  <si>
    <t>B.2.A.6.4) - da privato</t>
  </si>
  <si>
    <t>B.2.A.7)   Acquisti servizi sanitari per assistenza ospedaliera</t>
  </si>
  <si>
    <t>B.2.A.7.1) - da pubblico (Aziende sanitarie pubbliche della Regione)</t>
  </si>
  <si>
    <t>B.2.A.7.2) - da pubblico (altri soggetti pubbl. della Regione)</t>
  </si>
  <si>
    <t>B.2.A.7.3) - da pubblico (Extraregione)</t>
  </si>
  <si>
    <t>B.2.A.7.4) - da privato</t>
  </si>
  <si>
    <t>B.2.A.7.4.A) Servizi sanitari per assistenza ospedaliera da IRCCS privati e Policlinici privati</t>
  </si>
  <si>
    <t>B.2.A.7.4.B) Servizi sanitari per assistenza ospedaliera da Ospedali Classificati privati</t>
  </si>
  <si>
    <t>B.2.A.7.4.C) Servizi sanitari per assistenza ospedaliera da Case di Cura private</t>
  </si>
  <si>
    <t>B.2.A.7.4.D) Servizi sanitari per assistenza ospedaliera da altri privati</t>
  </si>
  <si>
    <t>B.2.A.7.5) - da privato per cittadini non residenti - Extraregione (mobilità attiva in compensazione)</t>
  </si>
  <si>
    <t>B.2.A.8)   Acquisto prestazioni di psichiatria residenziale e semiresidenziale</t>
  </si>
  <si>
    <t>B.2.A.8.1) - da pubblico (Aziende sanitarie pubbliche della Regione)</t>
  </si>
  <si>
    <t>B.2.A.8.2) - da pubblico (altri soggetti pubbl. della Regione)</t>
  </si>
  <si>
    <t>B.2.A.8.3) - da pubblico (Extraregione) - non soggette a compensazione</t>
  </si>
  <si>
    <t>B.2.A.8.4) - da privato (intraregionale)</t>
  </si>
  <si>
    <t>B.2.A.8.5) - da privato (extraregionale)</t>
  </si>
  <si>
    <t>B.2.A.9)   Acquisto prestazioni di distribuzione farmaci File F</t>
  </si>
  <si>
    <t>B.2.A.9.1) - da pubblico (Aziende sanitarie pubbliche della Regione) - Mobilità intraregionale</t>
  </si>
  <si>
    <t>B.2.A.9.2) - da pubblico (altri soggetti pubbl. della Regione)</t>
  </si>
  <si>
    <t>B.2.A.9.3) - da pubblico (Extraregione)</t>
  </si>
  <si>
    <t>B.2.A.9.4) - da privato (intraregionale)</t>
  </si>
  <si>
    <t>B.2.A.9.5) - da privato (extraregionale)</t>
  </si>
  <si>
    <t>B.2.A.9.6) - da privato per cittadini non residenti - Extraregione (mobilità attiva in compensazione)</t>
  </si>
  <si>
    <t>B.2.A.10)   Acquisto prestazioni termali in convenzione</t>
  </si>
  <si>
    <t>B.2.A.10.1) - da pubblico (Aziende sanitarie pubbliche della Regione) - Mobilità intraregionale</t>
  </si>
  <si>
    <t>B.2.A.10.2) - da pubblico (altri soggetti pubbl. della Regione)</t>
  </si>
  <si>
    <t>B.2.A.10.3) - da pubblico (Extraregione)</t>
  </si>
  <si>
    <t>B.2.A.10.4) - da privato</t>
  </si>
  <si>
    <t>B.2.A.10.5) - da privato per cittadini non residenti - Extraregione (mobilità attiva in compensazione)</t>
  </si>
  <si>
    <t>B.2.A.11)   Acquisto prestazioni di trasporto sanitario</t>
  </si>
  <si>
    <t>B.2.A.11.1) - da pubblico (Aziende sanitarie pubbliche della Regione) - Mobilità intraregionale</t>
  </si>
  <si>
    <t>B.2.A.11.2) - da pubblico (altri soggetti pubbl. della Regione)</t>
  </si>
  <si>
    <t>B.2.A.11.3) - da pubblico (Extraregione)</t>
  </si>
  <si>
    <t>B.2.A.11.4) - da privato</t>
  </si>
  <si>
    <t>B.2.A.12)   Acquisto prestazioni Socio-Sanitarie a rilevanza sanitaria</t>
  </si>
  <si>
    <t>B.2.A.12.1) - da pubblico (Aziende sanitarie pubbliche della Regione) - Mobilità intraregionale</t>
  </si>
  <si>
    <t>B.2.A.12.1.A) Assistenza domiciliare integrata (ADI)</t>
  </si>
  <si>
    <t>B.2.A.12.1.B) Altre prestazioni socio-sanitarie a rilevanza sanitaria</t>
  </si>
  <si>
    <t>B.2.A.12.2) - da pubblico (altri soggetti pubblici della Regione)</t>
  </si>
  <si>
    <t>B.2.A.12.3) - da pubblico  (Extraregione) - Acquisto di Altre prestazioni sociosanitarie a rilevanza sanitaria erogate a soggetti pubblici Extraregione</t>
  </si>
  <si>
    <t>B.2.A.12.4) - da pubblico (Extraregione) non soggette a compensazione</t>
  </si>
  <si>
    <t>B.2.A.12.5) - da privato (intraregionale)</t>
  </si>
  <si>
    <t>B.2.A.12.6) - da privato (extraregionale)</t>
  </si>
  <si>
    <t>B.2.A.13)  Compartecipazione al personale per att. libero-prof. (intramoenia)</t>
  </si>
  <si>
    <t>B.2.A.13.1)  Compartecipazione al personale per att. libero professionale intramoenia - Area ospedaliera</t>
  </si>
  <si>
    <t>B.2.A.13.2)  Compartecipazione al personale per att. libero professionale intramoenia- Area specialistica</t>
  </si>
  <si>
    <t>B.2.A.13.3)  Compartecipazione al personale per att. libero professionale intramoenia - Area sanità pubblica</t>
  </si>
  <si>
    <t>B.2.A.13.4)  Compartecipazione al personale per att. libero professionale intramoenia - Consulenze (ex art. 55 c.1 lett. c), d) ed ex Art. 57-58)</t>
  </si>
  <si>
    <t>B.2.A.13.5)  Compartecipazione al personale per att. libero professionale intramoenia - Consulenze (ex art. 55 c.1 lett. c), d) ed ex Art. 57-58) (Aziende sanitarie pubbliche della Regione)</t>
  </si>
  <si>
    <t>B.2.A.13.6)  Compartecipazione al personale per att. libero professionale intramoenia - Altro</t>
  </si>
  <si>
    <t>B.2.A.13.7)  Compartecipazione al personale per att. libero  professionale intramoenia - Altro (Aziende sanitarie pubbliche della Regione)</t>
  </si>
  <si>
    <t>B.2.A.14)  Rimborsi, assegni e contributi sanitari</t>
  </si>
  <si>
    <t>B.2.A.14.1)  Contributi ad associazioni di volontariato</t>
  </si>
  <si>
    <t>B.2.A.14.2)  Rimborsi per cure all'estero</t>
  </si>
  <si>
    <t>B.2.A.14.3)  Contributi a società partecipate e/o enti dipendenti della Regione</t>
  </si>
  <si>
    <t>B.2.A.14.4)  Contributo Legge 210/92</t>
  </si>
  <si>
    <t>B.2.A.14.5)  Altri rimborsi, assegni e contributi</t>
  </si>
  <si>
    <t>B.2.A.14.6)  Rimborsi, assegni e contributi v/Aziende sanitarie pubbliche della Regione</t>
  </si>
  <si>
    <t>B.2.A.14.7)  Rimborsi, assegni e contributi v/Regione - GSA</t>
  </si>
  <si>
    <t>B.2.A.15)  Consulenze, Collaborazioni,  Interinale e altre prestazioni di lavoro sanitarie e sociosanitarie</t>
  </si>
  <si>
    <t>B.2.A.15.1) Consulenze sanitarie e sociosanitarieda Aziende sanitarie pubbliche della Regione</t>
  </si>
  <si>
    <t>B.2.A.15.2) Consulenze sanitarie e sociosanitarieda terzi - Altri soggetti pubblici</t>
  </si>
  <si>
    <t>B.2.A.15.3) Consulenze, Collaborazioni,  Interinale e altre prestazioni di lavoro sanitarie e sociosanitarie da privato</t>
  </si>
  <si>
    <t>B.2.A.15.3.A) Consulenze sanitarie da privato - articolo 55, comma 2, CCNL 8 giugno 2000</t>
  </si>
  <si>
    <t>B.2.A.15.3.B) Altre consulenze sanitarie e sociosanitarie da privato</t>
  </si>
  <si>
    <t>B.2.A.15.3.C) Collaborazioni coordinate e continuative sanitarie e sociosanitarie da privato</t>
  </si>
  <si>
    <t xml:space="preserve">B.2.A.15.3.D) Indennità a personale universitario - area sanitaria </t>
  </si>
  <si>
    <t xml:space="preserve">B.2.A.15.3.E) Lavoro interinale - area sanitaria </t>
  </si>
  <si>
    <t xml:space="preserve">B.2.A.15.3.F) Altre collaborazioni e prestazioni di lavoro - area sanitaria </t>
  </si>
  <si>
    <t>B.2.A.15.4) Rimborso oneri stipendiali del personale sanitario in comando</t>
  </si>
  <si>
    <t>B.2.A.15.4.A) Rimborso oneri stipendiali personale sanitario in comando da Aziende sanitarie pubbliche della Regione</t>
  </si>
  <si>
    <t>B.2.A.15.4.B) Rimborso oneri stipendiali personale sanitario in comando da Regioni, soggetti pubblici e da Università</t>
  </si>
  <si>
    <t>B.2.A.15.4.C) Rimborso oneri stipendiali personale sanitario in comando da aziende di altre Regioni (Extraregione)</t>
  </si>
  <si>
    <t>B.2.A.16) Altri servizi sanitari e sociosanitari a rilevanza sanitaria</t>
  </si>
  <si>
    <t>B.2.A.16.1)  Altri servizi sanitari e sociosanitari a rilevanza sanitaria da pubblico - Aziende sanitarie pubbliche della Regione</t>
  </si>
  <si>
    <t>B.2.A.16.2)  Altri servizi sanitari e sociosanitari  a rilevanza sanitaria da pubblico - Altri soggetti pubblici della Regione</t>
  </si>
  <si>
    <t>B.2.A.16.3) Altri servizi sanitari e sociosanitari a rilevanza sanitaria da pubblico (Extraregione)</t>
  </si>
  <si>
    <t>B.2.A.16.4)  Altri servizi sanitari da privato</t>
  </si>
  <si>
    <t>B.2.A.16.5)  Costi per servizi sanitari - Mobilità internazionale passiva</t>
  </si>
  <si>
    <t>B.2.A.16.6)  Costi per servizi sanitari - Mobilità internazionale passiva rilevata dalle ASL</t>
  </si>
  <si>
    <t>B.2.A.16.7) Costi per prestazioni sanitarie erogate da aziende sanitarie estere (fatturate direttamente)</t>
  </si>
  <si>
    <t>B.2.A.17) Costi GSA per differenziale saldo mobilità interregionale</t>
  </si>
  <si>
    <t>B.2.B) Acquisti di servizi non sanitari</t>
  </si>
  <si>
    <t xml:space="preserve">B.2.B.1) Servizi non sanitari </t>
  </si>
  <si>
    <t>B.2.B.1.1)   Lavanderia</t>
  </si>
  <si>
    <t>B.2.B.1.2)   Pulizia</t>
  </si>
  <si>
    <t>B.2.B.1.3)   Mensa</t>
  </si>
  <si>
    <t>B.2.B.1.3.A)   Mensa dipendenti</t>
  </si>
  <si>
    <t>B.2.B.1.3.B)   Mensa degenti</t>
  </si>
  <si>
    <t>B.2.B.1.4)   Riscaldamento</t>
  </si>
  <si>
    <t>B.2.B.1.5)   Servizi di assistenza informatica</t>
  </si>
  <si>
    <t>B.2.B.1.6)   Servizi trasporti (non sanitari)</t>
  </si>
  <si>
    <t>B.2.B.1.7)   Smaltimento rifiuti</t>
  </si>
  <si>
    <t>B.2.B.1.8)   Utenze telefoniche</t>
  </si>
  <si>
    <t>B.2.B.1.9)   Utenze elettricità</t>
  </si>
  <si>
    <t>B.2.B.1.10)   Altre utenze</t>
  </si>
  <si>
    <t>B.2.B.1.11)  Premi di assicurazione</t>
  </si>
  <si>
    <t xml:space="preserve">B.2.B.1.11.A)  Premi di assicurazione - R.C. Professionale </t>
  </si>
  <si>
    <t>B.2.B.1.11.B)  Premi di assicurazione - Altri premi assicurativi</t>
  </si>
  <si>
    <t>B.2.B.1.12) Altri servizi non sanitari</t>
  </si>
  <si>
    <t>B.2.B.1.12.A) Altri servizi non sanitari da pubblico (Aziende sanitarie pubbliche della Regione)</t>
  </si>
  <si>
    <t>B.2.B.1.12.B) Altri servizi non sanitari da altri soggetti pubblici</t>
  </si>
  <si>
    <t>B.2.B.1.12.C) Altri servizi non sanitari da privato</t>
  </si>
  <si>
    <t>B.2.B.2)  Consulenze, Collaborazioni, Interinale e altre prestazioni di lavoro non sanitarie</t>
  </si>
  <si>
    <t>B.2.B.2.1) Consulenze non sanitarie da Aziende sanitarie pubbliche della Regione</t>
  </si>
  <si>
    <t>B.2.B.2.2) Consulenze non sanitarie da Terzi - Altri soggetti pubblici</t>
  </si>
  <si>
    <t>B.2.B.2.3) Consulenze, Collaborazioni, Interinale e altre prestazioni di lavoro non sanitarie da privato</t>
  </si>
  <si>
    <t>B.2.B.2.3.A) Consulenze non sanitarie da privato</t>
  </si>
  <si>
    <t>B.2.B.2.3.B) Collaborazioni coordinate e continuative non sanitarie da privato</t>
  </si>
  <si>
    <t xml:space="preserve">B.2.B.2.3.C) Indennità a personale universitario - area non sanitaria </t>
  </si>
  <si>
    <t xml:space="preserve">B.2.B.2.3.D) Lavoro interinale - area non sanitaria </t>
  </si>
  <si>
    <t xml:space="preserve">B.2.B.2.3.E) Altre collaborazioni e prestazioni di lavoro - area non sanitaria </t>
  </si>
  <si>
    <t>B.2.B.2.3.F) Altre Consulenze non sanitarie da privato -  in attuazione dell’art.79, comma 1 sexies lettera c), del D.L. 112/2008, convertito con legge 133/2008 e della legge 23 dicembre 2009 n. 191</t>
  </si>
  <si>
    <t>B.2.B.2.4) Rimborso oneri stipendiali del personale non sanitario in comando</t>
  </si>
  <si>
    <t>B.2.B.2.4.A) Rimborso oneri stipendiali personale non sanitario in comando da Aziende sanitarie pubbliche della Regione</t>
  </si>
  <si>
    <t>B.2.B.2.4.B) Rimborso oneri stipendiali personale non sanitario in comando da Regione, soggetti pubblici e da Università</t>
  </si>
  <si>
    <t>B.2.B.2.4.C) Rimborso oneri stipendiali personale non sanitario in comando da aziende di altre Regioni (Extraregione)</t>
  </si>
  <si>
    <t>B.2.B.3) Formazione (esternalizzata e non)</t>
  </si>
  <si>
    <t>B.2.B.3.1) Formazione (esternalizzata e non) da pubblico</t>
  </si>
  <si>
    <t>B.2.B.3.2) Formazione (esternalizzata e non) da privato</t>
  </si>
  <si>
    <t>BA1910</t>
  </si>
  <si>
    <t>B.3)  Manutenzione e riparazione (ordinaria esternalizzata)</t>
  </si>
  <si>
    <t>B.3.A)  Manutenzione e riparazione ai fabbricati e loro pertinenze</t>
  </si>
  <si>
    <t>B.3.B)  Manutenzione e riparazione agli impianti e macchinari</t>
  </si>
  <si>
    <t>B.3.C)  Manutenzione e riparazione alle attrezzature sanitarie e scientifiche</t>
  </si>
  <si>
    <t>B.3.D)  Manutenzione e riparazione ai mobili e arredi</t>
  </si>
  <si>
    <t>B.3.E)  Manutenzione e riparazione agli automezzi</t>
  </si>
  <si>
    <t>B.3.F)  Altre manutenzioni e riparazioni</t>
  </si>
  <si>
    <t>B.3.G)  Manutenzioni e riparazioni da Aziende sanitarie pubbliche della Regione</t>
  </si>
  <si>
    <t>B.4)   Godimento di beni di terzi</t>
  </si>
  <si>
    <t>B.4.A)  Fitti passivi</t>
  </si>
  <si>
    <t>B.4.B)  Canoni di noleggio</t>
  </si>
  <si>
    <t>B.4.B.1) Canoni di noleggio - area sanitaria</t>
  </si>
  <si>
    <t>B.4.B.2) Canoni di noleggio - area non sanitaria</t>
  </si>
  <si>
    <t>B.4.C)  Canoni di leasing</t>
  </si>
  <si>
    <t>B.4.C.1) Canoni di leasing - area sanitaria</t>
  </si>
  <si>
    <t>B.4.C.2) Canoni di leasing - area non sanitaria</t>
  </si>
  <si>
    <t>B.4.D)  Canoni di project financing</t>
  </si>
  <si>
    <t>B.4.E)  Locazioni e noleggi da Aziende sanitarie pubbliche della Regione</t>
  </si>
  <si>
    <t>BA2080</t>
  </si>
  <si>
    <t>Totale Costo del personale</t>
  </si>
  <si>
    <t>B.5)   Personale del ruolo sanitario</t>
  </si>
  <si>
    <t>B.5.A) Costo del personale dirigente ruolo sanitario</t>
  </si>
  <si>
    <t>B.5.A.1) Costo del personale dirigente medico</t>
  </si>
  <si>
    <t>B.5.A.1.1) Costo del personale dirigente medico - tempo indeterminato</t>
  </si>
  <si>
    <t>B.5.A.1.2) Costo del personale dirigente medico - tempo determinato</t>
  </si>
  <si>
    <t>B.5.A.1.3) Costo del personale dirigente medico - altro</t>
  </si>
  <si>
    <t>B.5.A.2) Costo del personale dirigente non medico</t>
  </si>
  <si>
    <t>B.5.A.2.1) Costo del personale dirigente non medico - tempo indeterminato</t>
  </si>
  <si>
    <t>B.5.A.2.2) Costo del personale dirigente non medico - tempo determinato</t>
  </si>
  <si>
    <t>B.5.A.2.3) Costo del personale dirigente non medico - altro</t>
  </si>
  <si>
    <t>B.5.B) Costo del personale comparto ruolo sanitario</t>
  </si>
  <si>
    <t>B.5.B.1) Costo del personale comparto ruolo sanitario - tempo indeterminato</t>
  </si>
  <si>
    <t>B.5.B.2) Costo del personale comparto ruolo sanitario - tempo determinato</t>
  </si>
  <si>
    <t>B.5.B.3) Costo del personale comparto ruolo sanitario - altro</t>
  </si>
  <si>
    <t>B.6)   Personale del ruolo professionale</t>
  </si>
  <si>
    <t>B.6.A) Costo del personale dirigente ruolo professionale</t>
  </si>
  <si>
    <t>B.6.A.1) Costo del personale dirigente ruolo professionale - tempo indeterminato</t>
  </si>
  <si>
    <t>B.6.A.2) Costo del personale dirigente ruolo professionale - tempo determinato</t>
  </si>
  <si>
    <t>B.6.A.3) Costo del personale dirigente ruolo professionale - altro</t>
  </si>
  <si>
    <t>B.6.B) Costo del personale comparto ruolo professionale</t>
  </si>
  <si>
    <t>B.6.B.1) Costo del personale comparto ruolo professionale - tempo indeterminato</t>
  </si>
  <si>
    <t>B.6.B.2) Costo del personale comparto ruolo professionale - tempo determinato</t>
  </si>
  <si>
    <t>B.6.B.3) Costo del personale comparto ruolo professionale - altro</t>
  </si>
  <si>
    <t>B.7)   Personale del ruolo tecnico</t>
  </si>
  <si>
    <t>B.7.A) Costo del personale dirigente ruolo tecnico</t>
  </si>
  <si>
    <t>B.7.A.1) Costo del personale dirigente ruolo tecnico - tempo indeterminato</t>
  </si>
  <si>
    <t>B.7.A.2) Costo del personale dirigente ruolo tecnico - tempo determinato</t>
  </si>
  <si>
    <t>B.7.A.3) Costo del personale dirigente ruolo tecnico - altro</t>
  </si>
  <si>
    <t>B.7.B) Costo del personale comparto ruolo tecnico</t>
  </si>
  <si>
    <t>B.7.B.1) Costo del personale comparto ruolo tecnico - tempo indeterminato</t>
  </si>
  <si>
    <t>B.7.B.2) Costo del personale comparto ruolo tecnico - tempo determinato</t>
  </si>
  <si>
    <t>B.7.B.3) Costo del personale comparto ruolo tecnico - altro</t>
  </si>
  <si>
    <t>B.8)   Personale del ruolo amministrativo</t>
  </si>
  <si>
    <t>B.8.A) Costo del personale dirigente ruolo amministrativo</t>
  </si>
  <si>
    <t>B.8.A.1) Costo del personale dirigente ruolo amministrativo - tempo indeterminato</t>
  </si>
  <si>
    <t>B.8.A.2) Costo del personale dirigente ruolo amministrativo - tempo determinato</t>
  </si>
  <si>
    <t>B.8.A.3) Costo del personale dirigente ruolo amministrativo - altro</t>
  </si>
  <si>
    <t>B.8.B) Costo del personale comparto ruolo amministrativo</t>
  </si>
  <si>
    <t>B.8.B.1) Costo del personale comparto ruolo amministrativo - tempo indeterminato</t>
  </si>
  <si>
    <t>B.8.B.2) Costo del personale comparto ruolo amministrativo - tempo determinato</t>
  </si>
  <si>
    <t>B.8.B.3) Costo del personale comparto ruolo amministrativo - altro</t>
  </si>
  <si>
    <t>B.9)   Oneri diversi di gestione</t>
  </si>
  <si>
    <t>B.9.A)  Imposte e tasse (escluso IRAP e IRES)</t>
  </si>
  <si>
    <t>B.9.B)  Perdite su crediti</t>
  </si>
  <si>
    <t>B.9.C) Altri oneri diversi di gestione</t>
  </si>
  <si>
    <t>B.9.C.1)  Indennità, rimborso spese e oneri sociali per gli Organi Direttivi e Collegio Sindacale</t>
  </si>
  <si>
    <t>B.9.C.2)  Altri oneri diversi di gestione</t>
  </si>
  <si>
    <t>B.9.C.3)  Altri oneri diversi di gestione da Aziende sanitarie pubbliche della Regione</t>
  </si>
  <si>
    <t>B.9.C.4)  Altri oneri diversi di gestione - per Autoassicurazione</t>
  </si>
  <si>
    <t>BA2560</t>
  </si>
  <si>
    <t>Totale Ammortamenti</t>
  </si>
  <si>
    <t>B.10) Ammortamenti delle immobilizzazioni immateriali</t>
  </si>
  <si>
    <t>B.11) Ammortamenti delle immobilizzazioni materiali</t>
  </si>
  <si>
    <t>B.11.A) Ammortamento dei fabbricati</t>
  </si>
  <si>
    <t>B.11.A.1) Ammortamenti fabbricati non strumentali (disponibili)</t>
  </si>
  <si>
    <t>B.11.A.2) Ammortamenti fabbricati strumentali (indisponibili)</t>
  </si>
  <si>
    <t>B.11.B) Ammortamenti delle altre immobilizzazioni materiali</t>
  </si>
  <si>
    <t>B.12) Svalutazione delle immobilizzazioni e dei crediti</t>
  </si>
  <si>
    <t>B.12.A) Svalutazione delle immobilizzazioni immateriali e materiali</t>
  </si>
  <si>
    <t>B.12.B) Svalutazione dei crediti</t>
  </si>
  <si>
    <t>B.13) Variazione delle rimanenze</t>
  </si>
  <si>
    <t>B.13.A) Variazione rimanenze sanitarie</t>
  </si>
  <si>
    <t>B.13.A.1) Prodotti farmaceutici ed emoderivati</t>
  </si>
  <si>
    <t>B.13.A.2) Sangue ed emocomponenti</t>
  </si>
  <si>
    <t>B.13.A.3) Dispositivi medici</t>
  </si>
  <si>
    <t>B.13.A.4) Prodotti dietetici</t>
  </si>
  <si>
    <t>B.13.A.5) Materiali per la profilassi (vaccini)</t>
  </si>
  <si>
    <t>B.13.A.6) Prodotti chimici</t>
  </si>
  <si>
    <t>B.13.A.7)  Materiali e prodotti per uso veterinario</t>
  </si>
  <si>
    <t>B.13.A.8)  Altri beni e prodotti sanitari</t>
  </si>
  <si>
    <t>B.13.B) Variazione rimanenze non sanitarie</t>
  </si>
  <si>
    <t>B.13.B.1) Prodotti alimentari</t>
  </si>
  <si>
    <t>B.13.B.2) Materiali di guardaroba, di pulizia, e di convivenza in genere</t>
  </si>
  <si>
    <t>B.13.B.3) Combustibili, carburanti e lubrificanti</t>
  </si>
  <si>
    <t>B.13.B.4) Supporti informatici e cancelleria</t>
  </si>
  <si>
    <t>B.13.B.5) Materiale per la manutenzione</t>
  </si>
  <si>
    <t>B.13.B.6) Altri beni e prodotti non sanitari</t>
  </si>
  <si>
    <t>B.14) Accantonamenti dell’esercizio</t>
  </si>
  <si>
    <t>B.14.A) Accantonamenti per rischi</t>
  </si>
  <si>
    <t>B.14.A.1)  Accantonamenti per cause civili ed oneri processuali</t>
  </si>
  <si>
    <t>B.14.A.2)  Accantonamenti per contenzioso personale dipendente</t>
  </si>
  <si>
    <t>B.14.A.3)  Accantonamenti per rischi connessi all'acquisto di prestazioni sanitarie da privato</t>
  </si>
  <si>
    <t>B.14.A.4)  Accantonamenti per copertura diretta dei rischi (autoassicurazione)</t>
  </si>
  <si>
    <t>B.14.A.5) Accantonamenti per franchigia assicurativa</t>
  </si>
  <si>
    <t>B.14.A.6)  Altri accantonamenti per rischi</t>
  </si>
  <si>
    <t>B.14.A.7)  Accantonamenti per interessi di mora</t>
  </si>
  <si>
    <t>B.14.B) Accantonamenti per premio di operosità (SUMAI)</t>
  </si>
  <si>
    <t>B.14.C) Accantonamenti per quote inutilizzate di contributi finalizzati e vincolati</t>
  </si>
  <si>
    <t>B.14.C.1)  Accantonamenti per quote inutilizzate contributi da Regione e Prov. Aut. per quota F.S. indistinto finalizzato</t>
  </si>
  <si>
    <t>B.14.C.2)  Accantonamenti per quote inutilizzate contributi da Regione e Prov. Aut. per quota F.S. vincolato</t>
  </si>
  <si>
    <t>B.14.C.3)  Accantonamenti per quote inutilizzate contributi da soggetti pubblici (extra fondo) vincolati</t>
  </si>
  <si>
    <t>B.14.C.4)  Accantonamenti per quote inutilizzate contributi da soggetti pubblici per ricerca</t>
  </si>
  <si>
    <t>B.14.C.5)  Accantonamenti per quote inutilizzate contributi vincolati da privati</t>
  </si>
  <si>
    <t>B.14.C.6)  Accantonamenti per quote inutilizzate contributi da soggetti privati per ricerca</t>
  </si>
  <si>
    <t>B.14.D) Altri accantonamenti</t>
  </si>
  <si>
    <t>B.14.D.1)  Acc. Rinnovi convenzioni MMG/PLS/MCA</t>
  </si>
  <si>
    <t>B.14.D.2)  Acc. Rinnovi convenzioni Medici Sumai</t>
  </si>
  <si>
    <t>B.14.D.3)  Acc. Rinnovi contratt.: dirigenza medica</t>
  </si>
  <si>
    <t>B.14.D.4)  Acc. Rinnovi contratt.: dirigenza non medica</t>
  </si>
  <si>
    <t>B.14.D.5)  Acc. Rinnovi contratt.: comparto</t>
  </si>
  <si>
    <t>B.14.D.6)  Acc. per Trattamento di fine rapporto dipendenti</t>
  </si>
  <si>
    <t>B.14.D.7)  Acc. per Trattamenti di quiescenza e simili</t>
  </si>
  <si>
    <t>B.14.D.8)  Acc. per Fondi integrativi pensione</t>
  </si>
  <si>
    <t>B.14.D.9)  Acc. Incentivi funzioni tecniche art. 113 D.lgs 50/2016</t>
  </si>
  <si>
    <t>B.14.D.10) Altri accantonamenti</t>
  </si>
  <si>
    <t>BZ9999</t>
  </si>
  <si>
    <t>Totale costi della produzione (B)</t>
  </si>
  <si>
    <t>C)  Proventi e oneri finanziari</t>
  </si>
  <si>
    <t>C.1) Interessi attivi</t>
  </si>
  <si>
    <t>C.1.A) Interessi attivi su c/tesoreria unica</t>
  </si>
  <si>
    <t>C.1.B) Interessi attivi su c/c postali e bancari</t>
  </si>
  <si>
    <t>C.1.C) Altri interessi attivi</t>
  </si>
  <si>
    <t>C.2) Altri proventi</t>
  </si>
  <si>
    <t>C.2.A) Proventi da partecipazioni</t>
  </si>
  <si>
    <t>C.2.B) Proventi finanziari da crediti iscritti nelle immobilizzazioni</t>
  </si>
  <si>
    <t>C.2.C) Proventi finanziari da titoli iscritti nelle immobilizzazioni</t>
  </si>
  <si>
    <t>C.2.D) Altri proventi finanziari diversi dai precedenti</t>
  </si>
  <si>
    <t>C.2.E) Utili su cambi</t>
  </si>
  <si>
    <t>C.3)  Interessi passivi</t>
  </si>
  <si>
    <t>C.3.A) Interessi passivi su anticipazioni di cassa</t>
  </si>
  <si>
    <t>C.3.B) Interessi passivi su mutui</t>
  </si>
  <si>
    <t>C.3.C) Altri interessi passivi</t>
  </si>
  <si>
    <t>CA0150</t>
  </si>
  <si>
    <t>C.4) Altri oneri</t>
  </si>
  <si>
    <t>C.4.A) Altri oneri finanziari</t>
  </si>
  <si>
    <t>C.4.B) Perdite su cambi</t>
  </si>
  <si>
    <t>CZ9999</t>
  </si>
  <si>
    <t>Totale proventi e oneri finanziari (C)</t>
  </si>
  <si>
    <t>D)  Rettifiche di valore di attività finanziarie</t>
  </si>
  <si>
    <t>D.1)  Rivalutazioni</t>
  </si>
  <si>
    <t>D.2)  Svalutazioni</t>
  </si>
  <si>
    <t>DZ9999</t>
  </si>
  <si>
    <t>Totale rettifiche di valore di attività finanziarie (D)</t>
  </si>
  <si>
    <t>E)  Proventi e oneri straordinari</t>
  </si>
  <si>
    <t>E.1) Proventi straordinari</t>
  </si>
  <si>
    <t>E.1.A) Plusvalenze</t>
  </si>
  <si>
    <t>E.1.B) Altri proventi straordinari</t>
  </si>
  <si>
    <t>E.1.B.1) Proventi da donazioni e liberalità diverse</t>
  </si>
  <si>
    <t>E.1.B.2) Sopravvenienze attive</t>
  </si>
  <si>
    <t>E.1.B.2.1) Sopravvenienze attive per quote F.S. vincolato</t>
  </si>
  <si>
    <t xml:space="preserve">E.1.B.2.2) Sopravvenienze attive v/Aziende sanitarie pubbliche della Regione </t>
  </si>
  <si>
    <t>E.1.B.2.3) Sopravvenienze attive v/terzi</t>
  </si>
  <si>
    <t>E.1.B.2.3.A) Sopravvenienze attive v/terzi relative alla mobilità extraregionale</t>
  </si>
  <si>
    <t>E.1.B.2.3.B) Sopravvenienze attive v/terzi relative al personale</t>
  </si>
  <si>
    <t>E.1.B.2.3.C) Sopravvenienze attive v/terzi relative alle convenzioni con medici di base</t>
  </si>
  <si>
    <t>E.1.B.2.3.D) Sopravvenienze attive v/terzi relative alle convenzioni per la specialistica</t>
  </si>
  <si>
    <t>E.1.B.2.3.E) Sopravvenienze attive v/terzi relative all'acquisto prestaz. sanitarie da operatori accreditati</t>
  </si>
  <si>
    <t>E.1.B.2.3.F) Sopravvenienze attive v/terzi relative all'acquisto di beni e servizi</t>
  </si>
  <si>
    <t>E.1.B.2.3.G) Altre sopravvenienze attive v/terzi</t>
  </si>
  <si>
    <t>EA0150</t>
  </si>
  <si>
    <t xml:space="preserve">E.1.B.3) Insussistenze attive </t>
  </si>
  <si>
    <t>E.1.B.3.1) Insussistenze attive v/Aziende sanitarie pubbliche della Regione</t>
  </si>
  <si>
    <t>EA0170</t>
  </si>
  <si>
    <t>E.1.B.3.2) Insussistenze attive v/terzi</t>
  </si>
  <si>
    <t>E.1.B.3.2.A) Insussistenze attive v/terzi relative alla mobilità extraregionale</t>
  </si>
  <si>
    <t>E.1.B.3.2.B) Insussistenze attive v/terzi relative al personale</t>
  </si>
  <si>
    <t>E.1.B.3.2.C) Insussistenze attive v/terzi relative alle convenzioni con medici di base</t>
  </si>
  <si>
    <t>E.1.B.3.2.D) Insussistenze attive v/terzi relative alle convenzioni per la specialistica</t>
  </si>
  <si>
    <t>E.1.B.3.2.E) Insussistenze attive v/terzi relative all'acquisto prestaz. sanitarie da operatori accreditati</t>
  </si>
  <si>
    <t>E.1.B.3.2.F) Insussistenze attive v/terzi relative all'acquisto di beni e servizi</t>
  </si>
  <si>
    <t>E.1.B.3.2.G) Altre insussistenze attive v/terzi</t>
  </si>
  <si>
    <t>E.1.B.4) Altri proventi straordinari</t>
  </si>
  <si>
    <t>E.2) Oneri straordinari</t>
  </si>
  <si>
    <t>E.2.A) Minusvalenze</t>
  </si>
  <si>
    <t>E.2.B) Altri oneri straordinari</t>
  </si>
  <si>
    <t>E.2.B.1) Oneri tributari da esercizi precedenti</t>
  </si>
  <si>
    <t>E.2.B.2) Oneri da cause civili ed oneri processuali</t>
  </si>
  <si>
    <t>E.2.B.3) Sopravvenienze passive</t>
  </si>
  <si>
    <t>E.2.B.3.1) Sopravvenienze passive v/Aziende sanitarie pubbliche della Regione</t>
  </si>
  <si>
    <t>E.2.B.3.1.A) Sopravvenienze passive v/Aziende sanitarie pubbliche relative alla mobilità intraregionale</t>
  </si>
  <si>
    <t>E.2.B.3.1.B) Altre sopravvenienze passive v/Aziende sanitarie pubbliche della Regione</t>
  </si>
  <si>
    <t>E.2.B.3.2) Sopravvenienze passive v/terzi</t>
  </si>
  <si>
    <t>E.2.B.3.2.A) Sopravvenienze passive v/terzi relative alla mobilità extraregionale</t>
  </si>
  <si>
    <t>E.2.B.3.2.B) Sopravvenienze passive v/terzi relative al personale</t>
  </si>
  <si>
    <t>E.2.B.3.2.B.1) Soprav. passive v/terzi relative al personale - dirigenza medica</t>
  </si>
  <si>
    <t>E.2.B.3.2.B.2) Soprav. passive v/terzi relative al personale - dirigenza non medica</t>
  </si>
  <si>
    <t>E.2.B.3.2.B.3) Soprav. passive v/terzi relative al personale - comparto</t>
  </si>
  <si>
    <t>E.2.B.3.2.C) Sopravvenienze passive v/terzi relative alle convenzioni con medici di base</t>
  </si>
  <si>
    <t>E.2.B.3.2.D) Sopravvenienze passive v/terzi relative alle convenzioni per la specialistica</t>
  </si>
  <si>
    <t>E.2.B.3.2.E) Sopravvenienze passive v/terzi relative all'acquisto prestaz. sanitarie da operatori accreditati</t>
  </si>
  <si>
    <t>E.2.B.3.2.F) Sopravvenienze passive v/terzi relative all'acquisto di beni e servizi</t>
  </si>
  <si>
    <t>E.2.B.3.2.G) Altre sopravvenienze passive v/terzi</t>
  </si>
  <si>
    <t>E.2.B.4) Insussistenze passive</t>
  </si>
  <si>
    <t>E.2.B.4.1) Insussistenze passive per quote F.S. vincolato</t>
  </si>
  <si>
    <t>E.2.B.4.2) Insussistenze passive v/Aziende sanitarie pubbliche della Regione</t>
  </si>
  <si>
    <t>E.2.B.4.3) Insussistenze passive v/terzi</t>
  </si>
  <si>
    <t>E.2.B.4.3.A) Insussistenze passive v/terzi relative alla mobilità extraregionale</t>
  </si>
  <si>
    <t>E.2.B.4.3.B) Insussistenze passive v/terzi relative al personale</t>
  </si>
  <si>
    <t>E.2.B.4.3.C) Insussistenze passive v/terzi relative alle convenzioni con medici di base</t>
  </si>
  <si>
    <t>E.2.B.4.3.D) Insussistenze passive v/terzi relative alle convenzioni per la specialistica</t>
  </si>
  <si>
    <t>E.2.B.4.3.E) Insussistenze passive v/terzi relative all'acquisto prestaz. sanitarie da operatori accreditati</t>
  </si>
  <si>
    <t>E.2.B.4.3.F) Insussistenze passive v/terzi relative all'acquisto di beni e servizi</t>
  </si>
  <si>
    <t>E.2.B.4.3.G) Altre insussistenze passive v/terzi</t>
  </si>
  <si>
    <t>E.2.B.5) Altri oneri straordinari</t>
  </si>
  <si>
    <t>EZ9999</t>
  </si>
  <si>
    <t>Totale proventi e oneri straordinari (E)</t>
  </si>
  <si>
    <t>XA0000</t>
  </si>
  <si>
    <t>Risultato prima delle imposte (A - B +/- C +/- D +/- E)</t>
  </si>
  <si>
    <t xml:space="preserve">Y) Imposte e tasse </t>
  </si>
  <si>
    <t>Y.1) IRAP</t>
  </si>
  <si>
    <t>Y.1.A) IRAP relativa a personale dipendente</t>
  </si>
  <si>
    <t>Y.1.B) IRAP relativa a collaboratori e personale assimilato a lavoro dipendente</t>
  </si>
  <si>
    <t>Y.1.C) IRAP relativa ad attività di libera professione (intramoenia)</t>
  </si>
  <si>
    <t>Y.1.D) IRAP relativa ad attività commerciale</t>
  </si>
  <si>
    <t>Y.2) IRES</t>
  </si>
  <si>
    <t>Y.2.A) IRES su attività istituzionale</t>
  </si>
  <si>
    <t>Y.2.B) IRES su attività commerciale</t>
  </si>
  <si>
    <t>Y.3) Accantonamento a F.do Imposte (Accertamenti, condoni, ecc.)</t>
  </si>
  <si>
    <t>YZ9999</t>
  </si>
  <si>
    <t>Totale imposte e tasse (Y)</t>
  </si>
  <si>
    <t>ZZ9999</t>
  </si>
  <si>
    <t>RISULTATO DI ESERCIZIO</t>
  </si>
  <si>
    <t>Data ……………………</t>
  </si>
  <si>
    <t>Il Funzionario responsabile dell'area economico-finanziaria</t>
  </si>
  <si>
    <t>Il Direttore Amministrativo</t>
  </si>
  <si>
    <t>………………………………………………………………………..</t>
  </si>
  <si>
    <t>Il Direttore Generale</t>
  </si>
  <si>
    <t>Prestazioni di pronto soccorso non seguite da ricovero</t>
  </si>
  <si>
    <t>Finanziamento indistinto</t>
  </si>
  <si>
    <t>Funzioni</t>
  </si>
  <si>
    <t>Compartecipazione alla spesa per prestazioni sanitarie - Ticket sulle prestazioni di specialistica ambulatoriale e APA-PAC</t>
  </si>
  <si>
    <t>SCHEMA DI BILANCIO
Decreto interministeriale 20 marzo 2013</t>
  </si>
  <si>
    <t>(Centesimi di euro)</t>
  </si>
  <si>
    <t>Variazione
proiezione/preventivo</t>
  </si>
  <si>
    <t>Variazione
proiezione/consuntivo</t>
  </si>
  <si>
    <t xml:space="preserve">Altri beni e prodotti non sanitari </t>
  </si>
  <si>
    <t>Proiezione
al 31/12/2020</t>
  </si>
  <si>
    <t>Preventivo
2020</t>
  </si>
  <si>
    <t>Consuntivo
2019</t>
  </si>
  <si>
    <t>CONSUNTIVO
2019</t>
  </si>
  <si>
    <t>REGIONE FRIULI VENEZIA GIULIA</t>
  </si>
  <si>
    <t>X</t>
  </si>
  <si>
    <t>A)  Valore della produzione</t>
  </si>
  <si>
    <t>report al 30.06.2020</t>
  </si>
  <si>
    <t>report 31.07.2020</t>
  </si>
  <si>
    <t>di cui del report al 31.07.2020</t>
  </si>
  <si>
    <t>maggiori ricavi direttamente collegati all'emergenza COVID-19</t>
  </si>
  <si>
    <t>minori ricavi attribuibili alla riduzione dell'attività ordinaria per l'emergenza COVID-19</t>
  </si>
  <si>
    <r>
      <t xml:space="preserve">Contributi da Regione o Prov. Aut. (extra fondo) - Risorse aggiuntive da bilancio regionale a titolo di copertura </t>
    </r>
    <r>
      <rPr>
        <b/>
        <u/>
        <sz val="10"/>
        <rFont val="Calibri"/>
        <family val="2"/>
      </rPr>
      <t>LEA</t>
    </r>
  </si>
  <si>
    <r>
      <t xml:space="preserve">Contributi da Regione o Prov. Aut. (extra fondo) - Risorse aggiuntive da bilancio regionale a titolo di copertura </t>
    </r>
    <r>
      <rPr>
        <b/>
        <u/>
        <sz val="10"/>
        <rFont val="Calibri"/>
        <family val="2"/>
      </rPr>
      <t>extra LEA</t>
    </r>
  </si>
  <si>
    <t>SOMMA</t>
  </si>
  <si>
    <r>
      <t xml:space="preserve">A.1.B.1.2)  Contributi da Regione o Prov. Aut. (extra fondo) - Risorse aggiuntive da bilancio regionale a titolo di copertura </t>
    </r>
    <r>
      <rPr>
        <u/>
        <sz val="10"/>
        <rFont val="Tahoma"/>
        <family val="2"/>
      </rPr>
      <t>LEA</t>
    </r>
  </si>
  <si>
    <r>
      <t xml:space="preserve">A.1.B.1.3)  Contributi da Regione o Prov. Aut. (extra fondo) - Risorse aggiuntive da bilancio regionale a titolo di copertura </t>
    </r>
    <r>
      <rPr>
        <u/>
        <sz val="10"/>
        <rFont val="Tahoma"/>
        <family val="2"/>
      </rPr>
      <t>extra LEA</t>
    </r>
  </si>
  <si>
    <t>RICAVI</t>
  </si>
  <si>
    <t>Aggregazioni codice CE ed. 2019</t>
  </si>
  <si>
    <t>VOCE</t>
  </si>
  <si>
    <t xml:space="preserve">contributi da Regione e Prov. Aut. per quota F.S. regionale </t>
  </si>
  <si>
    <t>1</t>
  </si>
  <si>
    <t xml:space="preserve">AA0020 </t>
  </si>
  <si>
    <t>rettifica contributi in c/esercizio per destinazione ad investimenti</t>
  </si>
  <si>
    <t>contributi da regione a titolo di copertura LEA</t>
  </si>
  <si>
    <t>contributi da regione a titolo di copertura extra LEA</t>
  </si>
  <si>
    <t>utilizzo fondi per quote inutilizzate contributi di esercizi precedenti</t>
  </si>
  <si>
    <t>altri contributi in conto esercizio</t>
  </si>
  <si>
    <t>AA0050-AA0080-AA0090+AA0180+AA0230</t>
  </si>
  <si>
    <t>compartecipazioni</t>
  </si>
  <si>
    <t>payback</t>
  </si>
  <si>
    <t>altre entrate</t>
  </si>
  <si>
    <t>AA0440+AA0480+AA0570+AA0600+AA0660+AA0710+AA0720+AA0760+AA0770+AA0800+AA0840+AA0930+AA1060+CA0010+CA0050</t>
  </si>
  <si>
    <t>rettifica contributi in c/esercizio per destinazione ad investimenti - altri contributi</t>
  </si>
  <si>
    <t>costi capitalizzati</t>
  </si>
  <si>
    <t>AA0980+AA1050</t>
  </si>
  <si>
    <t>mobilità attiva intraregionale</t>
  </si>
  <si>
    <t>mobilità attiva extraregionale</t>
  </si>
  <si>
    <t>AA0460+AA0470+AA0471+AA0490+AA0500+AA0510+AA0520+AA0530+AA0541+AA0542+AA0550+AA0560+AA0561+AA0610</t>
  </si>
  <si>
    <t>TOTALE RICAVI</t>
  </si>
  <si>
    <t>14 = 1+2+3+4+5+6+7+8+9+10+11+12+13</t>
  </si>
  <si>
    <t>COSTI</t>
  </si>
  <si>
    <t>personale</t>
  </si>
  <si>
    <t>15 = 15a+15b+15c+
15d+15e</t>
  </si>
  <si>
    <t>Personale ruolo sanitario</t>
  </si>
  <si>
    <t>15a</t>
  </si>
  <si>
    <t>Personale ruolo professionale</t>
  </si>
  <si>
    <t>15b</t>
  </si>
  <si>
    <t>Personale ruolo tecnico</t>
  </si>
  <si>
    <t>15c</t>
  </si>
  <si>
    <t>Personale ruolo amministrativo</t>
  </si>
  <si>
    <t>15d</t>
  </si>
  <si>
    <t>indennità " de maria"</t>
  </si>
  <si>
    <t>15e</t>
  </si>
  <si>
    <t>BA1420+BA1810</t>
  </si>
  <si>
    <t>irap</t>
  </si>
  <si>
    <t>beni</t>
  </si>
  <si>
    <t>17 = 17a+17b</t>
  </si>
  <si>
    <t>beni sanitari</t>
  </si>
  <si>
    <t>17a</t>
  </si>
  <si>
    <t>BA0020-BA0080-BA0090-B0061-B0062</t>
  </si>
  <si>
    <t>beni non sanitari</t>
  </si>
  <si>
    <t>17b</t>
  </si>
  <si>
    <t>servizi</t>
  </si>
  <si>
    <t>18 = 18a+18b</t>
  </si>
  <si>
    <t>servizi sanitari</t>
  </si>
  <si>
    <t>18a</t>
  </si>
  <si>
    <t>BA1280+BA1350-BA1420+BA1490</t>
  </si>
  <si>
    <t>servizi non sanitari</t>
  </si>
  <si>
    <t>18b</t>
  </si>
  <si>
    <t>BA1570+BA1910+BA1990+BA2530+BA1750-BA1810+BA1880</t>
  </si>
  <si>
    <t>prestazioni da privato</t>
  </si>
  <si>
    <t>19 = 19a+19b+19c+
19d+19e+19f+19g</t>
  </si>
  <si>
    <t>medicina di base</t>
  </si>
  <si>
    <t>19a</t>
  </si>
  <si>
    <t>farmaceutica convenzionata</t>
  </si>
  <si>
    <t>19b</t>
  </si>
  <si>
    <t xml:space="preserve">BA0500 </t>
  </si>
  <si>
    <t>sumai - specialistica convenzionata interna</t>
  </si>
  <si>
    <t>19c</t>
  </si>
  <si>
    <t>BA570</t>
  </si>
  <si>
    <t>assistenza specialistica da privato</t>
  </si>
  <si>
    <t>19d</t>
  </si>
  <si>
    <t>BA0580+BA0630</t>
  </si>
  <si>
    <t>assistenza riabilitativa da privato</t>
  </si>
  <si>
    <t>19e</t>
  </si>
  <si>
    <t>BA0680+BA0690</t>
  </si>
  <si>
    <t>assistenza ospedaliera da privato</t>
  </si>
  <si>
    <t>19f</t>
  </si>
  <si>
    <t>BA0840+BA0890</t>
  </si>
  <si>
    <t>altre prestazioni da privato</t>
  </si>
  <si>
    <t>19g</t>
  </si>
  <si>
    <t>BA0740+BA0790+BA0940 +BA0950+BA1000+BA1010+BA1020+BA1070+BA1080+
BA1130+BA1180+BA1190+BA1240+BA1250</t>
  </si>
  <si>
    <t>prestazioni da pubblico</t>
  </si>
  <si>
    <t>BA0550+BA0660+BA0670+BA0720+BA0770+BA0820+BA0920+BA0930+BA0980+
BA1050+BA1110+BA1160+BA1170</t>
  </si>
  <si>
    <t>accantonamenti</t>
  </si>
  <si>
    <t>oneri finanziari</t>
  </si>
  <si>
    <t>CA0110+CA0150</t>
  </si>
  <si>
    <t>oneri fiscali (netto irap)</t>
  </si>
  <si>
    <t>BA2510+YA0060+YA0090</t>
  </si>
  <si>
    <t>ammortamenti</t>
  </si>
  <si>
    <t xml:space="preserve">mobilità passiva intraregionale </t>
  </si>
  <si>
    <t>BA0061+BA0080+BA0470+BA0510+BA0540+BA0650+BA0710+BA0760+BA0810+
BA0910+BA0970+BA1040+BA1100+BA1150</t>
  </si>
  <si>
    <t>mobilità passiva extraregionale</t>
  </si>
  <si>
    <t>BA0062+BA0090+BA0480+BA0520+BA0560+BA0561+BA0730+BA0780+BA0830+
BA0990+BA1060+BA1120+BA1161+BA1550</t>
  </si>
  <si>
    <t>saldo poste straordinarie</t>
  </si>
  <si>
    <t>-EA0010+EA0260+BA2660</t>
  </si>
  <si>
    <t>rivalutazioni e svalutazioni</t>
  </si>
  <si>
    <t>-DA0010+DA0020+BA2630+BA2520</t>
  </si>
  <si>
    <t>saldo intramoenia</t>
  </si>
  <si>
    <t>-AA0680-AA0690-AA0700-AA0730-AA0740+BA1210+BA1220+BA1230+BA1260+
BA1270</t>
  </si>
  <si>
    <t>TOTALE COSTI con poste a saldo</t>
  </si>
  <si>
    <t>30 = 
15+16+17+18+19+
20+21+22+23+24+
25+26+27+28+29</t>
  </si>
  <si>
    <t>31 = 14-30</t>
  </si>
  <si>
    <t>Conto economico sintetico ex art. 44 LR 26/2015 – periodo 31/01/2020 – 31/07/2020
anno 2020</t>
  </si>
  <si>
    <t xml:space="preserve">di cui costi incrementali COVID-19 al 31.12.2020 </t>
  </si>
  <si>
    <t>di cui costi attivita' riconvertita 31.12.2020</t>
  </si>
  <si>
    <t>somma 720</t>
  </si>
  <si>
    <t>somma 710</t>
  </si>
  <si>
    <t>somma 700</t>
  </si>
  <si>
    <t>somma 690</t>
  </si>
  <si>
    <t>somma 680</t>
  </si>
  <si>
    <t>somma 670</t>
  </si>
  <si>
    <t>somma 660</t>
  </si>
  <si>
    <t>somma 650</t>
  </si>
  <si>
    <t>somma 640</t>
  </si>
  <si>
    <t>somma 630</t>
  </si>
  <si>
    <t>somma 620</t>
  </si>
  <si>
    <t>somma 610</t>
  </si>
  <si>
    <t>somma 600</t>
  </si>
  <si>
    <t>somma 405</t>
  </si>
  <si>
    <t>somma 400</t>
  </si>
  <si>
    <t xml:space="preserve">somma 390 </t>
  </si>
  <si>
    <t>somma 375</t>
  </si>
  <si>
    <t>somma 370</t>
  </si>
  <si>
    <t>somma 365</t>
  </si>
  <si>
    <t>somma 360</t>
  </si>
  <si>
    <t>somma 355</t>
  </si>
  <si>
    <t>somma 350</t>
  </si>
  <si>
    <t>somma 345</t>
  </si>
  <si>
    <t>somma 340</t>
  </si>
  <si>
    <t>somma 335</t>
  </si>
  <si>
    <t>somma 330</t>
  </si>
  <si>
    <t>somma 325</t>
  </si>
  <si>
    <t>somma 320</t>
  </si>
  <si>
    <t>somma 315</t>
  </si>
  <si>
    <t>somma 310</t>
  </si>
  <si>
    <t>somma 305</t>
  </si>
  <si>
    <t>somma 300</t>
  </si>
  <si>
    <t>TOTALE CONTO</t>
  </si>
  <si>
    <t>RAGIONERIA</t>
  </si>
  <si>
    <t>R.F. e R.C.</t>
  </si>
  <si>
    <t>ECON-TEC-FARM</t>
  </si>
  <si>
    <t>Preventivo 2020</t>
  </si>
  <si>
    <t>Proiezione al 31/12/2020</t>
  </si>
  <si>
    <t>TOTALE CONTRIBUTI REGIONALI</t>
  </si>
  <si>
    <t>Totale contributo</t>
  </si>
  <si>
    <t>600.200.100.100.80</t>
  </si>
  <si>
    <t>Acquisti con liquidità di cassa</t>
  </si>
  <si>
    <t>Conto</t>
  </si>
  <si>
    <t>Importo</t>
  </si>
  <si>
    <t>Altri contributi finalizzati</t>
  </si>
  <si>
    <t>Direzione/Servizio</t>
  </si>
  <si>
    <t>Progetto mediazione culturale</t>
  </si>
  <si>
    <t>Contributi finalizzati</t>
  </si>
  <si>
    <t>Farmaci SMA ed emofilia</t>
  </si>
  <si>
    <t>Contratti rinnovo 2019/2021 competenza 2020</t>
  </si>
  <si>
    <t>Progetto sulla comunicazione istituzionale</t>
  </si>
  <si>
    <t>Personale in utilizzo presso la Direzione centrale salute</t>
  </si>
  <si>
    <t>Contributo per rimborso spese a valenza regionale</t>
  </si>
  <si>
    <t>600.100.100.300.20</t>
  </si>
  <si>
    <t>Funzioni per lo screening metabolico, protesi cocleari e  fibrosi cistica</t>
  </si>
  <si>
    <t xml:space="preserve">Maggiorazione tariffato 7% </t>
  </si>
  <si>
    <t>Complessità</t>
  </si>
  <si>
    <t>600.100.100.300.10</t>
  </si>
  <si>
    <t>Funzioni tariffate - Pronto soccorso</t>
  </si>
  <si>
    <t>Ricerca</t>
  </si>
  <si>
    <t>Finanziamento rinnovo contrattuale</t>
  </si>
  <si>
    <t>Integrazione finanziamento</t>
  </si>
  <si>
    <t>Contributi indistinti</t>
  </si>
  <si>
    <t>Tabella 1: Contributi regionali in c/esercizio iscritti a bilancio</t>
  </si>
  <si>
    <t>5‰</t>
  </si>
  <si>
    <t>RC</t>
  </si>
  <si>
    <t>2015(malattie genere)</t>
  </si>
  <si>
    <t>2016 salute donna</t>
  </si>
  <si>
    <t>rf</t>
  </si>
  <si>
    <t>Regione FVG</t>
  </si>
  <si>
    <t>altri pubblici</t>
  </si>
  <si>
    <t>altri pvt</t>
  </si>
  <si>
    <t>progetto donazione pvt</t>
  </si>
  <si>
    <t>TOT</t>
  </si>
  <si>
    <t>Piramidabili</t>
  </si>
  <si>
    <t>prodotti alimentari</t>
  </si>
  <si>
    <t>Assegnazione RC 2019</t>
  </si>
  <si>
    <t>dispositivi IVD</t>
  </si>
  <si>
    <t>I workflow</t>
  </si>
  <si>
    <t>II workflow</t>
  </si>
  <si>
    <t>dispositivi</t>
  </si>
  <si>
    <t>serv san da pvt</t>
  </si>
  <si>
    <t>tot</t>
  </si>
  <si>
    <t>serv san da pubbl</t>
  </si>
  <si>
    <t>call eranet</t>
  </si>
  <si>
    <t>serv non san</t>
  </si>
  <si>
    <t>rete tematiche</t>
  </si>
  <si>
    <t>per T.D.</t>
  </si>
  <si>
    <t>bibliosan</t>
  </si>
  <si>
    <t>software</t>
  </si>
  <si>
    <t>RC netto</t>
  </si>
  <si>
    <t>noleggio</t>
  </si>
  <si>
    <t>RC 2020</t>
  </si>
  <si>
    <t>contr</t>
  </si>
  <si>
    <t>bors</t>
  </si>
  <si>
    <t>missioni</t>
  </si>
  <si>
    <t>interinali</t>
  </si>
  <si>
    <t>finanziamento piramidabili 2019</t>
  </si>
  <si>
    <t>materiali per l'informatica</t>
  </si>
  <si>
    <t>abbonam</t>
  </si>
  <si>
    <t>libri</t>
  </si>
  <si>
    <t>va su abbonamenti e riviste</t>
  </si>
  <si>
    <t>assicurazioni</t>
  </si>
  <si>
    <t>contr altri enti</t>
  </si>
  <si>
    <t>tot costi</t>
  </si>
  <si>
    <t>pers int (overheads)</t>
  </si>
  <si>
    <t>tot. Overheads</t>
  </si>
  <si>
    <t>q.ta Istituto</t>
  </si>
  <si>
    <t>piramidabili</t>
  </si>
  <si>
    <t>tot ricavi</t>
  </si>
  <si>
    <t>PATRIMONIO</t>
  </si>
  <si>
    <t>c.to</t>
  </si>
  <si>
    <t>Altri serv san da pvt</t>
  </si>
  <si>
    <t>Altri serv san da pubb</t>
  </si>
  <si>
    <t>Altri serv non san da pvt</t>
  </si>
  <si>
    <t>personale T.D.</t>
  </si>
  <si>
    <t>Noleggio</t>
  </si>
  <si>
    <t>Contrattisti RC</t>
  </si>
  <si>
    <t>Contrattisti RF</t>
  </si>
  <si>
    <t xml:space="preserve">Borsisti RC </t>
  </si>
  <si>
    <t xml:space="preserve">Borsisti RF </t>
  </si>
  <si>
    <t>Missioni</t>
  </si>
  <si>
    <t>Materiale per l'informatica</t>
  </si>
  <si>
    <t>Assicurazioni</t>
  </si>
  <si>
    <t>Irap</t>
  </si>
  <si>
    <t>300/200/100</t>
  </si>
  <si>
    <t>300/100/800</t>
  </si>
  <si>
    <t>300/200/600</t>
  </si>
  <si>
    <t>300/100/300/300</t>
  </si>
  <si>
    <t>300/100/300/100</t>
  </si>
  <si>
    <t>305/100/800 /400/90</t>
  </si>
  <si>
    <t>305/200/100 /600/30/90</t>
  </si>
  <si>
    <t>vedi dettaglio fondo pagina</t>
  </si>
  <si>
    <t>310/200/600</t>
  </si>
  <si>
    <t>315/200/100</t>
  </si>
  <si>
    <t>305/100/750 /300/30/15</t>
  </si>
  <si>
    <t>305/100/750 /300/30/20</t>
  </si>
  <si>
    <t>305/100/750 /300/60/15</t>
  </si>
  <si>
    <t>305/100/750 /300/60/20</t>
  </si>
  <si>
    <t>305/200/100/600/30/65</t>
  </si>
  <si>
    <t>305/200/200/300/40</t>
  </si>
  <si>
    <t>300/200/400/200</t>
  </si>
  <si>
    <t>305/200/100/600/30/50</t>
  </si>
  <si>
    <t>305/200/100/550/20</t>
  </si>
  <si>
    <t>305/100/700 /500/35</t>
  </si>
  <si>
    <t>400/200</t>
  </si>
  <si>
    <t>tot controllo</t>
  </si>
  <si>
    <t>calcolo oneri contrattisti RC</t>
  </si>
  <si>
    <t>contrattisti vanno inseriti al lordo degli oneri</t>
  </si>
  <si>
    <t>Ricavi</t>
  </si>
  <si>
    <t>600/300/100</t>
  </si>
  <si>
    <t>calcolo oneri contrattisti RF+ 5x1000</t>
  </si>
  <si>
    <t>600/300/200</t>
  </si>
  <si>
    <t>RF-Min</t>
  </si>
  <si>
    <t>600/300/300/100</t>
  </si>
  <si>
    <t>RF Regione</t>
  </si>
  <si>
    <t>600/300/300/900</t>
  </si>
  <si>
    <t>RF Altri (pubble 5x1000)</t>
  </si>
  <si>
    <t>600/300/400</t>
  </si>
  <si>
    <t>Privati</t>
  </si>
  <si>
    <t>calcolo oneri borsisti RC</t>
  </si>
  <si>
    <t>calcolo oneri borsisti RF</t>
  </si>
  <si>
    <t>dirigenti non medici</t>
  </si>
  <si>
    <t>maestro</t>
  </si>
  <si>
    <t>stip</t>
  </si>
  <si>
    <t>320/100/200/200/10</t>
  </si>
  <si>
    <t>retr.posiz</t>
  </si>
  <si>
    <t>320/100/200/200/20</t>
  </si>
  <si>
    <t>oneri</t>
  </si>
  <si>
    <t>320/100/200/200/90</t>
  </si>
  <si>
    <t>400/100</t>
  </si>
  <si>
    <t>dirigenti medici</t>
  </si>
  <si>
    <t>ortopedico</t>
  </si>
  <si>
    <t>dirigente audiologo</t>
  </si>
  <si>
    <t>320/100/100/200/10</t>
  </si>
  <si>
    <t>320/100/100/200/20</t>
  </si>
  <si>
    <t>320/100/100/200/90/5</t>
  </si>
  <si>
    <t>dirigenti statistici</t>
  </si>
  <si>
    <t>325/100/200/100</t>
  </si>
  <si>
    <t>325/100/200/200</t>
  </si>
  <si>
    <t>325/100/200/900</t>
  </si>
  <si>
    <t>PMA</t>
  </si>
  <si>
    <t>leasing</t>
  </si>
  <si>
    <t>Leasing</t>
  </si>
  <si>
    <t>315/300/100/200</t>
  </si>
  <si>
    <t xml:space="preserve">Tabella 16: VOCI CE PER CALCOLO DEL TETTO DI SPESA DEL PERSONALE 2018 </t>
  </si>
  <si>
    <t>esercizio 2018</t>
  </si>
  <si>
    <t xml:space="preserve">importi </t>
  </si>
  <si>
    <t>LAV DIP</t>
  </si>
  <si>
    <t xml:space="preserve">LAV FLESSIBILE (co.co co, lib profess, somministraz ecc...) </t>
  </si>
  <si>
    <t>B.2.A.15.3.C) Collaborazioni coordinate e continuative sanitarie e socios. da privato</t>
  </si>
  <si>
    <t>PERS.UNIV</t>
  </si>
  <si>
    <t>TOTALE 2018</t>
  </si>
  <si>
    <t>DETRAZIONI</t>
  </si>
  <si>
    <t>(-) categorie protette nel limite della quota dell'obbligo</t>
  </si>
  <si>
    <t>(-) 305 100 750 300 30 20 Costo contrattisti - ricerca finalizzata</t>
  </si>
  <si>
    <t xml:space="preserve">(-) personale a carico di finanziamenti comunitari o privati </t>
  </si>
  <si>
    <t>(-) rinnovi contrattuali post 2004 al 2009</t>
  </si>
  <si>
    <t>(-) rinnovi triennio 2016-2018 CCNL COMPARTO- competenza 2018</t>
  </si>
  <si>
    <t>(-) rimborsi di personale comandato/in utilizzo qualora entrino nei costi del personale di cui sopra</t>
  </si>
  <si>
    <t>TOTALE DETRAZIONI</t>
  </si>
  <si>
    <t>TOTALE AL NETTO DELLE DETRAZIONI 2018</t>
  </si>
  <si>
    <t>esercizio 2020</t>
  </si>
  <si>
    <t>STIMA CHIUSURA 31/12/2020</t>
  </si>
  <si>
    <t>di cui COVID-19</t>
  </si>
  <si>
    <t>PERS UNIV</t>
  </si>
  <si>
    <t>Y.1.B)IRAP relativa a collaboratori e personale assimilato a lavoro dipendente *</t>
  </si>
  <si>
    <t>TOTALE 2020</t>
  </si>
  <si>
    <t>(-) rinnovi triennio 2016-2018 CCNL comparto (competenza)</t>
  </si>
  <si>
    <t>(-) CCNL del personale del ruolo delle ricerca sanitaria e delle attività di supporto della ricerca sanitaria</t>
  </si>
  <si>
    <t>(-) rinnovi triennio 2016-2018 CCNL dirigenza (competenza)</t>
  </si>
  <si>
    <t>(-) IVC comparto (anticipo rinnovo CCNL 2019-2021)</t>
  </si>
  <si>
    <t>(-) IVC dirigenza (anticipo rinnovo CCNL 2019-2021)</t>
  </si>
  <si>
    <t>(-) elemento perequativo comparto (anticipo rinnovo CCNL 2019-2021)</t>
  </si>
  <si>
    <t>TOTALE AL NETTO DELLE DETRAZIONI 2020</t>
  </si>
  <si>
    <t>Nelle detrazioni alla voce costo- contrattisti- ricerca finalizzata, oltre ai compensi è stata inserita l'IRAP strettamente collegata agli stessi, che non trova collocazione in altro rigo.</t>
  </si>
  <si>
    <t>Tabella 16B: ASSUNZIONI PER COVID-19</t>
  </si>
  <si>
    <t xml:space="preserve">Dirigenza </t>
  </si>
  <si>
    <t>nr unità</t>
  </si>
  <si>
    <t>Profilo</t>
  </si>
  <si>
    <t>Disciplina</t>
  </si>
  <si>
    <t>estremi provvedimento assunzione</t>
  </si>
  <si>
    <t>data sottoscrizione contratto</t>
  </si>
  <si>
    <t>tempo determinato/indeterminato</t>
  </si>
  <si>
    <t>struttura di assegnazione</t>
  </si>
  <si>
    <t>costo al 30/09/2020</t>
  </si>
  <si>
    <t>stima costo al 31/12/2020</t>
  </si>
  <si>
    <t>medico</t>
  </si>
  <si>
    <t>pediatria</t>
  </si>
  <si>
    <t>determinazione n. 111 del 20.3.2020 e proroga determinazione n. 251 del 1.7.2020</t>
  </si>
  <si>
    <t>30.03.2020</t>
  </si>
  <si>
    <t>tempo determinato</t>
  </si>
  <si>
    <t>SC Pediatria d'urgenza e p.s. pediat.</t>
  </si>
  <si>
    <t>radiologia</t>
  </si>
  <si>
    <t>determinazione n. 202 del 20.5.202</t>
  </si>
  <si>
    <t>28.5.2020</t>
  </si>
  <si>
    <t>SC Radiologia pediatrica</t>
  </si>
  <si>
    <t xml:space="preserve">medico </t>
  </si>
  <si>
    <t xml:space="preserve">ortopedia </t>
  </si>
  <si>
    <t>in fase di acquisizione</t>
  </si>
  <si>
    <t xml:space="preserve">SC Ortopedia </t>
  </si>
  <si>
    <t>audiologia</t>
  </si>
  <si>
    <t>SC Otorinolaringoiatria e audiologia</t>
  </si>
  <si>
    <t>sanitario</t>
  </si>
  <si>
    <t>farmacia</t>
  </si>
  <si>
    <t>SSD Farmacia</t>
  </si>
  <si>
    <t>biologia</t>
  </si>
  <si>
    <t>SSD Laboratorio di Diagnostica Avanzata</t>
  </si>
  <si>
    <t>totale (1)</t>
  </si>
  <si>
    <t>Comparto</t>
  </si>
  <si>
    <t>coll.prof.sanit.-tec. di laboratorio</t>
  </si>
  <si>
    <t>determinazione n. 104 del 18.3.2020 e proroga determinazione n. 239 del 19.6.2020 e n. 338 del 23.9.2020</t>
  </si>
  <si>
    <t>18.3.2020</t>
  </si>
  <si>
    <t>Area tecnico diagnostica</t>
  </si>
  <si>
    <t>determinazione n. 224 del 11.06.2020</t>
  </si>
  <si>
    <t>17.06.2020</t>
  </si>
  <si>
    <t>determinazione n. 258 del 3.7.2020</t>
  </si>
  <si>
    <t>03.07.2020</t>
  </si>
  <si>
    <t>coll.prof.sanit.- assistente sanitario</t>
  </si>
  <si>
    <t>Direzione sanitaria</t>
  </si>
  <si>
    <t>collab.prof.sanit. - tecnico della prevenzione</t>
  </si>
  <si>
    <t>determinazione proroga n. 134 del 7.4.2020</t>
  </si>
  <si>
    <t>07.04.2020</t>
  </si>
  <si>
    <t>SPPA</t>
  </si>
  <si>
    <t>collab. prof. Sanitario -infermiere</t>
  </si>
  <si>
    <t>determinazione n. 118 del 27.03.2020</t>
  </si>
  <si>
    <t>31.03.2020</t>
  </si>
  <si>
    <t>tempo indeterminato</t>
  </si>
  <si>
    <t>Direzione delle prof. Sanitarie - covid</t>
  </si>
  <si>
    <t>determinazione n. 61 del 21.02.2020</t>
  </si>
  <si>
    <t>16.03.2020</t>
  </si>
  <si>
    <t>02.04.2020</t>
  </si>
  <si>
    <t>17.03.2020</t>
  </si>
  <si>
    <t>20.03.2020</t>
  </si>
  <si>
    <t>13.03.2020</t>
  </si>
  <si>
    <t>16.04.2020</t>
  </si>
  <si>
    <t>27.04.2020</t>
  </si>
  <si>
    <t>02.05.2020</t>
  </si>
  <si>
    <t>22.04.2020</t>
  </si>
  <si>
    <t>19.03.2020</t>
  </si>
  <si>
    <t>totale (2)</t>
  </si>
  <si>
    <t>Rapporti libero professionali (comparto e dirigenza)</t>
  </si>
  <si>
    <t>disciplina</t>
  </si>
  <si>
    <t>cococo/lp/altro</t>
  </si>
  <si>
    <t>medico abilitato</t>
  </si>
  <si>
    <t>determinazione n. 147 del 15.04.2020 e proroga n. 272 del 17.07.2020</t>
  </si>
  <si>
    <t>art. 1 c. 3 D.L. 14/2020</t>
  </si>
  <si>
    <t>determinazione n. 346 del 28.09.2020</t>
  </si>
  <si>
    <t>28.09.2020</t>
  </si>
  <si>
    <t>lp</t>
  </si>
  <si>
    <t>farmacista</t>
  </si>
  <si>
    <t>determinazione n. 305 del 11.08.202</t>
  </si>
  <si>
    <t>17.08.2020</t>
  </si>
  <si>
    <t>totale (3)</t>
  </si>
  <si>
    <t>Lavoro interinale</t>
  </si>
  <si>
    <t>data inizio</t>
  </si>
  <si>
    <t>durata contratto</t>
  </si>
  <si>
    <t>/</t>
  </si>
  <si>
    <t>coll. Prof.sanit. -infermiere</t>
  </si>
  <si>
    <t>28.02.2020</t>
  </si>
  <si>
    <t>fino al 31.01.2021</t>
  </si>
  <si>
    <t>04.03.2020</t>
  </si>
  <si>
    <t>20.04.2020</t>
  </si>
  <si>
    <t>collab. prof.sanit- ostetriche</t>
  </si>
  <si>
    <t>11.06.2020</t>
  </si>
  <si>
    <t>fino al 30.09.2020</t>
  </si>
  <si>
    <t>19.06.2020</t>
  </si>
  <si>
    <t>22.06.2020</t>
  </si>
  <si>
    <t>fino al 31.12.2020</t>
  </si>
  <si>
    <t>totale (4)</t>
  </si>
  <si>
    <t>Personale trattenuto in servizio</t>
  </si>
  <si>
    <t>estremi provvedimento</t>
  </si>
  <si>
    <t>struttura di appartenenza</t>
  </si>
  <si>
    <t>….</t>
  </si>
  <si>
    <t>totale (5)</t>
  </si>
  <si>
    <t>TOTALE = (1)+(2)+(3)+(4)+(5)</t>
  </si>
  <si>
    <t>(*)</t>
  </si>
  <si>
    <t>(**)</t>
  </si>
  <si>
    <t>(*) gli importi devono corrispondere a quanto indicato nella colonna "di cui COVID-19 
al 30/09/2020" della tab. 16A "Monitoraggio spesa personale"</t>
  </si>
  <si>
    <t>(**) gli importi devono corrispondere a quanto indicato nella colonna "di cui COVID-19 
al 31/12/2020" della tab. 16A "Monitoraggio spesa personale"</t>
  </si>
  <si>
    <t>DL 18/2020 per personale  (oneri sostenuti) a rendiconto</t>
  </si>
  <si>
    <t>DL 18 per personale  (spesa programmata RAR dirigenza e comparto DGR 1311/2020 e 1312/2020) Decreti 2432/2020 e 2431/2020</t>
  </si>
  <si>
    <t>DL 34 per personale  (spesa programmata RAR dirigenza e comparto DGR 1311/2020 e 1312/2020) Decreti 2432/2020 e 2431/2020</t>
  </si>
  <si>
    <t xml:space="preserve">Quota integrativa indistinto di parte corrente  DGR 1862/2020 </t>
  </si>
  <si>
    <t>Minori ricavi e maggiorni oneri enti SSR causa Covid  FONDI REGIONALI</t>
  </si>
  <si>
    <t>Accantonamento rinnovi contrattuali 2019/2021 comparto e dirigenza _ competenza 2020 - integrazione</t>
  </si>
  <si>
    <t>Risorse aggiuntive regionali per personale dipendente del comparto e della dirigenza del SSR (importi con oneri inclusi e  compreso il 509.779 del personale elisoccorso)</t>
  </si>
  <si>
    <t>Incentivi COVID-19 personale SSR</t>
  </si>
  <si>
    <t>FINANZIAM COVID MINISTERIALI</t>
  </si>
  <si>
    <t>DL 34/2020 personale a rendiconto</t>
  </si>
  <si>
    <t>DL 104/2020 liste d'attesa</t>
  </si>
  <si>
    <t>RAR dirigenza</t>
  </si>
  <si>
    <t>RAR dirigenza PTA</t>
  </si>
  <si>
    <t>RAR comparto</t>
  </si>
  <si>
    <t>III Trimestrale</t>
  </si>
  <si>
    <t>diff precons - III trim</t>
  </si>
  <si>
    <t>finanziamento</t>
  </si>
  <si>
    <t>accantonamento</t>
  </si>
  <si>
    <t>costi pers covid</t>
  </si>
  <si>
    <t>co co co</t>
  </si>
  <si>
    <t>Sovraziendali</t>
  </si>
  <si>
    <t>&lt; costi e &lt; ricavi</t>
  </si>
  <si>
    <t>effetto COVID I versione senza sovraz</t>
  </si>
  <si>
    <t>sovraz 44</t>
  </si>
  <si>
    <t>sovraz 45</t>
  </si>
  <si>
    <t>effetto COVID al netto</t>
  </si>
  <si>
    <t xml:space="preserve">effetto COVID </t>
  </si>
  <si>
    <t>effetto partite tolte su indicazioni DCS/ARCS</t>
  </si>
  <si>
    <t>effetto partite &lt; costi e &lt; ricavi tolte indicazioni ARCS</t>
  </si>
  <si>
    <t>Totale finanziato per CCNL</t>
  </si>
  <si>
    <t>di cui indistinto</t>
  </si>
  <si>
    <t>di cui da sovraziendali</t>
  </si>
  <si>
    <t>STATO PATRIMONIALE
Attivo</t>
  </si>
  <si>
    <t>Importi: Unità di Euro</t>
  </si>
  <si>
    <t>Anno 2019</t>
  </si>
  <si>
    <t>VARIAZIONE 2019/2018</t>
  </si>
  <si>
    <t>IMMOBILIZZAZIONI</t>
  </si>
  <si>
    <t>Immobilizzazioni immateriali</t>
  </si>
  <si>
    <t>Costi d'impianto e di ampliamento</t>
  </si>
  <si>
    <t>Costi di ricerca, sviluppo</t>
  </si>
  <si>
    <t>Diritti di brevetto e di utilizzazione delle opere dell'ingegno</t>
  </si>
  <si>
    <t>4)</t>
  </si>
  <si>
    <t>Immobilizzazioni immateriali in corso e acconti</t>
  </si>
  <si>
    <t>5)</t>
  </si>
  <si>
    <t>Altre immobilizzazioni immateriali</t>
  </si>
  <si>
    <t>Immobilizzazioni materiali</t>
  </si>
  <si>
    <t>Terreni</t>
  </si>
  <si>
    <t>a)</t>
  </si>
  <si>
    <t>Terreni disponibili</t>
  </si>
  <si>
    <t>b)</t>
  </si>
  <si>
    <t>Terreni indisponibili</t>
  </si>
  <si>
    <t>Fabbricati</t>
  </si>
  <si>
    <t>Fabbricati non strumentali (disponibili)</t>
  </si>
  <si>
    <t>Fabbricati strumentali (indisponibili)</t>
  </si>
  <si>
    <t>Impianti e macchinari</t>
  </si>
  <si>
    <t>Attrezzature sanitarie e scientifiche</t>
  </si>
  <si>
    <t>Mobili e arredi</t>
  </si>
  <si>
    <t>6)</t>
  </si>
  <si>
    <t>Automezzi</t>
  </si>
  <si>
    <t>7)</t>
  </si>
  <si>
    <t>Oggetti d'arte</t>
  </si>
  <si>
    <t>8)</t>
  </si>
  <si>
    <t>Altre immobilizzazioni materiali</t>
  </si>
  <si>
    <t>9)</t>
  </si>
  <si>
    <t>Immobilizzazioni materiali in corso e acconti</t>
  </si>
  <si>
    <t>Entro 12 mesi</t>
  </si>
  <si>
    <t>Oltre 12 mesi</t>
  </si>
  <si>
    <t>Immobilizzazioni finanziarie (con separata indicazione, per ciascuna voce dei crediti, degli importi esigibili entro l'esercizio successivo)</t>
  </si>
  <si>
    <t>Crediti finanziari</t>
  </si>
  <si>
    <t>Crediti finanziari v/Stato</t>
  </si>
  <si>
    <t>Crediti finanziari v/Regione</t>
  </si>
  <si>
    <t>c)</t>
  </si>
  <si>
    <t>Crediti finanziari v/partecipate</t>
  </si>
  <si>
    <t>d)</t>
  </si>
  <si>
    <t>Crediti finanziari v/altri</t>
  </si>
  <si>
    <t>Titoli</t>
  </si>
  <si>
    <t>Partecipazioni</t>
  </si>
  <si>
    <t>Altri titoli</t>
  </si>
  <si>
    <t>Totale A)</t>
  </si>
  <si>
    <t>ATTIVO CIRCOLANTE</t>
  </si>
  <si>
    <t>Rimanenze</t>
  </si>
  <si>
    <t>Rimanenze beni sanitari</t>
  </si>
  <si>
    <t>Rimanenze beni non sanitari</t>
  </si>
  <si>
    <t>Acconti per acquisti beni sanitari</t>
  </si>
  <si>
    <t>Acconti per acquisti beni non sanitari</t>
  </si>
  <si>
    <t>Crediti (con separata indicazione per ciascuna voce, degli importi esigibili oltre l'esercizio successivo)</t>
  </si>
  <si>
    <t>Crediti v/Stato</t>
  </si>
  <si>
    <t>Crediti v/Stato parte corrente</t>
  </si>
  <si>
    <t>Crediti v/Stato per spesa corrente ed acconti</t>
  </si>
  <si>
    <t>Crediti v/Stato -  altro</t>
  </si>
  <si>
    <t>Crediti v/Stato per investimenti</t>
  </si>
  <si>
    <t>Crediti v/Stato per ricerca</t>
  </si>
  <si>
    <t xml:space="preserve">Crediti v/Ministero della Salute per ricerca corrente </t>
  </si>
  <si>
    <t>Crediti v/ Ministero della Salute per ricerca finalizzata</t>
  </si>
  <si>
    <t xml:space="preserve">Crediti v/Stato per ricerca - altre Amministrazioni centrali </t>
  </si>
  <si>
    <t>Crediti v/Stato - investimenti per ricerca</t>
  </si>
  <si>
    <t>Crediti v/prefetture</t>
  </si>
  <si>
    <t>Crediti v/Regione o Provincia Autonoma</t>
  </si>
  <si>
    <t>Crediti v/Regione o Provincia Autonoma - parte corrente</t>
  </si>
  <si>
    <t>Crediti v/Regione o Provincia Autonoma per spesa corrente</t>
  </si>
  <si>
    <t>a) Crediti v/Regione o Provincia Autonoma per finanziamento sanitario ordinario corrente</t>
  </si>
  <si>
    <t>b) Crediti v/Regione o Provincia Autonoma per finanziamento sanitario aggiuntivo corrente LEA</t>
  </si>
  <si>
    <t>c) Crediti v/Regione o Provincia Autonoma per finanziamento sanitario aggiuntivo corrente extra LEA</t>
  </si>
  <si>
    <t>d) Crediti v/Regione o Provincia Autonoma per spesa corrente - altro</t>
  </si>
  <si>
    <t>Crediti v/Regione o Provincia Autonoma per ricerca</t>
  </si>
  <si>
    <t>Crediti v/Regione o Provincia Autonoma - patrimonio netto</t>
  </si>
  <si>
    <t>Crediti v/Regione o Provincia Autonoma per finanziamenti per investimenti</t>
  </si>
  <si>
    <t>Crediti v/Regione o Provincia Autonoma per incremento fondo dotazione</t>
  </si>
  <si>
    <t>Crediti v/Regione o Provincia Autonoma per ripiano perdite</t>
  </si>
  <si>
    <t>Crediti v/Regione o Provincia Autonoma per ricostituzione risorse da investimenti esercizi precedenti</t>
  </si>
  <si>
    <t>Crediti v/Comuni</t>
  </si>
  <si>
    <t>Crediti v/Aziende sanitarie pubbliche e acconto quota FSR da distribuire</t>
  </si>
  <si>
    <t>Crediti v/Aziende sanitarie pubbliche della Regione</t>
  </si>
  <si>
    <t>Crediti v/Aziende sanitarie pubbliche fuori Regione</t>
  </si>
  <si>
    <t>Crediti v/società partecipate e/o enti dipendenti della Regione</t>
  </si>
  <si>
    <t>Crediti v/Erario</t>
  </si>
  <si>
    <t>Crediti v/altri</t>
  </si>
  <si>
    <t>Attività finanziarie che non costituiscono immobilizzazioni</t>
  </si>
  <si>
    <t>Partecipazioni che non costituiscono immobilizzazioni</t>
  </si>
  <si>
    <t>Altri titoli che non costituiscono immobilizzazioni</t>
  </si>
  <si>
    <t>Disponibilità liquide</t>
  </si>
  <si>
    <t>Cassa</t>
  </si>
  <si>
    <t>Istituto Tesoriere</t>
  </si>
  <si>
    <t>Tesoreria Unica</t>
  </si>
  <si>
    <t>Conto corrente postale</t>
  </si>
  <si>
    <t>Totale B)</t>
  </si>
  <si>
    <t>RATEI E RISCONTI ATTIVI</t>
  </si>
  <si>
    <t>Ratei attivi</t>
  </si>
  <si>
    <t>Risconti attivi</t>
  </si>
  <si>
    <t>Totale C)</t>
  </si>
  <si>
    <t>TOTALE ATTIVO (A+B+C)</t>
  </si>
  <si>
    <t>CONTI D'ORDINE</t>
  </si>
  <si>
    <t xml:space="preserve">1) </t>
  </si>
  <si>
    <t>Canoni leasing ancora da pagare</t>
  </si>
  <si>
    <t>Depositi cauzionali</t>
  </si>
  <si>
    <t>Beni in comodato</t>
  </si>
  <si>
    <t>Altri conti d'ordine</t>
  </si>
  <si>
    <t>Totale D)</t>
  </si>
  <si>
    <t>STATO PATRIMONIALE
Passivo e Patrimonio netto</t>
  </si>
  <si>
    <t>Importi: unità di Euro</t>
  </si>
  <si>
    <t>PATRIMONIO NETTO</t>
  </si>
  <si>
    <t>Fondo di dotazione</t>
  </si>
  <si>
    <t>Finanziamenti per investimenti</t>
  </si>
  <si>
    <t xml:space="preserve"> Finanziamenti per beni di prima dotazione</t>
  </si>
  <si>
    <t>Finanziamenti da Stato per investimenti</t>
  </si>
  <si>
    <t xml:space="preserve">a) </t>
  </si>
  <si>
    <t>Finanziamenti da Stato per investimenti - ex art. 20 legge 67/88</t>
  </si>
  <si>
    <t>Finanziamenti da Stato per ricerca</t>
  </si>
  <si>
    <t xml:space="preserve">c) </t>
  </si>
  <si>
    <t>Finanziamenti da Stato - altro</t>
  </si>
  <si>
    <t>Finanziamenti da Regione per investimenti</t>
  </si>
  <si>
    <t>Finanziamenti da altri soggetti pubblici per investimenti</t>
  </si>
  <si>
    <t>Finanziamenti per investimenti da rettifica contributi in conto esercizio</t>
  </si>
  <si>
    <t>Riserve da donazioni e lasciti vincolati ad investimenti</t>
  </si>
  <si>
    <t>Altre riserve</t>
  </si>
  <si>
    <t xml:space="preserve">Contributi per ripiani perdite </t>
  </si>
  <si>
    <t>Utili (perdite) portati a nuovo</t>
  </si>
  <si>
    <t>VII</t>
  </si>
  <si>
    <t>Utile (Perdita) dell'esercizio</t>
  </si>
  <si>
    <t>FONDI PER RISCHI E ONERI</t>
  </si>
  <si>
    <t>Fondi per imposte, anche differite</t>
  </si>
  <si>
    <t>Fondi per rischi</t>
  </si>
  <si>
    <t>Fondi da distribuire</t>
  </si>
  <si>
    <t xml:space="preserve">Quote inutilizzate contributi di parte corrente vincolati </t>
  </si>
  <si>
    <t>Altri fondi oneri</t>
  </si>
  <si>
    <t>TRATTAMENTO FINE RAPPORTO</t>
  </si>
  <si>
    <t>Premio operosità</t>
  </si>
  <si>
    <t>TFR personale dipendente</t>
  </si>
  <si>
    <t>DEBITI (con separata indicazione per ciascuna voce, degli importi esigibili oltre l'esercizio successivo)</t>
  </si>
  <si>
    <t>Mutui passivi</t>
  </si>
  <si>
    <t>Debiti v/Stato</t>
  </si>
  <si>
    <t>Debiti v/Regione o provincia Autonoma</t>
  </si>
  <si>
    <t>Debiti v/Comuni</t>
  </si>
  <si>
    <t>Debiti verso aziende sanitarie pubbliche</t>
  </si>
  <si>
    <t>Debiti v/ aziende sanitarie pubbliche della Regione per spese correnti e mobilità</t>
  </si>
  <si>
    <t>Debiti v/ aziende sanitarie pubbliche della Regione per finanziamento sanitario aggiuntivo corrente LEA</t>
  </si>
  <si>
    <t>Debiti v/ aziende sanitarie pubbliche della Regione per finanziamento sanitario aggiuntivo corrente extra LEA</t>
  </si>
  <si>
    <t>Debiti v/ aziende sanitarie pubbliche della Regione per altre prestazioni</t>
  </si>
  <si>
    <t>e)</t>
  </si>
  <si>
    <t>Debiti v/ aziende sanitarie pubbliche della Regione per versamenti a patrimonio netto</t>
  </si>
  <si>
    <t>f)</t>
  </si>
  <si>
    <t>Debiti v/ aziende sanitarie pubbliche fuori Regione</t>
  </si>
  <si>
    <t>Debiti v/ società partecipate e/o enti dipendenti della Regione</t>
  </si>
  <si>
    <t>Debiti v/ fornitori</t>
  </si>
  <si>
    <t>Debiti v/ istituto tesoriere</t>
  </si>
  <si>
    <t>Debiti tributari</t>
  </si>
  <si>
    <t>10)</t>
  </si>
  <si>
    <t>Debiti v/ altri finanziatori</t>
  </si>
  <si>
    <t>11)</t>
  </si>
  <si>
    <t>Debiti v/ istituti previdenziali e sicurezza sociale</t>
  </si>
  <si>
    <t>12)</t>
  </si>
  <si>
    <t>Debiti v/ altri</t>
  </si>
  <si>
    <t>RATEI E RISCONTI PASSIVI</t>
  </si>
  <si>
    <t>Ratei passivi</t>
  </si>
  <si>
    <t>Risconti passivi</t>
  </si>
  <si>
    <t>Totale E)</t>
  </si>
  <si>
    <t>TOTALE PASSIVO E PATRIMONIO NETTO (A+B+C+D+E)</t>
  </si>
  <si>
    <t>F)</t>
  </si>
  <si>
    <t>Totale F)</t>
  </si>
  <si>
    <t>SP</t>
  </si>
  <si>
    <t xml:space="preserve">MODELLO DI RILEVAZIONE DELLO STATO PATRIMONIALE 
ENTI DEL SERVIZIO SANITARIO NAZIONALE
</t>
  </si>
  <si>
    <t>OGGETTO DELLA RILEVAZIONE</t>
  </si>
  <si>
    <t xml:space="preserve">CONSUNTIVO </t>
  </si>
  <si>
    <t>(Centesimo di euro)</t>
  </si>
  <si>
    <t>IMPORTO
2019</t>
  </si>
  <si>
    <t>AAZ999</t>
  </si>
  <si>
    <t>A) IMMOBILIZZAZIONI</t>
  </si>
  <si>
    <t>AAA000</t>
  </si>
  <si>
    <t>A.I) IMMOBILIZZAZIONI IMMATERIALI</t>
  </si>
  <si>
    <t>AAA010</t>
  </si>
  <si>
    <t>A.I.1) Costi di impianto e di ampliamento</t>
  </si>
  <si>
    <t>AAA020</t>
  </si>
  <si>
    <t>A.I.1.a) Costi di impianto e di ampliamento</t>
  </si>
  <si>
    <t>AAA030</t>
  </si>
  <si>
    <t>A.I.1.b) F.do Amm.to costi di impianto e di ampliamento</t>
  </si>
  <si>
    <t>AAA040</t>
  </si>
  <si>
    <t>A.I.2) Costi di ricerca e sviluppo</t>
  </si>
  <si>
    <t>AAA050</t>
  </si>
  <si>
    <t>A.I.2.a) Costi di ricerca e sviluppo</t>
  </si>
  <si>
    <t>AAA060</t>
  </si>
  <si>
    <t>A.I.2.b) F.do Amm.to costi di ricerca e sviluppo</t>
  </si>
  <si>
    <t>AAA070</t>
  </si>
  <si>
    <t>A.I.3) Diritti di brevetto e diritti di utilizzazione delle opere d'ingegno</t>
  </si>
  <si>
    <t>AAA080</t>
  </si>
  <si>
    <t>A.I.3.a) Diritti di brevetto e diritti di utilizzazione delle opere d'ingegno - derivanti dall'attività di ricerca</t>
  </si>
  <si>
    <t>AAA090</t>
  </si>
  <si>
    <t>A.I.3.b) F.do Amm.to diritti di brevetto e diritti di utilizzazione delle opere d'ingegno - derivanti dall'attività di ricerca</t>
  </si>
  <si>
    <t>AAA100</t>
  </si>
  <si>
    <t>A.I.3.c) Diritti di brevetto e diritti di utilizzazione delle opere d'ingegno - altri</t>
  </si>
  <si>
    <t>AAA110</t>
  </si>
  <si>
    <t>A.I.3.d) F.do Amm.to diritti di brevetto e diritti di utilizzazione delle opere d'ingegno - altri</t>
  </si>
  <si>
    <t>AAA120</t>
  </si>
  <si>
    <t>A.I.4) Immobilizzazioni immateriali in corso e acconti</t>
  </si>
  <si>
    <t>AAA130</t>
  </si>
  <si>
    <t>A.I.5) Altre immobilizzazioni immateriali</t>
  </si>
  <si>
    <t>AAA140</t>
  </si>
  <si>
    <t>A.I.5.a) Concessioni, licenze, marchi e diritti simili</t>
  </si>
  <si>
    <t>AAA150</t>
  </si>
  <si>
    <t>A.I.5.b) F.do Amm.to concessioni, licenze, marchi e diritti simili</t>
  </si>
  <si>
    <t>AAA160</t>
  </si>
  <si>
    <t>A.I.5.c) Migliorie su beni di terzi</t>
  </si>
  <si>
    <t>AAA170</t>
  </si>
  <si>
    <t>A.I.5.d) F.do Amm.to migliorie su beni di terzi</t>
  </si>
  <si>
    <t>AAA180</t>
  </si>
  <si>
    <t>A.I.5.e) Pubblicità</t>
  </si>
  <si>
    <t>AAA190</t>
  </si>
  <si>
    <t>A.I.5.f) F.do Amm.to pubblicità</t>
  </si>
  <si>
    <t>AAA200</t>
  </si>
  <si>
    <t>A.I.5.g) Altre immobilizzazioni immateriali</t>
  </si>
  <si>
    <t>AAA210</t>
  </si>
  <si>
    <t>A.I.5.h) F.do Amm.to altre immobilizzazioni immateriali</t>
  </si>
  <si>
    <t>AAA220</t>
  </si>
  <si>
    <t>A.I.6) Fondo Svalutazione immobilizzazioni immateriali</t>
  </si>
  <si>
    <t>AAA230</t>
  </si>
  <si>
    <t>A.I.6.a) F.do Svalut. Costi di impianto e di ampliamento</t>
  </si>
  <si>
    <t>AAA240</t>
  </si>
  <si>
    <t>A.I.6.b) F.do Svalut. Costi di ricerca e sviluppo</t>
  </si>
  <si>
    <t>AAA250</t>
  </si>
  <si>
    <t>A.I.6.c) F.do Svalut. Diritti di brevetto e diritti di utilizzazione delle opere d'ingegno</t>
  </si>
  <si>
    <t>AAA260</t>
  </si>
  <si>
    <t>A.I.6.d) F.do Svalut. Altre immobilizzazioni immateriali</t>
  </si>
  <si>
    <t>AAA270</t>
  </si>
  <si>
    <t>A.II)IMMOBILIZZAZIONI MATERIALI</t>
  </si>
  <si>
    <t>AAA280</t>
  </si>
  <si>
    <t>A.II.1) Terreni</t>
  </si>
  <si>
    <t>AAA290</t>
  </si>
  <si>
    <t>A.II.1.a) Terreni disponibili</t>
  </si>
  <si>
    <t>AAA300</t>
  </si>
  <si>
    <t>A.II.1.b) Terreni indisponibili</t>
  </si>
  <si>
    <t>AAA310</t>
  </si>
  <si>
    <t>A.II.2) Fabbricati</t>
  </si>
  <si>
    <t>AAA320</t>
  </si>
  <si>
    <t>A.II.2.a) Fabbricati non strumentali (disponibili)</t>
  </si>
  <si>
    <t>AAA330</t>
  </si>
  <si>
    <t>A.II.2.a.1) Fabbricati non strumentali (disponibili)</t>
  </si>
  <si>
    <t>AAA340</t>
  </si>
  <si>
    <t>A.II.2.a.2) F.do Amm.to Fabbricati non strumentali (disponibili)</t>
  </si>
  <si>
    <t>AAA350</t>
  </si>
  <si>
    <t>A.II.2.b) Fabbricati strumentali (indisponibili)</t>
  </si>
  <si>
    <t>AAA360</t>
  </si>
  <si>
    <t>A.II.2.b.1) Fabbricati strumentali (indisponibili)</t>
  </si>
  <si>
    <t>AAA370</t>
  </si>
  <si>
    <t>A.II.2.b.2) F.do Amm.to Fabbricati strumentali (indisponibili)</t>
  </si>
  <si>
    <t>AAA380</t>
  </si>
  <si>
    <t>A.II.3) Impianti e macchinari</t>
  </si>
  <si>
    <t>AAA390</t>
  </si>
  <si>
    <t>A.II.3.a) Impianti e macchinari</t>
  </si>
  <si>
    <t>AAA400</t>
  </si>
  <si>
    <t>A.II.3.b) F.do Amm.to Impianti e macchinari</t>
  </si>
  <si>
    <t>AAA410</t>
  </si>
  <si>
    <t>A.II.4) Attrezzature sanitarie e scientifiche</t>
  </si>
  <si>
    <t>AAA420</t>
  </si>
  <si>
    <t>A.II.4.a) Attrezzature sanitarie e scientifiche</t>
  </si>
  <si>
    <t>AAA430</t>
  </si>
  <si>
    <t>A.II.4.b) F.do Amm.to Attrezzature sanitarie e scientifiche</t>
  </si>
  <si>
    <t>AAA440</t>
  </si>
  <si>
    <t>A.II.5) Mobili e arredi</t>
  </si>
  <si>
    <t>AAA450</t>
  </si>
  <si>
    <t>A.II.5.a) Mobili e arredi</t>
  </si>
  <si>
    <t>AAA460</t>
  </si>
  <si>
    <t>A.II.5.b) F.do Amm.to Mobili e arredi</t>
  </si>
  <si>
    <t>AAA470</t>
  </si>
  <si>
    <t>A.II.6) Automezzi</t>
  </si>
  <si>
    <t>AAA480</t>
  </si>
  <si>
    <t>A.II.6.a) Automezzi</t>
  </si>
  <si>
    <t>AAA490</t>
  </si>
  <si>
    <t>A.II.6.b) F.do Amm.to Automezzi</t>
  </si>
  <si>
    <t>AAA500</t>
  </si>
  <si>
    <t>A.II.7) Oggetti d'arte</t>
  </si>
  <si>
    <t>AAA510</t>
  </si>
  <si>
    <t>A.II.8) Altre immobilizzazioni materiali</t>
  </si>
  <si>
    <t>AAA520</t>
  </si>
  <si>
    <t>A.II.8.a) Altre immobilizzazioni materiali</t>
  </si>
  <si>
    <t>AAA530</t>
  </si>
  <si>
    <t>A.II.8.b) F.do Amm.to Altre immobilizzazioni materiali</t>
  </si>
  <si>
    <t>AAA540</t>
  </si>
  <si>
    <t>A.II.9) Immobilizzazioni materiali in corso e acconti</t>
  </si>
  <si>
    <t>AAA550</t>
  </si>
  <si>
    <t>A.II.10) Fondo Svalutazione immobilizzazioni materiali</t>
  </si>
  <si>
    <t>AAA560</t>
  </si>
  <si>
    <t>A.II.10.a) F.do Svalut. Terreni</t>
  </si>
  <si>
    <t>AAA570</t>
  </si>
  <si>
    <t>A.II.10.b) F.do Svalut. Fabbricati</t>
  </si>
  <si>
    <t>AAA580</t>
  </si>
  <si>
    <t>A.II.10.c) F.do Svalut. Impianti e macchinari</t>
  </si>
  <si>
    <t>AAA590</t>
  </si>
  <si>
    <t>A.II.10.d) F.do Svalut. Attrezzature sanitarie e scientifiche</t>
  </si>
  <si>
    <t>AAA600</t>
  </si>
  <si>
    <t>A.II.10.e) F.do Svalut. Mobili e arredi</t>
  </si>
  <si>
    <t>AAA610</t>
  </si>
  <si>
    <t>A.II.10.f) F.do Svalut. Automezzi</t>
  </si>
  <si>
    <t>AAA620</t>
  </si>
  <si>
    <t>A.II.10.g) F.do Svalut. Oggetti d'arte</t>
  </si>
  <si>
    <t>AAA630</t>
  </si>
  <si>
    <t>A.II.10.h) F.do Svalut. Altre immobilizzazioni materiali</t>
  </si>
  <si>
    <t>AAA640</t>
  </si>
  <si>
    <t>A.III)IMMOBILIZZAZIONI FINANZIARIE</t>
  </si>
  <si>
    <t>AAA650</t>
  </si>
  <si>
    <t>A.III.1) Crediti finanziari</t>
  </si>
  <si>
    <t>AAA660</t>
  </si>
  <si>
    <t>A.III.1.a) Crediti finanziari v/Stato</t>
  </si>
  <si>
    <t>AAA670</t>
  </si>
  <si>
    <t>A.III.1.b) Crediti finanziari v/Regione</t>
  </si>
  <si>
    <t>AAA680</t>
  </si>
  <si>
    <t>A.III.1.c) Crediti finanziari v/partecipate</t>
  </si>
  <si>
    <t>AAA690</t>
  </si>
  <si>
    <t>A.III.1.d) Crediti finanziari v/altri</t>
  </si>
  <si>
    <t>AAA700</t>
  </si>
  <si>
    <t>A.III.2) Titoli</t>
  </si>
  <si>
    <t>AAA710</t>
  </si>
  <si>
    <t>A.III.2.a) Partecipazioni</t>
  </si>
  <si>
    <t>AAA720</t>
  </si>
  <si>
    <t>A.III.2.b) Altri titoli</t>
  </si>
  <si>
    <t>AAA730</t>
  </si>
  <si>
    <t>A.III.2.b.1) Titoli di Stato</t>
  </si>
  <si>
    <t>AAA740</t>
  </si>
  <si>
    <t>A.III.2.b.2) Altre Obbligazioni</t>
  </si>
  <si>
    <t>AAA750</t>
  </si>
  <si>
    <t>A.III.2.b.3) Titoli azionari quotati in Borsa</t>
  </si>
  <si>
    <t>AAA760</t>
  </si>
  <si>
    <t>A.III.2.b.4) Titoli diversi</t>
  </si>
  <si>
    <t>ABZ999</t>
  </si>
  <si>
    <t>B) ATTIVO CIRCOLANTE</t>
  </si>
  <si>
    <t>ABA000</t>
  </si>
  <si>
    <t>B.I) RIMANENZE</t>
  </si>
  <si>
    <t>ABA010</t>
  </si>
  <si>
    <t>B.I.1) Rimanenze beni sanitari</t>
  </si>
  <si>
    <t>ABA020</t>
  </si>
  <si>
    <t>B.I.1.a) Prodotti farmaceutici ed emoderivati</t>
  </si>
  <si>
    <t>ABA030</t>
  </si>
  <si>
    <t>B.I.1.b) Sangue ed emocomponenti</t>
  </si>
  <si>
    <t>ABA040</t>
  </si>
  <si>
    <t>B.I.1.c) Dispositivi medici</t>
  </si>
  <si>
    <t>ABA050</t>
  </si>
  <si>
    <t>B.I.1.d) Prodotti dietetici</t>
  </si>
  <si>
    <t>ABA060</t>
  </si>
  <si>
    <t>B.I.1.e) Materiali per la profilassi (vaccini)</t>
  </si>
  <si>
    <t>ABA070</t>
  </si>
  <si>
    <t>B.I.1.f) Prodotti chimici</t>
  </si>
  <si>
    <t>ABA080</t>
  </si>
  <si>
    <t>B.I.1.g) Materiali e prodotti per uso veterinario</t>
  </si>
  <si>
    <t>ABA090</t>
  </si>
  <si>
    <t>B.I.1.h) Altri beni e prodotti sanitari</t>
  </si>
  <si>
    <t>ABA100</t>
  </si>
  <si>
    <t>B.I.1.i) Acconti per acquisto di beni e prodotti sanitari</t>
  </si>
  <si>
    <t>ABA110</t>
  </si>
  <si>
    <t>B.I.2) Rimanenze beni non sanitari</t>
  </si>
  <si>
    <t>ABA120</t>
  </si>
  <si>
    <t>B.I.2.a) Prodotti alimentari</t>
  </si>
  <si>
    <t>ABA130</t>
  </si>
  <si>
    <t>B.I.2.b) Materiali di guardaroba, di pulizia, e di convivenza in genere</t>
  </si>
  <si>
    <t>ABA140</t>
  </si>
  <si>
    <t>B.I.2.c) Combustibili, carburanti e lubrificanti</t>
  </si>
  <si>
    <t>ABA150</t>
  </si>
  <si>
    <t>B.I.2.d) Supporti informatici e cancelleria</t>
  </si>
  <si>
    <t>ABA160</t>
  </si>
  <si>
    <t>B.I.2.e) Materiale per la manutenzione</t>
  </si>
  <si>
    <t>ABA170</t>
  </si>
  <si>
    <t>B.I.2.f) Altri beni e prodotti non sanitari</t>
  </si>
  <si>
    <t>ABA180</t>
  </si>
  <si>
    <t>B.I.2.g) Acconti per acquisto di beni e prodotti non sanitari</t>
  </si>
  <si>
    <t>ABA190</t>
  </si>
  <si>
    <t xml:space="preserve">B.II) CREDITI </t>
  </si>
  <si>
    <t>ABA200</t>
  </si>
  <si>
    <t>B.II.1) Crediti v/Stato</t>
  </si>
  <si>
    <t>ABA201</t>
  </si>
  <si>
    <t>B.II.1.a) Crediti v/Stato per spesa corrente - FSN indistinto</t>
  </si>
  <si>
    <t>ABA220</t>
  </si>
  <si>
    <t>B.II.1.b) Crediti v/Stato per spesa corrente - FSN vincolato</t>
  </si>
  <si>
    <t>ABA230</t>
  </si>
  <si>
    <t>B.II.1.c) Crediti v/Stato per mobilità attiva extraregionale</t>
  </si>
  <si>
    <t>ABA240</t>
  </si>
  <si>
    <t>B.II.1.d) Crediti v/Stato per mobilità attiva internazionale</t>
  </si>
  <si>
    <t>ABA250</t>
  </si>
  <si>
    <t>B.II.1.e) Crediti v/Stato per acconto quota fabbisogno sanitario regionale standard</t>
  </si>
  <si>
    <t>ABA260</t>
  </si>
  <si>
    <t>B.II.1.f) Crediti v/Stato per finanziamento sanitario aggiuntivo corrente</t>
  </si>
  <si>
    <t>ABA270</t>
  </si>
  <si>
    <t>B.II.1.g) Crediti v/Stato per spesa corrente - altro</t>
  </si>
  <si>
    <t>ABA271</t>
  </si>
  <si>
    <t>B.II.1.h) Crediti v/Stato per spesa corrente per STP (ex D.lgs. 286/98)</t>
  </si>
  <si>
    <t>ABA280</t>
  </si>
  <si>
    <t>B.II.1.i) Crediti v/Stato per finanziamenti per investimenti</t>
  </si>
  <si>
    <t>ABA290</t>
  </si>
  <si>
    <t>B.II.1.j) Crediti v/Stato per ricerca</t>
  </si>
  <si>
    <t>ABA300</t>
  </si>
  <si>
    <t>B.II.1.j.1) Crediti v/Stato per ricerca corrente - Ministero della Salute</t>
  </si>
  <si>
    <t>ABA310</t>
  </si>
  <si>
    <t>B.II.1.j.2) Crediti v/Stato per ricerca finalizzata - Ministero della Salute</t>
  </si>
  <si>
    <t>ABA320</t>
  </si>
  <si>
    <t xml:space="preserve">B.II.1.j.3) Crediti v/Stato per ricerca - altre Amministrazioni centrali </t>
  </si>
  <si>
    <t>ABA330</t>
  </si>
  <si>
    <t>B.II.1.j.4) Crediti v/Stato per ricerca - finanziamenti per investimenti</t>
  </si>
  <si>
    <t>ABA340</t>
  </si>
  <si>
    <t>B.II.1.k) Crediti v/prefetture</t>
  </si>
  <si>
    <t>ABA350</t>
  </si>
  <si>
    <t>B.II.2) Crediti v/Regione o Provincia Autonoma</t>
  </si>
  <si>
    <t>ABA360</t>
  </si>
  <si>
    <t>B.II.2.a) Crediti v/Regione o Provincia Autonoma per spesa corrente</t>
  </si>
  <si>
    <t>RR</t>
  </si>
  <si>
    <t>ABA390</t>
  </si>
  <si>
    <t>B.II.2.a.1) Crediti v/Regione o Provincia Autonoma per quota FSR</t>
  </si>
  <si>
    <t>ABA400</t>
  </si>
  <si>
    <t>B.II.2.a.2) Crediti v/Regione o Provincia Autonoma per mobilità attiva intraregionale</t>
  </si>
  <si>
    <t>ABA410</t>
  </si>
  <si>
    <t>B.II.2.a.3) Crediti v/Regione o Provincia Autonoma per mobilità attiva extraregionale</t>
  </si>
  <si>
    <t>ABA420</t>
  </si>
  <si>
    <t>B.II.2.a.4) Crediti v/Regione o Provincia Autonoma per acconto quota FSR</t>
  </si>
  <si>
    <t>ABA430</t>
  </si>
  <si>
    <t>B.II.2.a.5) Crediti v/Regione o Provincia Autonoma per finanziamento sanitario aggiuntivo corrente LEA</t>
  </si>
  <si>
    <t>ABA440</t>
  </si>
  <si>
    <t>B.II.2.a.6) Crediti v/Regione o Provincia Autonoma per finanziamento sanitario aggiuntivo corrente extra LEA</t>
  </si>
  <si>
    <t>ABA450</t>
  </si>
  <si>
    <t>B.II.2.a.7) Crediti v/Regione o Provincia Autonoma per spesa corrente - altro</t>
  </si>
  <si>
    <t>ABA451</t>
  </si>
  <si>
    <t>B.II.2.a.8) Crediti v/Regione o Provincia Autonoma per spesa corrente - STP (ex D.lgs. 286/98)</t>
  </si>
  <si>
    <t>ABA460</t>
  </si>
  <si>
    <t>B.II.2.a.9) Crediti v/Regione o Provincia Autonoma per ricerca</t>
  </si>
  <si>
    <t>ABA461</t>
  </si>
  <si>
    <t>B.II.2.a.10) Crediti v/Regione o Provincia Autonoma per mobilità attiva internazionale</t>
  </si>
  <si>
    <t>ABA470</t>
  </si>
  <si>
    <t>B.II.2.b) Crediti v/Regione o Provincia Autonoma per versamenti a patrimonio netto</t>
  </si>
  <si>
    <t>ABA480</t>
  </si>
  <si>
    <t>B.II.2.b.1) Crediti v/Regione o Provincia Autonoma per finanziamenti per investimenti</t>
  </si>
  <si>
    <t>ABA490</t>
  </si>
  <si>
    <t>B.II.2.b.2) Crediti v/Regione o Provincia Autonoma per incremento fondo dotazione</t>
  </si>
  <si>
    <t>ABA500</t>
  </si>
  <si>
    <t>B.II.2.b.3) Crediti v/Regione o Provincia Autonoma per ripiano perdite</t>
  </si>
  <si>
    <t>ABA501</t>
  </si>
  <si>
    <t>B.II.2.b.4) Crediti v/Regione o Provincia Autonoma per anticipazione ripiano disavanzo programmato dai Piani aziendali di cui all'art. 1, comma 528, L. 208/2015</t>
  </si>
  <si>
    <t>ABA510</t>
  </si>
  <si>
    <t>B.II.2.b.5) Crediti v/Regione per copertura debiti al 31/12/2005</t>
  </si>
  <si>
    <t>ABA520</t>
  </si>
  <si>
    <t>B.II.2.b.6) Crediti v/Regione o Provincia Autonoma per ricostituzione risorse da investimenti esercizi precedenti</t>
  </si>
  <si>
    <t>ABA521</t>
  </si>
  <si>
    <t>B.II.2.c)  Crediti v/Regione o Provincia Autonoma per contributi L. 210/92</t>
  </si>
  <si>
    <t>ABA522</t>
  </si>
  <si>
    <t>B.II.2.d) Crediti v/Regione o Provincia Autonoma per contributi L. 210/92 – aziende sanitarie</t>
  </si>
  <si>
    <t>ABA530</t>
  </si>
  <si>
    <t>B.II.3) Crediti v/Comuni</t>
  </si>
  <si>
    <t>ABA540</t>
  </si>
  <si>
    <t>B.II.4) Crediti v/Aziende sanitarie pubbliche</t>
  </si>
  <si>
    <t>ABA550</t>
  </si>
  <si>
    <t>B.II.4.a) Crediti v/Aziende sanitarie pubbliche della Regione</t>
  </si>
  <si>
    <t>ABA560</t>
  </si>
  <si>
    <t>B.II.4.a.1) Crediti v/Aziende sanitarie pubbliche della Regione - per mobilità in compensazione</t>
  </si>
  <si>
    <t>ABA570</t>
  </si>
  <si>
    <t>B.II.4.a.2) Crediti v/Aziende sanitarie pubbliche della Regione - per mobilità non in compensazione</t>
  </si>
  <si>
    <t>ABA580</t>
  </si>
  <si>
    <t>B.II.4.a.3) Crediti v/Aziende sanitarie pubbliche della Regione - per altre prestazioni</t>
  </si>
  <si>
    <t>ABA590</t>
  </si>
  <si>
    <t>B.II.4.b) Acconto quota FSR da distribuire</t>
  </si>
  <si>
    <t>ABA591</t>
  </si>
  <si>
    <t>B.II.4.c) Crediti v/Aziende sanitarie pubbliche della Regione per anticipazione ripiano disavanzo programmato dai Piani aziendali di cui all'art. 1, comma 528, L. 208/2015</t>
  </si>
  <si>
    <t>ABA600</t>
  </si>
  <si>
    <t>B.II.4.d) Crediti v/Aziende sanitarie pubbliche Extraregione</t>
  </si>
  <si>
    <t>ABA601</t>
  </si>
  <si>
    <t xml:space="preserve">B.II.4.e)  Crediti v/Aziende sanitarie pubbliche della Regione - per Contributi da Aziende sanitarie pubbliche della Regione o Prov. Aut. (extra fondo) </t>
  </si>
  <si>
    <t>ABA610</t>
  </si>
  <si>
    <t>B.II.5) Crediti v/società partecipate e/o enti dipendenti della Regione</t>
  </si>
  <si>
    <t>ABA620</t>
  </si>
  <si>
    <t>B.II.5.a) Crediti v/enti regionali</t>
  </si>
  <si>
    <t>ABA630</t>
  </si>
  <si>
    <t>B.II.5.b) Crediti v/sperimentazioni gestionali</t>
  </si>
  <si>
    <t>ABA640</t>
  </si>
  <si>
    <t>B.II.5.c) Crediti v/altre partecipate</t>
  </si>
  <si>
    <t>ABA650</t>
  </si>
  <si>
    <t>B.II.6) Crediti v/Erario</t>
  </si>
  <si>
    <t>ABA660</t>
  </si>
  <si>
    <t>B.II.7) Crediti v/altri</t>
  </si>
  <si>
    <t>ABA670</t>
  </si>
  <si>
    <t>B.II.7.a) Crediti v/clienti privati</t>
  </si>
  <si>
    <t>ABA680</t>
  </si>
  <si>
    <t>B.II.7.b) Crediti v/gestioni liquidatorie</t>
  </si>
  <si>
    <t>ABA690</t>
  </si>
  <si>
    <t>B.II.7.c) Crediti v/altri soggetti pubblici</t>
  </si>
  <si>
    <t>ABA700</t>
  </si>
  <si>
    <t>B.II.7.d) Crediti v/altri soggetti pubblici per ricerca</t>
  </si>
  <si>
    <t>ABA710</t>
  </si>
  <si>
    <t>B.II.7.e) Altri crediti diversi</t>
  </si>
  <si>
    <t>ABA711</t>
  </si>
  <si>
    <t xml:space="preserve">B.II.7.e.1) Altri Crediti  diversi </t>
  </si>
  <si>
    <t>ABA712</t>
  </si>
  <si>
    <t>B.II.7.e.2) Note di credito da emettere (diverse)</t>
  </si>
  <si>
    <t>ABA713</t>
  </si>
  <si>
    <t>B.II.7.f) Altri Crediti verso erogatori (privati accreditati e convenzionati) di prestazioni sanitarie</t>
  </si>
  <si>
    <t>ABA714</t>
  </si>
  <si>
    <t>B.II.7.f.1) Altri Crediti verso erogatori (privati accreditati e convenzionati) di prestazioni sanitarie</t>
  </si>
  <si>
    <t>ABA715</t>
  </si>
  <si>
    <t>B.II.7.f.2) Note di credito da emettere  (privati accreditati e convenzionati)</t>
  </si>
  <si>
    <t>ABA720</t>
  </si>
  <si>
    <t>B.III) ATTIVITA' FINANZIARIE CHE NON COSTITUISCONO IMMOBILIZZAZIONI</t>
  </si>
  <si>
    <t>ABA730</t>
  </si>
  <si>
    <t>B.III.1) Partecipazioni che non costituiscono immobilizzazioni</t>
  </si>
  <si>
    <t>ABA740</t>
  </si>
  <si>
    <t>B.III.2) Altri titoli che non costituiscono immobilizzazioni</t>
  </si>
  <si>
    <t>ABA750</t>
  </si>
  <si>
    <t>B.IV) DISPONIBILITA' LIQUIDE</t>
  </si>
  <si>
    <t>ABA760</t>
  </si>
  <si>
    <t>B.IV.1) Cassa</t>
  </si>
  <si>
    <t>ABA770</t>
  </si>
  <si>
    <t>B.IV.2) Istituto Tesoriere</t>
  </si>
  <si>
    <t>ABA780</t>
  </si>
  <si>
    <t>B.IV.3) Tesoreria Unica</t>
  </si>
  <si>
    <t>ABA790</t>
  </si>
  <si>
    <t>B.IV.4) Conto corrente postale</t>
  </si>
  <si>
    <t>ACZ999</t>
  </si>
  <si>
    <t>C) RATEI E RISCONTI ATTIVI</t>
  </si>
  <si>
    <t>ACA000</t>
  </si>
  <si>
    <t>C.I) RATEI ATTIVI</t>
  </si>
  <si>
    <t>ACA010</t>
  </si>
  <si>
    <t>C.I.1) Ratei attivi</t>
  </si>
  <si>
    <t>ACA020</t>
  </si>
  <si>
    <t>C.I.2) Ratei attivi v/Aziende sanitarie pubbliche della Regione</t>
  </si>
  <si>
    <t>ACA030</t>
  </si>
  <si>
    <t>C.II) RISCONTI ATTIVI</t>
  </si>
  <si>
    <t>ACA040</t>
  </si>
  <si>
    <t>C.II.1) Risconti attivi</t>
  </si>
  <si>
    <t>ACA050</t>
  </si>
  <si>
    <t>C.II.2) Risconti attivi v/Aziende sanitarie pubbliche della Regione</t>
  </si>
  <si>
    <t>AZZ999</t>
  </si>
  <si>
    <t>D) TOTALE ATTIVO</t>
  </si>
  <si>
    <t>ADZ999</t>
  </si>
  <si>
    <t>E) CONTI D'ORDINE</t>
  </si>
  <si>
    <t>ADA000</t>
  </si>
  <si>
    <t>E.I) CANONI DI LEASING ANCORA DA PAGARE</t>
  </si>
  <si>
    <t>ADA010</t>
  </si>
  <si>
    <t>E.II) DEPOSITI CAUZIONALI</t>
  </si>
  <si>
    <t>ADA020</t>
  </si>
  <si>
    <t>E.III) BENI IN COMODATO</t>
  </si>
  <si>
    <t>ADA021</t>
  </si>
  <si>
    <t>E.IV) CANONI DI PROJECT FINANCING ANCORA DA PAGARE</t>
  </si>
  <si>
    <t>ADA030</t>
  </si>
  <si>
    <t>E.V) ALTRI CONTI D'ORDINE</t>
  </si>
  <si>
    <t>PAZ999</t>
  </si>
  <si>
    <t>A) PATRIMONIO NETTO</t>
  </si>
  <si>
    <t>PAA000</t>
  </si>
  <si>
    <t>A.I) FONDO DI DOTAZIONE</t>
  </si>
  <si>
    <t>PAA010</t>
  </si>
  <si>
    <t>A.II) FINANZIAMENTI PER INVESTIMENTI</t>
  </si>
  <si>
    <t>PAA020</t>
  </si>
  <si>
    <t>A.II.1) Finanziamenti per beni di prima dotazione</t>
  </si>
  <si>
    <t>PAA030</t>
  </si>
  <si>
    <t>A.II.2) Finanziamenti da Stato per investimenti</t>
  </si>
  <si>
    <t>PAA040</t>
  </si>
  <si>
    <t>A.II.2.a) Finanziamenti da Stato per investimenti - ex art. 20 legge 67/88</t>
  </si>
  <si>
    <t>PAA050</t>
  </si>
  <si>
    <t>A.II.2.b) Finanziamenti da Stato per investimenti - ricerca</t>
  </si>
  <si>
    <t>PAA060</t>
  </si>
  <si>
    <t>A.II.2.c) Finanziamenti da Stato per investimenti - altro</t>
  </si>
  <si>
    <t>PAA070</t>
  </si>
  <si>
    <t>A.II.3) Finanziamenti da Regione per investimenti</t>
  </si>
  <si>
    <t>PAA080</t>
  </si>
  <si>
    <t>A.II.4) Finanziamenti da altri soggetti pubblici per investimenti</t>
  </si>
  <si>
    <t>PAA090</t>
  </si>
  <si>
    <t>A.II.5) Finanziamenti per investimenti da rettifica contributi in conto esercizio</t>
  </si>
  <si>
    <t>PAA100</t>
  </si>
  <si>
    <t>A.III) RISERVE DA DONAZIONI E LASCITI VINCOLATI AD INVESTIMENTI</t>
  </si>
  <si>
    <t>PAA110</t>
  </si>
  <si>
    <t>A.IV) ALTRE RISERVE</t>
  </si>
  <si>
    <t>PAA120</t>
  </si>
  <si>
    <t>A.IV.1) Riserve da rivalutazioni</t>
  </si>
  <si>
    <t>PAA130</t>
  </si>
  <si>
    <t>A.IV.2) Riserve da plusvalenze da reinvestire</t>
  </si>
  <si>
    <t>PAA140</t>
  </si>
  <si>
    <t>A.IV.3) Contributi da reinvestire</t>
  </si>
  <si>
    <t>PAA150</t>
  </si>
  <si>
    <t>A.IV.4) Riserve da utili di esercizio destinati ad investimenti</t>
  </si>
  <si>
    <t>PAA160</t>
  </si>
  <si>
    <t>A.IV.5) Riserve diverse</t>
  </si>
  <si>
    <t>PAA170</t>
  </si>
  <si>
    <t>A.V) CONTRIBUTI PER RIPIANO PERDITE</t>
  </si>
  <si>
    <t>PAA180</t>
  </si>
  <si>
    <t>A.V.1) Contributi per copertura debiti al 31/12/2005</t>
  </si>
  <si>
    <t>PAA190</t>
  </si>
  <si>
    <t>A.V.2) Contributi per ricostituzione risorse da investimenti esercizi precedenti</t>
  </si>
  <si>
    <t>PAA200</t>
  </si>
  <si>
    <t>A.V.3) Altro</t>
  </si>
  <si>
    <t>PAA210</t>
  </si>
  <si>
    <t>A.VI) UTILI (PERDITE) PORTATI A NUOVO</t>
  </si>
  <si>
    <t>PAA220</t>
  </si>
  <si>
    <t>A.VII) UTILE (PERDITA) D'ESERCIZIO</t>
  </si>
  <si>
    <t>PBZ999</t>
  </si>
  <si>
    <t>B) FONDI PER RISCHI E ONERI</t>
  </si>
  <si>
    <t>PBA000</t>
  </si>
  <si>
    <t>B.I) FONDI PER IMPOSTE, ANCHE DIFFERITE</t>
  </si>
  <si>
    <t>PBA010</t>
  </si>
  <si>
    <t>B.II) FONDI PER RISCHI</t>
  </si>
  <si>
    <t>PBA020</t>
  </si>
  <si>
    <t>B.II.1) Fondo rischi per cause civili ed oneri processuali</t>
  </si>
  <si>
    <t>PBA030</t>
  </si>
  <si>
    <t>B.II.2) Fondo rischi per contenzioso personale dipendente</t>
  </si>
  <si>
    <t>PBA040</t>
  </si>
  <si>
    <t>B.II.3) Fondo rischi connessi all'acquisto di prestazioni sanitarie da privato</t>
  </si>
  <si>
    <t>PBA050</t>
  </si>
  <si>
    <t>B.II.4) Fondo rischi per copertura diretta dei rischi (autoassicurazione)</t>
  </si>
  <si>
    <t>PBA051</t>
  </si>
  <si>
    <t>B.II.5) Fondo rischi per franchigia assicurativa</t>
  </si>
  <si>
    <t>PBA052</t>
  </si>
  <si>
    <t>B.II.6) Fondo rischi per interessi di mora</t>
  </si>
  <si>
    <t>PBA060</t>
  </si>
  <si>
    <t>B.II.7) Altri fondi rischi</t>
  </si>
  <si>
    <t>PBA070</t>
  </si>
  <si>
    <t>B.III) FONDI DA DISTRIBUIRE</t>
  </si>
  <si>
    <t>PBA080</t>
  </si>
  <si>
    <t>B.III.1) FSR indistinto da distribuire</t>
  </si>
  <si>
    <t>PBA090</t>
  </si>
  <si>
    <t>B.III.2) FSR vincolato da distribuire</t>
  </si>
  <si>
    <t>PBA100</t>
  </si>
  <si>
    <t>B.III.3) Fondo per ripiano disavanzi pregressi</t>
  </si>
  <si>
    <t>PBA110</t>
  </si>
  <si>
    <t>B.III.4) Fondo finanziamento sanitario aggiuntivo corrente LEA</t>
  </si>
  <si>
    <t>PBA120</t>
  </si>
  <si>
    <t>B.III.5) Fondo finanziamento sanitario aggiuntivo corrente extra LEA</t>
  </si>
  <si>
    <t>PBA130</t>
  </si>
  <si>
    <t>B.III.6) Fondo finanziamento per ricerca</t>
  </si>
  <si>
    <t>PBA140</t>
  </si>
  <si>
    <t>B.III.7) Fondo finanziamento per investimenti</t>
  </si>
  <si>
    <t>PBA141</t>
  </si>
  <si>
    <t>B.III.8) Fondo finanziamento sanitario aggiuntivo corrente (extra fondo) - Risorse aggiuntive da bilancio regionale a titolo di copertura extra LEA</t>
  </si>
  <si>
    <t>PBA150</t>
  </si>
  <si>
    <t>B.IV) QUOTE INUTILIZZATE CONTRIBUTI</t>
  </si>
  <si>
    <t>PBA151</t>
  </si>
  <si>
    <t>B.IV.1) Quote inutilizzate contributi da Regione o Prov. Aut. per quota F.S. indistinto finalizzato</t>
  </si>
  <si>
    <t>PBA160</t>
  </si>
  <si>
    <t>B.IV.2) Quote inutilizzate contributi da Regione o Prov. Aut. per quota F.S. vincolato</t>
  </si>
  <si>
    <t>PBA170</t>
  </si>
  <si>
    <t>B.IV.3) Quote inutilizzate contributi vincolati da soggetti pubblici (extra fondo)</t>
  </si>
  <si>
    <t>PBA180</t>
  </si>
  <si>
    <t>B.IV.4) Quote inutilizzate contributi per ricerca</t>
  </si>
  <si>
    <t>PBA190</t>
  </si>
  <si>
    <t>B.IV.5) Quote inutilizzate contributi vincolati da privati</t>
  </si>
  <si>
    <t>PBA200</t>
  </si>
  <si>
    <t>B.V) ALTRI FONDI PER ONERI E SPESE</t>
  </si>
  <si>
    <t>PBA210</t>
  </si>
  <si>
    <t>B.V.1) Fondi integrativi pensione</t>
  </si>
  <si>
    <t>PBA220</t>
  </si>
  <si>
    <t>B.V.2) Fondi rinnovi contrattuali</t>
  </si>
  <si>
    <t>PBA230</t>
  </si>
  <si>
    <t xml:space="preserve">B.V.2.a) Fondo rinnovi contrattuali personale dipendente </t>
  </si>
  <si>
    <t>PBA240</t>
  </si>
  <si>
    <t>B.V.2.b) Fondo rinnovi convenzioni MMG/PLS/MCA</t>
  </si>
  <si>
    <t>PBA250</t>
  </si>
  <si>
    <t>B.V.2.c) Fondo rinnovi convenzioni medici Sumai</t>
  </si>
  <si>
    <t>PBA260</t>
  </si>
  <si>
    <t>B.V.3) Altri fondi per oneri e spese</t>
  </si>
  <si>
    <t>PBA270</t>
  </si>
  <si>
    <t>B.V.4) Altri Fondi incentivi funzioni tecniche Art. 113 D.Lgs 50/2016</t>
  </si>
  <si>
    <t>PCZ999</t>
  </si>
  <si>
    <t>C) TRATTAMENTO FINE RAPPORTO</t>
  </si>
  <si>
    <t>PCA000</t>
  </si>
  <si>
    <t>C.I) FONDO PER PREMI OPEROSITA' MEDICI SUMAI</t>
  </si>
  <si>
    <t>PCA010</t>
  </si>
  <si>
    <t>C.II) FONDO PER TRATTAMENTO DI FINE RAPPORTO DIPENDENTI</t>
  </si>
  <si>
    <t>PCA020</t>
  </si>
  <si>
    <t>C.III) FONDO PER TRATTAMENTI DI QUIESCENZA E SIMILI</t>
  </si>
  <si>
    <t>PDZ999</t>
  </si>
  <si>
    <t>D) DEBITI</t>
  </si>
  <si>
    <t>PDA000</t>
  </si>
  <si>
    <t>D.I) DEBITI PER MUTUI PASSIVI</t>
  </si>
  <si>
    <t>PDA010</t>
  </si>
  <si>
    <t>D.II) DEBITI V/STATO</t>
  </si>
  <si>
    <t>PDA020</t>
  </si>
  <si>
    <t>D.II.1) Debiti v/Stato per mobilità passiva extraregionale</t>
  </si>
  <si>
    <t>PDA030</t>
  </si>
  <si>
    <t>D.II.2) Debiti v/Stato per mobilità passiva internazionale</t>
  </si>
  <si>
    <t>PDA040</t>
  </si>
  <si>
    <t>D.II.3) Acconto quota FSR v/Stato</t>
  </si>
  <si>
    <t>PDA050</t>
  </si>
  <si>
    <t>D.II.4) Debiti v/Stato per restituzione finanziamenti - per ricerca</t>
  </si>
  <si>
    <t>PDA060</t>
  </si>
  <si>
    <t>D.II.5) Altri debiti v/Stato</t>
  </si>
  <si>
    <t>PDA070</t>
  </si>
  <si>
    <t>D.III) DEBITI V/REGIONE O PROVINCIA AUTONOMA</t>
  </si>
  <si>
    <t>PDA080</t>
  </si>
  <si>
    <t>D.III.1) Debiti v/Regione o Provincia Autonoma per finanziamenti - GSA</t>
  </si>
  <si>
    <t>PDA081</t>
  </si>
  <si>
    <t>D.III.2) Debiti v/Regione o Provincia Autonoma per finanziamenti</t>
  </si>
  <si>
    <t>PDA090</t>
  </si>
  <si>
    <t>D.III.3) Debiti v/Regione o Provincia Autonoma per mobilità passiva intraregionale</t>
  </si>
  <si>
    <t>PDA100</t>
  </si>
  <si>
    <t>D.III.4) Debiti v/Regione o Provincia Autonoma per mobilità passiva extraregionale</t>
  </si>
  <si>
    <t>PDA101</t>
  </si>
  <si>
    <t>D.III.5) Debiti v/Regione o Provincia Autonoma per mobilità passiva internazionale</t>
  </si>
  <si>
    <t>PDA110</t>
  </si>
  <si>
    <t>D.III.6) Acconto quota FSR da Regione o Provincia Autonoma</t>
  </si>
  <si>
    <t>PDA111</t>
  </si>
  <si>
    <t>D.III.7) Acconto da Regione o Provincia Autonoma per anticipazione ripiano disavanzo programmato dai Piani aziendali di cui all'art. 1, comma 528, L. 208/2015</t>
  </si>
  <si>
    <t>PDA112</t>
  </si>
  <si>
    <t xml:space="preserve">D.III.8) Debiti v/Regione o Provincia Autonoma per contributi L. 210/92 </t>
  </si>
  <si>
    <t>PDA120</t>
  </si>
  <si>
    <t>D.III.9) Altri debiti v/Regione o Provincia Autonoma – GSA</t>
  </si>
  <si>
    <t>PDA121</t>
  </si>
  <si>
    <t>D.III.10) Altri debiti v/Regione o Provincia Autonoma</t>
  </si>
  <si>
    <t>PDA130</t>
  </si>
  <si>
    <t>D.IV) DEBITI V/COMUNI</t>
  </si>
  <si>
    <t>PDA140</t>
  </si>
  <si>
    <t>D.V) DEBITI V/AZIENDE SANITARIE PUBBLICHE</t>
  </si>
  <si>
    <t>PDA150</t>
  </si>
  <si>
    <t>D.V.1) Debiti v/Aziende sanitarie pubbliche della Regione</t>
  </si>
  <si>
    <t>PDA160</t>
  </si>
  <si>
    <t>D.V.1.a) Debiti v/Aziende sanitarie pubbliche della Regione - per quota FSR</t>
  </si>
  <si>
    <t>PDA170</t>
  </si>
  <si>
    <t>D.V.1.b) Debiti v/Aziende sanitarie pubbliche della Regione - per finanziamento sanitario aggiuntivo corrente LEA</t>
  </si>
  <si>
    <t>PDA180</t>
  </si>
  <si>
    <t>D.V.1.c) Debiti v/Aziende sanitarie pubbliche della Regione - per finanziamento sanitario aggiuntivo corrente extra LEA</t>
  </si>
  <si>
    <t>PDA190</t>
  </si>
  <si>
    <t>D.V.1.d) Debiti v/Aziende sanitarie pubbliche della Regione - per mobilità in compensazione</t>
  </si>
  <si>
    <t>PDA200</t>
  </si>
  <si>
    <t>D.V.1.e) Debiti v/Aziende sanitarie pubbliche della Regione - per mobilità non in compensazione</t>
  </si>
  <si>
    <t>PDA210</t>
  </si>
  <si>
    <t>D.V.1.f) Debiti v/Aziende sanitarie pubbliche della Regione - per altre prestazioni</t>
  </si>
  <si>
    <t>PDA211</t>
  </si>
  <si>
    <t>D.V.1.g) Debiti v/Aziende sanitarie pubbliche della Regione - altre prestazioni per STP</t>
  </si>
  <si>
    <t>PDA212</t>
  </si>
  <si>
    <t xml:space="preserve">D.V.1.h)  Debiti v/Aziende sanitarie pubbliche della Regione - per Contributi da Aziende sanitarie pubbliche della Regione o Prov. Aut. (extra fondo) </t>
  </si>
  <si>
    <t>PDA213</t>
  </si>
  <si>
    <t xml:space="preserve">D.V.1.i) Debiti v/Aziende sanitarie pubbliche della Regione - per contributi L. 210/92 </t>
  </si>
  <si>
    <t>PDA220</t>
  </si>
  <si>
    <t xml:space="preserve">D.V.2) Debiti v/Aziende sanitarie pubbliche Extraregione </t>
  </si>
  <si>
    <t>PDA230</t>
  </si>
  <si>
    <t>D.V.3) Debiti v/Aziende sanitarie pubbliche della Regione per versamenti c/patrimonio netto</t>
  </si>
  <si>
    <t>PDA231</t>
  </si>
  <si>
    <t>D.V.3.a) Debiti v/Aziende sanitarie pubbliche della Regione per versamenti c/patrimonio netto - finanziamenti per investimenti</t>
  </si>
  <si>
    <t>PDA232</t>
  </si>
  <si>
    <t>D.V.3.b) Debiti v/Aziende sanitarie pubbliche della Regione per versamenti c/patrimonio netto - incremento fondo dotazione</t>
  </si>
  <si>
    <t>PDA233</t>
  </si>
  <si>
    <t>D.V.3.c) Debiti v/Aziende sanitarie pubbliche della Regione per versamenti c/patrimonio netto - ripiano perdite</t>
  </si>
  <si>
    <t>PDA234</t>
  </si>
  <si>
    <t>D.V.3.d) Debiti v/Aziende sanitarie pubbliche della Regione per anticipazione ripiano disavanzo programmato dai Piani aziendali di cui all'art. 1, comma 528, L. 208/2015</t>
  </si>
  <si>
    <t>PDA235</t>
  </si>
  <si>
    <t>D.V.3.e) Debiti v/Aziende sanitarie pubbliche della Regione per versamenti c/patrimonio netto - altro</t>
  </si>
  <si>
    <t>PDA240</t>
  </si>
  <si>
    <t>D.VI) DEBITI V/ SOCIETA' PARTECIPATE E/O ENTI DIPENDENTI DELLA REGIONE</t>
  </si>
  <si>
    <t>PDA250</t>
  </si>
  <si>
    <t>D.VI.1) Debiti v/enti regionali</t>
  </si>
  <si>
    <t>PDA260</t>
  </si>
  <si>
    <t>D.VI.2) Debiti v/sperimentazioni gestionali</t>
  </si>
  <si>
    <t>PDA270</t>
  </si>
  <si>
    <t>D.VI.3) Debiti v/altre partecipate</t>
  </si>
  <si>
    <t>PDA280</t>
  </si>
  <si>
    <t>D.VII) DEBITI V/FORNITORI</t>
  </si>
  <si>
    <t>PDA290</t>
  </si>
  <si>
    <t xml:space="preserve">D.VII.1) Debiti verso erogatori (privati accreditati e convenzionati) di prestazioni sanitarie </t>
  </si>
  <si>
    <t>PDA291</t>
  </si>
  <si>
    <t xml:space="preserve">D.VII.1.a) Debiti verso erogatori (privati accreditati e convenzionati) di prestazioni sanitarie </t>
  </si>
  <si>
    <t>PDA292</t>
  </si>
  <si>
    <t>D.VII.1.b) Note di credito da ricevere (privati accreditati e convenzionati)</t>
  </si>
  <si>
    <t>PDA300</t>
  </si>
  <si>
    <t>D.VII.2) Debiti verso altri fornitori</t>
  </si>
  <si>
    <t>PDA301</t>
  </si>
  <si>
    <t>D.VII.2.a) Debiti verso altri fornitori</t>
  </si>
  <si>
    <t>PDA302</t>
  </si>
  <si>
    <t>D.VII.2.b) Note di credito da ricevere (altri fornitori)</t>
  </si>
  <si>
    <t>PDA310</t>
  </si>
  <si>
    <t>D.VIII) DEBITI V/ISTITUTO TESORIERE</t>
  </si>
  <si>
    <t>PDA320</t>
  </si>
  <si>
    <t>D.IX) DEBITI TRIBUTARI</t>
  </si>
  <si>
    <t>PDA330</t>
  </si>
  <si>
    <t>D.X) DEBITI V/ISTITUTI PREVIDENZIALI, ASSISTENZIALI E SICUREZZA SOCIALE</t>
  </si>
  <si>
    <t>PDA340</t>
  </si>
  <si>
    <t>D.XI) DEBITI V/ALTRI</t>
  </si>
  <si>
    <t>PDA350</t>
  </si>
  <si>
    <t>D.XI.1) Debiti v/altri finanziatori</t>
  </si>
  <si>
    <t>PDA360</t>
  </si>
  <si>
    <t>D.XI.2) Debiti v/dipendenti</t>
  </si>
  <si>
    <t>PDA370</t>
  </si>
  <si>
    <t>D.XI.3) Debiti v/gestioni liquidatorie</t>
  </si>
  <si>
    <t>PDA380</t>
  </si>
  <si>
    <t>D.XI.4) Altri debiti diversi</t>
  </si>
  <si>
    <t>PEZ999</t>
  </si>
  <si>
    <t>E) RATEI E RISCONTI PASSIVI</t>
  </si>
  <si>
    <t>PEA000</t>
  </si>
  <si>
    <t>E.I) RATEI PASSIVI</t>
  </si>
  <si>
    <t>PEA010</t>
  </si>
  <si>
    <t>E.I.1) Ratei passivi</t>
  </si>
  <si>
    <t>PEA020</t>
  </si>
  <si>
    <t>E.I.2) Ratei passivi v/Aziende sanitarie pubbliche della Regione</t>
  </si>
  <si>
    <t>PEA030</t>
  </si>
  <si>
    <t>E.II) RISCONTI PASSIVI</t>
  </si>
  <si>
    <t>PEA040</t>
  </si>
  <si>
    <t>E.II.1) Risconti passivi</t>
  </si>
  <si>
    <t>PEA050</t>
  </si>
  <si>
    <t>E.II.2) Risconti passivi v/Aziende sanitarie pubbliche della Regione</t>
  </si>
  <si>
    <t>PEA060</t>
  </si>
  <si>
    <t>E.II.3) Risconti passivi - in attuazione dell’art.79, comma 1 sexies lettera c), del D.L. 112/2008, convertito con legge 133/2008 e della legge 23 dicembre 2009 n. 191</t>
  </si>
  <si>
    <t>PZZ999</t>
  </si>
  <si>
    <t>F) TOTALE PASSIVO E PATRIMONIO NETTO</t>
  </si>
  <si>
    <t>PFZ999</t>
  </si>
  <si>
    <t>G) CONTI D'ORDINE</t>
  </si>
  <si>
    <t>PFA000</t>
  </si>
  <si>
    <t>G.I) CANONI DI LEASING ANCORA DA PAGARE</t>
  </si>
  <si>
    <t>PFA010</t>
  </si>
  <si>
    <t>G.II) DEPOSITI CAUZIONALI</t>
  </si>
  <si>
    <t>PFA020</t>
  </si>
  <si>
    <t>G.III) BENI IN COMODATO</t>
  </si>
  <si>
    <t>PFA021</t>
  </si>
  <si>
    <t>G.IV) CANONI DI PROJECT FINANCING ANCORA DA PAGARE</t>
  </si>
  <si>
    <t>PFA030</t>
  </si>
  <si>
    <t>G.V) ALTRI CONTI D'ORDINE</t>
  </si>
  <si>
    <t>Stato Patrimoniale Attivo</t>
  </si>
  <si>
    <t>Importo
2019</t>
  </si>
  <si>
    <t>CODICE VOCE 
SP Ministeriale</t>
  </si>
  <si>
    <t>IMMOBILIZZAZIONI IMMATERIALI</t>
  </si>
  <si>
    <t>Costi di impianto e di ampliamento</t>
  </si>
  <si>
    <t>Costi di ricerca e sviluppo</t>
  </si>
  <si>
    <t>Diritti di brevetto e diritti di utilizzazione delle opere d'ingegno</t>
  </si>
  <si>
    <t>Diritti di brevetto e diritti di utilizzazione delle opere d'ingegno - derivanti dall'attività di ricerca</t>
  </si>
  <si>
    <t>Diritti di brevetto e diritti di utilizzazione delle opere d'ingegno - altri</t>
  </si>
  <si>
    <t>Concessioni, licenze, marchi e diritti simili</t>
  </si>
  <si>
    <t>Migliorie su beni di terzi</t>
  </si>
  <si>
    <t>Pubblicità</t>
  </si>
  <si>
    <t>IMMOBILIZZAZIONI MATERIALI</t>
  </si>
  <si>
    <t>IMMOBILIZZAZIONI FINANZIARIE</t>
  </si>
  <si>
    <t>per contributi in conto capitale su gestioni pregresse (ASSR e altri)</t>
  </si>
  <si>
    <t>per contributi in conto capitale su gestioni liquidatorie (ASSR e altri)</t>
  </si>
  <si>
    <t>Altri crediti (ASSR e altri)</t>
  </si>
  <si>
    <t>Titoli di Stato</t>
  </si>
  <si>
    <t>Altre Obbligazioni</t>
  </si>
  <si>
    <t>Titoli azionari quotati in Borsa</t>
  </si>
  <si>
    <t>Titoli diversi</t>
  </si>
  <si>
    <t>RIMANENZE</t>
  </si>
  <si>
    <t>Acconti per acquisto di beni e prodotti sanitari</t>
  </si>
  <si>
    <t>Materiali di guardaroba, di pulizia, e di convivenza in genere</t>
  </si>
  <si>
    <t>Acconti per acquisto di beni e prodotti non sanitari</t>
  </si>
  <si>
    <t xml:space="preserve">CREDITI </t>
  </si>
  <si>
    <t>Crediti v/Stato per spesa corrente - FSN indistinto</t>
  </si>
  <si>
    <t>Crediti v/Stato per spesa corrente - FSN vincolato</t>
  </si>
  <si>
    <t>Crediti v/Stato per mobilità attiva extraregionale</t>
  </si>
  <si>
    <t>Crediti v/Stato per mobilità attiva internazionale</t>
  </si>
  <si>
    <t>Crediti v/Stato per acconto quota fabbisogno sanitario regionale standard</t>
  </si>
  <si>
    <t>Crediti v/Stato per finanziamento sanitario aggiuntivo corrente</t>
  </si>
  <si>
    <t>Crediti v/Stato per spesa corrente - altro</t>
  </si>
  <si>
    <t>Crediti per fatture e ricevute da emettere</t>
  </si>
  <si>
    <t>Note di credito da emettere</t>
  </si>
  <si>
    <t>Crediti v/Stato per spesa corrente per STP (ex D.lgs. 286/98)</t>
  </si>
  <si>
    <t>Crediti v/Stato per finanziamenti per investimenti</t>
  </si>
  <si>
    <t>Crediti v/Stato per ricerca corrente - Ministero della Salute</t>
  </si>
  <si>
    <t>Crediti v/Stato per ricerca finalizzata - Ministero della Salute</t>
  </si>
  <si>
    <t>Crediti verso ministero dell'università</t>
  </si>
  <si>
    <t>Crediti verso ministero della difesa</t>
  </si>
  <si>
    <t xml:space="preserve">Crediti verso altre Amministrazioni centrali </t>
  </si>
  <si>
    <t>Crediti v/Stato per ricerca - finanziamenti per investimenti</t>
  </si>
  <si>
    <t>Crediti verso prefetture</t>
  </si>
  <si>
    <t>Crediti v/Regione o Provincia Autonoma per quota FSR</t>
  </si>
  <si>
    <t>Crediti v/Regione o Provincia Autonoma per mobilità attiva intraregionale</t>
  </si>
  <si>
    <t>Crediti v/Regione o Provincia Autonoma per mobilità attiva extraregionale</t>
  </si>
  <si>
    <t>Crediti v/Regione o Provincia Autonoma per acconto quota FSR</t>
  </si>
  <si>
    <t>Crediti v/Regione o Provincia Autonoma per finanziamento sanitario aggiuntivo corrente LEA</t>
  </si>
  <si>
    <t>Crediti v/Regione o Provincia Autonoma per finanziamento sanitario aggiuntivo corrente extra LEA</t>
  </si>
  <si>
    <t>Crediti v/Regione o Provincia Autonoma per spesa corrente - altro</t>
  </si>
  <si>
    <t>Crediti v/Regione o Provincia Autonoma per spesa corrente - STP (ex D.lgs. 286/98)</t>
  </si>
  <si>
    <t>Crediti v/Regione o Provincia Autonoma per ricerca - vincolati a progetti europei</t>
  </si>
  <si>
    <t>Crediti v/Regione o Provincia Autonoma per ricerca -  vincolati a progetti ministeriali</t>
  </si>
  <si>
    <t>Crediti v/Regione o Provincia Autonoma per ricerca - quota regionale</t>
  </si>
  <si>
    <t>Crediti v/Regione o Provincia Autonoma per ricerca - Altro</t>
  </si>
  <si>
    <t>Crediti v/Regione o Provincia Autonoma per mobilità attiva internazionale</t>
  </si>
  <si>
    <t>Crediti v/Regione o Provincia Autonoma per versamenti a patrimonio netto</t>
  </si>
  <si>
    <t>Crediti v/Regione o Provincia Autonoma per anticipazione ripiano disavanzo programmato dai Piani aziendali di cui all'art. 1, comma 528, L. 208/2015</t>
  </si>
  <si>
    <t>Crediti v/Regione per copertura debiti al 31/12/2005</t>
  </si>
  <si>
    <t xml:space="preserve"> Crediti v/Regione o Provincia Autonoma per contributi L. 210/92</t>
  </si>
  <si>
    <t>Crediti v/Regione o Provincia Autonoma per contributi L. 210/92 – aziende sanitarie</t>
  </si>
  <si>
    <t>Crediti v/comuni</t>
  </si>
  <si>
    <t>Crediti v/Aziende sanitarie pubbliche</t>
  </si>
  <si>
    <t>Crediti v/Aziende sanitarie pubbliche della Regione - per mobilità in compensazione</t>
  </si>
  <si>
    <t>Crediti v/Aziende sanitarie pubbliche della Regione - per mobilità non in compensazione</t>
  </si>
  <si>
    <t>Crediti v/Aziende sanitarie pubbliche della Regione - per altre prestazioni</t>
  </si>
  <si>
    <t xml:space="preserve"> Crediti v/Aziende sanitarie pubbliche della Regione - per altre prestazioni</t>
  </si>
  <si>
    <t>Acconto quota FSR da distribuire</t>
  </si>
  <si>
    <t xml:space="preserve"> Crediti v/Aziende sanitarie pubbliche della Regione per anticipazione ripiano disavanzo programmato dai Piani aziendali di cui all'art. 1, comma 528, L. 208/2015</t>
  </si>
  <si>
    <t>Crediti v/Aziende sanitarie pubbliche Extraregione</t>
  </si>
  <si>
    <t xml:space="preserve">Crediti v/Aziende sanitarie pubbliche della Regione - per Contributi da Aziende sanitarie pubbliche della Regione o Prov. Aut. (extra fondo) </t>
  </si>
  <si>
    <t>Crediti v/enti regionali</t>
  </si>
  <si>
    <t>Crediti v/sperimentazioni gestionali</t>
  </si>
  <si>
    <t>Crediti v/altre partecipate</t>
  </si>
  <si>
    <t>IVA a Credito</t>
  </si>
  <si>
    <t>IVA a Credito per acquisti Infra CEE</t>
  </si>
  <si>
    <t>IVA a Credito per autofatture</t>
  </si>
  <si>
    <t>Imposte varie</t>
  </si>
  <si>
    <t>Crediti v/clienti privati</t>
  </si>
  <si>
    <t>Privati paganti</t>
  </si>
  <si>
    <t>Crediti verso soggetti esteri</t>
  </si>
  <si>
    <t>Altri crediti v/clienti privati</t>
  </si>
  <si>
    <t>Crediti v/gestioni liquidatorie</t>
  </si>
  <si>
    <t>Crediti v/altri soggetti pubblici</t>
  </si>
  <si>
    <t>Crediti verso enti previdenziali per acconti pensione</t>
  </si>
  <si>
    <t>Crediti verso altre amministrazioni pubbliche</t>
  </si>
  <si>
    <t>Crediti v/altri soggetti pubblici per ricerca</t>
  </si>
  <si>
    <t>Altri crediti diversi</t>
  </si>
  <si>
    <t>Crediti verso dipendenti</t>
  </si>
  <si>
    <t>Acconti, anticipi a personale</t>
  </si>
  <si>
    <t>Altri crediti verso personale</t>
  </si>
  <si>
    <t>Acconti a farmacie</t>
  </si>
  <si>
    <t>Acconti a fornitori</t>
  </si>
  <si>
    <t>Note di credito da emettere (diversi)</t>
  </si>
  <si>
    <t>Altri Crediti verso erogatori (privati accreditati e convenzionati) di prestazioni sanitarie</t>
  </si>
  <si>
    <t>Note di credito da emettere  (privati accreditati e convenzionati)</t>
  </si>
  <si>
    <t>ATTIVITA' FINANZIARIE CHE NON COSTITUISCONO IMMOBILIZZAZIONI</t>
  </si>
  <si>
    <t>Partecipazioni in imprese controllate</t>
  </si>
  <si>
    <t>Partecipazioni in imprese collegate</t>
  </si>
  <si>
    <t>Partecipazioni in altre imprese</t>
  </si>
  <si>
    <t>DISPONIBILITA' LIQUIDE</t>
  </si>
  <si>
    <t>Cassa economale</t>
  </si>
  <si>
    <t>Cassa economale 1</t>
  </si>
  <si>
    <t>Cassa economale 2</t>
  </si>
  <si>
    <t>Cassa economale 3</t>
  </si>
  <si>
    <t>Cassa economale 4</t>
  </si>
  <si>
    <t>Cassa economale 5</t>
  </si>
  <si>
    <t>Cassa economale 6</t>
  </si>
  <si>
    <t>Cassa economale 7</t>
  </si>
  <si>
    <t>Cassa economale 8</t>
  </si>
  <si>
    <t>Cassa economale 9</t>
  </si>
  <si>
    <t>Cassa prestazioni</t>
  </si>
  <si>
    <t>Cassa prestazioni 1</t>
  </si>
  <si>
    <t>Cassa prestazioni 2</t>
  </si>
  <si>
    <t>Cassa prestazioni 3</t>
  </si>
  <si>
    <t>Cassa prestazioni 4</t>
  </si>
  <si>
    <t>Cassa prestazioni 5</t>
  </si>
  <si>
    <t>Cassa prestazioni 6</t>
  </si>
  <si>
    <t>Cassa prestazioni 7</t>
  </si>
  <si>
    <t>Cassa prestazioni 8</t>
  </si>
  <si>
    <t>c/c di tesoreria</t>
  </si>
  <si>
    <t>c/c di tesoreria - delega</t>
  </si>
  <si>
    <t>Interessi attivi da liquidare</t>
  </si>
  <si>
    <t>Conto corrente postale 1</t>
  </si>
  <si>
    <t>Conto corrente postale 2</t>
  </si>
  <si>
    <t>Conto corrente postale 3</t>
  </si>
  <si>
    <t>Conto corrente postale 4</t>
  </si>
  <si>
    <t>Deposito affrancatrice1</t>
  </si>
  <si>
    <t>Deposito affrancatrice2</t>
  </si>
  <si>
    <t>Deposito affrancatrice3</t>
  </si>
  <si>
    <t>Conti transitori</t>
  </si>
  <si>
    <t>Incassi c/transitorio</t>
  </si>
  <si>
    <t>Pagamenti c/transitorio</t>
  </si>
  <si>
    <t>Giroconti interni</t>
  </si>
  <si>
    <t>Giroconti note</t>
  </si>
  <si>
    <t>Giroconti cauzioni</t>
  </si>
  <si>
    <t>Giroconti documenti pagati</t>
  </si>
  <si>
    <t>Giroconti protocolli errati</t>
  </si>
  <si>
    <t>Giroconti ritenute personale dipendente</t>
  </si>
  <si>
    <t>Giroconti ritenute personale esterno</t>
  </si>
  <si>
    <t>Giroconti ritenute personale convenzionato</t>
  </si>
  <si>
    <t>Giroconti ritenute personale altro</t>
  </si>
  <si>
    <t>Giroconti c/c postale</t>
  </si>
  <si>
    <t>RATEI ATTIVI</t>
  </si>
  <si>
    <t>Ratei attivi v/Aziende sanitarie pubbliche della Regione</t>
  </si>
  <si>
    <t>RISCONTI ATTIVI</t>
  </si>
  <si>
    <t>Risconti attivi v/Aziende sanitarie pubbliche della Regione</t>
  </si>
  <si>
    <t>TOTALE ATTIVO</t>
  </si>
  <si>
    <t>CANONI DI LEASING ANCORA DA PAGARE</t>
  </si>
  <si>
    <t>DEPOSITI CAUZIONALI</t>
  </si>
  <si>
    <t>BENI IN COMODATO</t>
  </si>
  <si>
    <t>CANONI DI PROJECT FINANCING ANCORA DA PAGARE</t>
  </si>
  <si>
    <t>ALTRI CONTI D'ORDINE</t>
  </si>
  <si>
    <t>Canoni di leasing a scadere</t>
  </si>
  <si>
    <t>Beni di terzi presso l'Azienda</t>
  </si>
  <si>
    <t>Garanzie prestate (fideiussioni, avalli, altre garanzie personali e reali)</t>
  </si>
  <si>
    <t>Garanzie ricevute (fideiussioni, avalli, altre garanzie personali e reali)</t>
  </si>
  <si>
    <t>Beni in contenzioso</t>
  </si>
  <si>
    <t>Altri impegni assunti</t>
  </si>
  <si>
    <t>tot passivo</t>
  </si>
  <si>
    <t>Stato Patrimoniale Passivo</t>
  </si>
  <si>
    <t>FONDO DI DOTAZIONE</t>
  </si>
  <si>
    <t>FINANZIAMENTI PER INVESTIMENTI</t>
  </si>
  <si>
    <t>Finanziamenti per beni di prima dotazione</t>
  </si>
  <si>
    <t>Finanziamenti da Stato per investimenti - ricerca</t>
  </si>
  <si>
    <t>Finanziamenti da Stato per investimenti - altro</t>
  </si>
  <si>
    <t>Contributi regionali in c/capitale indistinti</t>
  </si>
  <si>
    <t>Contributi regionali in c/capitale vincolati</t>
  </si>
  <si>
    <t>Contributi per rimborso mutui</t>
  </si>
  <si>
    <t>Altri contributi</t>
  </si>
  <si>
    <t>RISERVE DA DONAZIONI E LASCITI VINCOLATI AD INVESTIMENTI</t>
  </si>
  <si>
    <t>ALTRE RISERVE</t>
  </si>
  <si>
    <t>Riserve da rivalutazioni</t>
  </si>
  <si>
    <t>Riserve da plusvalenze da reinvestire</t>
  </si>
  <si>
    <t>Contributi da reinvestire</t>
  </si>
  <si>
    <t>Riserve da utili di esercizio destinati ad investimenti</t>
  </si>
  <si>
    <t>Riserve diverse</t>
  </si>
  <si>
    <t>CONTRIBUTI PER RIPIANO PERDITE</t>
  </si>
  <si>
    <t>Contributi per copertura debiti al 31/12/2005</t>
  </si>
  <si>
    <r>
      <t>Contributi per ricostituzione risorse da investimenti esercizi precedenti</t>
    </r>
    <r>
      <rPr>
        <b/>
        <i/>
        <strike/>
        <sz val="10"/>
        <rFont val="Tahoma"/>
        <family val="2"/>
      </rPr>
      <t/>
    </r>
  </si>
  <si>
    <t>UTILI (PERDITE) PORTATI A NUOVO</t>
  </si>
  <si>
    <t>UTILE (PERDITA) D'ESERCIZIO</t>
  </si>
  <si>
    <t>FONDI AMMORTAMENTO e FONDI SVALUTAZIONE</t>
  </si>
  <si>
    <t>FONDI AMMORTAMENTO IMMOBILIZZAZIONI IMMATERIALI</t>
  </si>
  <si>
    <t>F.do Amm.to costi di impianto e di ampliamento</t>
  </si>
  <si>
    <t>F.do Amm.to costi di ricerca e sviluppo</t>
  </si>
  <si>
    <t>F.do Amm.to diritti di brevetto e diritti di utilizzazione delle opere d'ingegno - derivanti dall'attività di ricerca</t>
  </si>
  <si>
    <t>F.do Amm.to diritti di brevetto e diritti di utilizzazione delle opere d'ingegno - altri</t>
  </si>
  <si>
    <t>F.do Amm.to concessioni, licenze, marchi e diritti simili</t>
  </si>
  <si>
    <t>F.do Amm.to migliorie su beni di terzi</t>
  </si>
  <si>
    <t>F.do Amm.to pubblicità</t>
  </si>
  <si>
    <t>F.do Amm.to altre immobilizzazioni immateriali</t>
  </si>
  <si>
    <t>FONDI AMMORTAMENTO IMMOBILIZZAZIONI MATERIALI</t>
  </si>
  <si>
    <t>F.do Amm.to Fabbricati non strumentali (disponibili)</t>
  </si>
  <si>
    <t>F.do Amm.to Fabbricati strumentali (indisponibili)</t>
  </si>
  <si>
    <t>F.do Amm.to Impianti e macchinari</t>
  </si>
  <si>
    <t>F.do Amm.to Attrezzature sanitarie e scientifiche</t>
  </si>
  <si>
    <t>F.do Amm.to Mobili e arredi</t>
  </si>
  <si>
    <t>F.do Amm.to Automezzi</t>
  </si>
  <si>
    <t>F.do Amm.to Altre immobilizzazioni materiali</t>
  </si>
  <si>
    <t>FONDI SVALUTAZIONE IMMOBILIZZAZIONI IMMATERIALI</t>
  </si>
  <si>
    <t>F.do Svalut. Costi di impianto e di ampliamento</t>
  </si>
  <si>
    <t>F.do Svalut. Costi di ricerca e sviluppo</t>
  </si>
  <si>
    <t>F.do Svalut. Diritti di brevetto e diritti di utilizzazione delle opere d'ingegno</t>
  </si>
  <si>
    <t>F.do Svalut. Altre immobilizzazioni immateriali</t>
  </si>
  <si>
    <t>FONDI SVALUTAZIONE IMMOBILIZZAZIONI MATERIALI</t>
  </si>
  <si>
    <t>F.do Svalut. Terreni disponibili</t>
  </si>
  <si>
    <t>F.do Svalut. Terreni indisponibili</t>
  </si>
  <si>
    <t>F.do Svalut. Fabbricati disponibili</t>
  </si>
  <si>
    <t>F.do Svalut. Fabbricati indisponibili</t>
  </si>
  <si>
    <t>F.do Svalut. Impianti e macchinari</t>
  </si>
  <si>
    <t>F.do Svalut. Attrezzature sanitarie e scientifiche</t>
  </si>
  <si>
    <t>F.do Svalut. Mobili e arredi</t>
  </si>
  <si>
    <t>F.do Svalut. Automezzi</t>
  </si>
  <si>
    <t>F.do Svalut. Oggetti d'arte</t>
  </si>
  <si>
    <t>F.do Svalut. Altre immobilizzazioni materiali</t>
  </si>
  <si>
    <t>FONDI SVALUTAZIONE CREDITI</t>
  </si>
  <si>
    <t>Fondo svalutazione Crediti finanziari v/Stato</t>
  </si>
  <si>
    <t>Fondo svalutazione Crediti finanziari v/Regione</t>
  </si>
  <si>
    <t>Fondo svalutazione Crediti finanziari v/partecipate</t>
  </si>
  <si>
    <t>Fondo svalutazione Crediti finanziari v/altri</t>
  </si>
  <si>
    <t>Fondo Svalutazione Crediti v/Stato per spesa corrente - FSN indistinto</t>
  </si>
  <si>
    <t>Fondo Svalutazione Crediti v/Stato per spesa corrente - FSN vincolato</t>
  </si>
  <si>
    <t>Fondo Svalutazione Crediti v/Stato per mobilità attiva extraregionale</t>
  </si>
  <si>
    <t>Fondo Svalutazione Crediti v/Stato per mobilità attiva internazionale</t>
  </si>
  <si>
    <t>Fondo Svalutazione Crediti v/Stato per acconto quota fabbisogno sanitario regionale standard</t>
  </si>
  <si>
    <t>Fondo Svalutazione Crediti v/Stato per finanziamento sanitario aggiuntivo corrente</t>
  </si>
  <si>
    <t>Fondo Svalutazione  Crediti v/Stato per spesa corrente - altro</t>
  </si>
  <si>
    <t>Fondo Svalutazione Crediti v/Stato per spesa corrente per STP (ex D.lgs. 286/98)</t>
  </si>
  <si>
    <t>Fondo Svalutazione Crediti v/Stato per finanziamenti per investimenti</t>
  </si>
  <si>
    <t>Fondo Svalutazione Crediti v/Stato per ricerca corrente - Ministero della Salute</t>
  </si>
  <si>
    <t>Fondo Svalutazione Crediti v/Stato per ricerca finalizzata - Ministero della Salute</t>
  </si>
  <si>
    <t xml:space="preserve">Fondo Svalutazione Crediti v/Stato per ricerca - altre Amministrazioni centrali </t>
  </si>
  <si>
    <t>Fondo Svalutazione Crediti v/Stato per ricerca - finanziamenti per investimenti</t>
  </si>
  <si>
    <t>Fondo Svalutazione Crediti v/prefetture</t>
  </si>
  <si>
    <t>Fondo Svalutazione Crediti v/Regione o Provincia Autonoma per quota FSR</t>
  </si>
  <si>
    <t>Fondo Svalutazione  Crediti v/Regione o Provincia Autonoma per mobilità attiva intraregionale</t>
  </si>
  <si>
    <t>Fondo Svalutazione  Crediti v/Regione o Provincia Autonoma per mobilità attiva extraregionale</t>
  </si>
  <si>
    <t>Fondo Svalutazione  Crediti v/Regione o Provincia Autonoma per acconto quota FSR</t>
  </si>
  <si>
    <t>Fondo Svalutazione Crediti v/Regione o Provincia Autonoma per finanziamento sanitario aggiuntivo corrente LEA</t>
  </si>
  <si>
    <t>Fondo Svalutazione  Crediti v/Regione o Provincia Autonoma per finanziamento sanitario aggiuntivo corrente extra LEA</t>
  </si>
  <si>
    <t>Fondo Svalutazione  Crediti v/Regione o Provincia Autonoma per spesa corrente - altro</t>
  </si>
  <si>
    <t>Fondo Svalutazione Crediti v/Regione o Provincia Autonoma per spesa corrente - STP (ex D.lgs. 286/98)</t>
  </si>
  <si>
    <t>Fondo Svalutazione Crediti v/Regione o Provincia Autonoma per ricerca</t>
  </si>
  <si>
    <t>Fondo Svalutazione Crediti v/Regione o Provincia Autonoma per mobilità attiva internazionale</t>
  </si>
  <si>
    <t>Fondo Svalutazione Crediti v/Regione o Provincia Autonoma per finanziamenti per investimenti</t>
  </si>
  <si>
    <t>Fondo Svalutazione Crediti v/Regione o Provincia Autonoma per incremento fondo dotazione</t>
  </si>
  <si>
    <t>Fondo Svalutazione Crediti v/Regione o Provincia Autonoma per ripiano perdite</t>
  </si>
  <si>
    <t>Fondo Svalutazione Crediti v/Regione per copertura debiti al 31/12/2005</t>
  </si>
  <si>
    <t>Fondo Svalutazione Crediti v/Regione o Provincia Autonoma per ricostituzione risorse da investimenti esercizi precedenti</t>
  </si>
  <si>
    <t>Fondo Svalutazione Crediti v/Comuni</t>
  </si>
  <si>
    <t>Fondo Svalutazione Crediti v/Aziende sanitarie pubbliche della Regione - per mobilità in compensazione</t>
  </si>
  <si>
    <t>Fondo Svalutazione Crediti v/Aziende sanitarie pubbliche della Regione - per mobilità non in compensazione</t>
  </si>
  <si>
    <t>Fondo Svalutazione Crediti v/Aziende sanitarie pubbliche della Regione - per altre prestazioni</t>
  </si>
  <si>
    <t>Fondo Svalutazione Crediti v/Aziende sanitarie pubbliche della Regione - acconto quota FSR da distribuire</t>
  </si>
  <si>
    <t>Fondo Svalutazione Crediti v/Aziende sanitarie pubbliche Extraregione</t>
  </si>
  <si>
    <t>Fondo Svalutazione Crediti v/enti regionali</t>
  </si>
  <si>
    <t>Fondo Svalutazione Crediti v/sperimentazioni gestionali</t>
  </si>
  <si>
    <t>Fondo Svalutazione Crediti v/altre partecipate</t>
  </si>
  <si>
    <t>Fondo Svalutazione Crediti v/Erario</t>
  </si>
  <si>
    <t>Fondo Svalutazione Crediti v/clienti privati</t>
  </si>
  <si>
    <t>Fondo Svalutazione Crediti v/gestioni liquidatorie</t>
  </si>
  <si>
    <t>Fondo Svalutazione Crediti v/altri soggetti pubblici</t>
  </si>
  <si>
    <t>Fondo Svalutazione Crediti v/altri soggetti pubblici per ricerca</t>
  </si>
  <si>
    <t>Fondo Svalutazione Altri crediti diversi</t>
  </si>
  <si>
    <t>Fondo Svalutazione  Altri Crediti verso erogatori (privati accreditati e convenzionati) di prestazioni sanitarie</t>
  </si>
  <si>
    <t>FONDI PER IMPOSTE, ANCHE DIFFERITE</t>
  </si>
  <si>
    <t>FONDI PER RISCHI</t>
  </si>
  <si>
    <t>Fondo rischi per cause civili ed oneri processuali</t>
  </si>
  <si>
    <t>Fondo rischi per contenzioso personale dipendente</t>
  </si>
  <si>
    <t>Fondo rischi connessi all'acquisto di prestazioni sanitarie da privato</t>
  </si>
  <si>
    <t>Fondo rischi per copertura diretta dei rischi (autoassicurazione)</t>
  </si>
  <si>
    <t>Fondo rischi per franchigia assicurativa</t>
  </si>
  <si>
    <t>Fondo rischi per interessi di mora</t>
  </si>
  <si>
    <t>Altri fondi rischi</t>
  </si>
  <si>
    <t>Fondo equo indennizzo</t>
  </si>
  <si>
    <t>Fondo accordi bonari</t>
  </si>
  <si>
    <t>FONDI DA DISTRIBUIRE</t>
  </si>
  <si>
    <t>FSR indistinto da distribuire</t>
  </si>
  <si>
    <t>FSR vincolato da distribuire</t>
  </si>
  <si>
    <t>Fondo per ripiano disavanzi pregressi</t>
  </si>
  <si>
    <t>Fondo finanziamento sanitario aggiuntivo corrente LEA</t>
  </si>
  <si>
    <t>Fondo finanziamento sanitario aggiuntivo corrente extra LEA</t>
  </si>
  <si>
    <t>Fondo finanziamento per ricerca</t>
  </si>
  <si>
    <t>Fondo finanziamento per investimenti</t>
  </si>
  <si>
    <t>Fondo finanziamento sanitario aggiuntivo corrente (extra fondo) - Risorse aggiuntive da bilancio regionale a titolo di copertura extra LEA</t>
  </si>
  <si>
    <t>QUOTE INUTILIZZATE CONTRIBUTI</t>
  </si>
  <si>
    <t xml:space="preserve"> Quote inutilizzate contributi da Regione o Prov. Aut. per quota F.S. indistinto finalizzato</t>
  </si>
  <si>
    <t>Quote inutilizzate contributi da Regione o Prov. Aut. per quota F.S. vincolato</t>
  </si>
  <si>
    <t>Quote inutilizzate contributi vincolati da soggetti pubblici (extra fondo)</t>
  </si>
  <si>
    <t>Quote inutilizzate contributi per ricerca</t>
  </si>
  <si>
    <t>Quote inutilizzate contributi vincolati da privati</t>
  </si>
  <si>
    <t>Quote inutilizzate contributi vincolati da privati - sperimentazioni</t>
  </si>
  <si>
    <t>Quote inutilizzate contributi vincolati da privati - altro</t>
  </si>
  <si>
    <t>ALTRI FONDI PER ONERI E SPESE</t>
  </si>
  <si>
    <t>Fondi integrativi pensione</t>
  </si>
  <si>
    <t>Fondi rinnovi contrattuali</t>
  </si>
  <si>
    <t xml:space="preserve">Fondo rinnovi contrattuali personale dipendente </t>
  </si>
  <si>
    <t>Fondo rinnovi convenzioni MMG/PLS/MCA</t>
  </si>
  <si>
    <t>Fondo rinnovi convenzioni medici Sumai</t>
  </si>
  <si>
    <t>Altri fondi per oneri e spese</t>
  </si>
  <si>
    <t>Fondo oneri personale in quiescienza</t>
  </si>
  <si>
    <t>Altri Fondi incentivi funzioni tecniche Art. 113 D.Lgs 50/2016</t>
  </si>
  <si>
    <t>FONDO PER PREMI OPEROSITA' MEDICI SUMAI</t>
  </si>
  <si>
    <t>FONDO PER TRATTAMENTO DI FINE RAPPORTO DIPENDENTI</t>
  </si>
  <si>
    <t>FONDO PER TRATTAMENTI DI QUIESCENZA E SIMILI</t>
  </si>
  <si>
    <t>DEBITI</t>
  </si>
  <si>
    <t>DEBITI PER MUTUI PASSIVI</t>
  </si>
  <si>
    <t>DEBITI V/STATO</t>
  </si>
  <si>
    <t>Debiti v/Stato per mobilità passiva extraregionale</t>
  </si>
  <si>
    <t>Debiti v/Stato per mobilità passiva internazionale</t>
  </si>
  <si>
    <t>Acconto quota FSR v/Stato</t>
  </si>
  <si>
    <t>Debiti v/Stato per restituzione finanziamenti - per ricerca</t>
  </si>
  <si>
    <t>Altri debiti v/Stato</t>
  </si>
  <si>
    <t xml:space="preserve">Acconti su contributi </t>
  </si>
  <si>
    <t>Debiti per fatture ricevute e da ricevere</t>
  </si>
  <si>
    <t>Note di credito da ricevere</t>
  </si>
  <si>
    <t>DEBITI V/REGIONE O PROVINCIA AUTONOMA</t>
  </si>
  <si>
    <t>Debiti v/Regione o Provincia Autonoma per finanziamenti</t>
  </si>
  <si>
    <t>Debiti v/Regione o Provincia Autonoma per finanziamenti - GSA</t>
  </si>
  <si>
    <t>Debiti v/Regione o Provincia Autonoma per mobilità passiva intraregionale</t>
  </si>
  <si>
    <t>Debiti v/Regione o Provincia Autonoma per mobilità passiva extraregionale</t>
  </si>
  <si>
    <t>Debiti v/Regione o Provincia Autonoma per mobilità passiva internazionale</t>
  </si>
  <si>
    <t>Acconto quota FSR da Regione o Provincia Autonoma</t>
  </si>
  <si>
    <t>Acconto da Regione o Provincia Autonoma per anticipazione ripiano disavanzo programmato dai Piani aziendali di cui all'art. 1, comma 528, L. 208/2015</t>
  </si>
  <si>
    <t xml:space="preserve">Debiti v/Regione o Provincia Autonoma per contributi L. 210/92 </t>
  </si>
  <si>
    <t>Altri debiti v/Regione o Provincia Autonoma - GSA</t>
  </si>
  <si>
    <t>Altri debiti v/Regione o Provincia Autonoma</t>
  </si>
  <si>
    <t>Altri debiti v/Regione o Provincia Autonoma - vincolati a progetti europei</t>
  </si>
  <si>
    <t>Altri debiti v/Regione o Provincia Autonoma - vincolati a progetti ministeriali</t>
  </si>
  <si>
    <t>DEBITI V/COMUNI</t>
  </si>
  <si>
    <t xml:space="preserve">Acconti da comuni </t>
  </si>
  <si>
    <t>Debiti verso comuni</t>
  </si>
  <si>
    <t>DEBITI V/AZIENDE SANITARIE PUBBLICHE</t>
  </si>
  <si>
    <t>Debiti v/Aziende sanitarie pubbliche della Regione</t>
  </si>
  <si>
    <t>Debiti v/Aziende sanitarie pubbliche della Regione - per quota FSR</t>
  </si>
  <si>
    <t>Debiti v/Aziende sanitarie pubbliche della Regione - per finanziamento sanitario aggiuntivo corrente LEA</t>
  </si>
  <si>
    <t>Debiti v/Aziende sanitarie pubbliche della Regione - per finanziamento sanitario aggiuntivo corrente extra LEA</t>
  </si>
  <si>
    <t>Debiti v/Aziende sanitarie pubbliche della Regione - per mobilità in compensazione</t>
  </si>
  <si>
    <t>Debiti v/Aziende sanitarie pubbliche della Regione - per mobilità non in compensazione</t>
  </si>
  <si>
    <t>Debiti v/Aziende sanitarie pubbliche della Regione - per altre prestazioni</t>
  </si>
  <si>
    <t>Debiti verso aziende sanitarie della Regione - per altre prestazioni</t>
  </si>
  <si>
    <t>Debiti v/Aziende sanitarie pubbliche della Regione - altre prestazioni per STP</t>
  </si>
  <si>
    <t xml:space="preserve">Debiti v/Aziende sanitarie pubbliche della Regione - per Contributi da Aziende sanitarie pubbliche della Regione o Prov. Aut. (extra fondo) </t>
  </si>
  <si>
    <t xml:space="preserve">Debiti v/Aziende sanitarie pubbliche della Regione - per contributi L. 210/92 </t>
  </si>
  <si>
    <t xml:space="preserve">Debiti v/Aziende sanitarie pubbliche Extraregione </t>
  </si>
  <si>
    <t>Debiti verso aziende sanitarie extra regionali</t>
  </si>
  <si>
    <t>Debiti v/Aziende sanitarie pubbliche della Regione per versamenti c/patrimonio netto</t>
  </si>
  <si>
    <t>Debiti v/Aziende sanitarie pubbliche della Regione per versamenti c/patrimonio netto - finanziamenti per investimenti</t>
  </si>
  <si>
    <t xml:space="preserve"> Debiti v/Aziende sanitarie pubbliche della Regione per versamenti c/patrimonio netto - incremento fondo dotazione</t>
  </si>
  <si>
    <t>Debiti v/Aziende sanitarie pubbliche della Regione per versamenti c/patrimonio netto - ripiano perdite</t>
  </si>
  <si>
    <t>Debiti v/Aziende sanitarie pubbliche della Regione per anticipazione ripiano disavanzo programmato dai Piani aziendali di cui all'art. 1, comma 528, L. 208/2015</t>
  </si>
  <si>
    <t>Debiti v/Aziende sanitarie pubbliche della Regione per versamenti c/patrimonio netto - altro</t>
  </si>
  <si>
    <t>DEBITI V/ SOCIETA' PARTECIPATE E/O ENTI DIPENDENTI DELLA REGIONE</t>
  </si>
  <si>
    <t>Debiti v/enti regionali</t>
  </si>
  <si>
    <t>Debiti v/sperimentazioni gestionali</t>
  </si>
  <si>
    <t>Debiti v/altre partecipate</t>
  </si>
  <si>
    <t>DEBITI V/FORNITORI</t>
  </si>
  <si>
    <t xml:space="preserve">Debiti verso erogatori (privati accreditati e convenzionati) di prestazioni sanitarie </t>
  </si>
  <si>
    <t>Note di credito da ricevere (privati accreditati e convenzionati)</t>
  </si>
  <si>
    <t>Debiti verso altri fornitori</t>
  </si>
  <si>
    <t>Fornitori nazionali</t>
  </si>
  <si>
    <t>Fornitori esteri</t>
  </si>
  <si>
    <t>Debiti vs farmacie</t>
  </si>
  <si>
    <t>Per trattenute a farmacie</t>
  </si>
  <si>
    <t>Note di credito da ricevere (altri fornitori)</t>
  </si>
  <si>
    <t>DEBITI V/ISTITUTO TESORIERE</t>
  </si>
  <si>
    <t>Anticipazioni</t>
  </si>
  <si>
    <t>Interessi passivi da liquidare</t>
  </si>
  <si>
    <t>DEBITI TRIBUTARI</t>
  </si>
  <si>
    <t>Ritenute fiscali</t>
  </si>
  <si>
    <t>Erario c/IVA</t>
  </si>
  <si>
    <t>Iva a debito</t>
  </si>
  <si>
    <t>Iva a debito x acquisti infra CEE</t>
  </si>
  <si>
    <t>Iva a debito per autofatture</t>
  </si>
  <si>
    <t>Iva a debito per split payment</t>
  </si>
  <si>
    <t>Altri debiti tributari</t>
  </si>
  <si>
    <t>DEBITI V/ISTITUTI PREVIDENZIALI, ASSISTENZIALI E SICUREZZA SOCIALE</t>
  </si>
  <si>
    <t>INPS (ex gestione INPDAP)</t>
  </si>
  <si>
    <t>INPS</t>
  </si>
  <si>
    <t>INAIL</t>
  </si>
  <si>
    <t>ENPAM</t>
  </si>
  <si>
    <t>ENPAF</t>
  </si>
  <si>
    <t>ONAOSI</t>
  </si>
  <si>
    <t>ENPAP</t>
  </si>
  <si>
    <t>ENPAV</t>
  </si>
  <si>
    <t>debiti vs/altri istituti di previdenza</t>
  </si>
  <si>
    <t>DEBITI V/ALTRI</t>
  </si>
  <si>
    <t>Debiti v/altri finanziatori</t>
  </si>
  <si>
    <t>Debiti v/dipendenti</t>
  </si>
  <si>
    <t xml:space="preserve">Debiti verso personale dipendente </t>
  </si>
  <si>
    <t>Debiti CCNL da liquidare</t>
  </si>
  <si>
    <t>Debiti v/gestioni liquidatorie</t>
  </si>
  <si>
    <t>Debiti vs gestione stralcio 1</t>
  </si>
  <si>
    <t>Debiti vs gestione stralcio 2</t>
  </si>
  <si>
    <t>Altri debiti diversi</t>
  </si>
  <si>
    <t>Debiti verso associazioni di volontariato</t>
  </si>
  <si>
    <t>Debiti verso privati paganti c/cauzioni</t>
  </si>
  <si>
    <t>Debiti verso assistiti</t>
  </si>
  <si>
    <t>Debiti per trattenute al personale</t>
  </si>
  <si>
    <t>Debiti verso personale convenzionato</t>
  </si>
  <si>
    <t>Debiti per ACN da liquidare</t>
  </si>
  <si>
    <t>Debiti verso personale non convenzionato</t>
  </si>
  <si>
    <t>Debiti verso personale tirocinante e borsisti</t>
  </si>
  <si>
    <t>Debiti per autofatture da emettere</t>
  </si>
  <si>
    <t>Debiti verso organi direttivi e istituzionali</t>
  </si>
  <si>
    <t>Debiti per quota integrativa organi direttivi e istituzionali da liquidare</t>
  </si>
  <si>
    <t>Debiti vs altri enti pubblici</t>
  </si>
  <si>
    <t>Altri debiti</t>
  </si>
  <si>
    <t>RATEI PASSIVI</t>
  </si>
  <si>
    <t>Ratei passivi v/Aziende sanitarie pubbliche della Regione</t>
  </si>
  <si>
    <t>RISCONTI PASSIVI</t>
  </si>
  <si>
    <t>Risconti passivi v/Aziende sanitarie pubbliche della Regione</t>
  </si>
  <si>
    <t xml:space="preserve"> Risconti passivi - in attuazione dell’art.79, comma 1 sexies lettera c), del D.L. 112/2008, convertito con legge 133/2008 e della legge 23 dicembre 2009 n. 191.</t>
  </si>
  <si>
    <t>TOTALE PASSIVO E PATRIMONIO NETTO</t>
  </si>
  <si>
    <t>CONTI DI RIEPILOGO</t>
  </si>
  <si>
    <t>Stato Patrimoniale di chiusura</t>
  </si>
  <si>
    <t>Stato Patrimoniale di apertura</t>
  </si>
  <si>
    <t>Conto Economico</t>
  </si>
  <si>
    <t>SCHEMA DI RENDICONTO FINANZIARIO</t>
  </si>
  <si>
    <t>ANNO 2019</t>
  </si>
  <si>
    <t>OPERAZIONI DI GESTIONE REDDITUALE</t>
  </si>
  <si>
    <t>(+)</t>
  </si>
  <si>
    <t>risultato di esercizio</t>
  </si>
  <si>
    <t>- Voci che non hanno effetto sulla liquidità: costi e ricavi non monetari</t>
  </si>
  <si>
    <t>ammortamenti fabbricati</t>
  </si>
  <si>
    <t>ammortamenti altre immobilizzazioni materiali</t>
  </si>
  <si>
    <t>ammortamenti immobilizzazioni immateriali</t>
  </si>
  <si>
    <t>Ammortamenti</t>
  </si>
  <si>
    <t>(-)</t>
  </si>
  <si>
    <t>Utilizzo finanziamenti per investimenti</t>
  </si>
  <si>
    <t>Utilizzo fondi riserva: investimenti, incentivi al personale, successioni e donaz., plusvalenze da reinvestire</t>
  </si>
  <si>
    <t>utilizzo contributi in c/capitale e fondi riserva</t>
  </si>
  <si>
    <t>accantonamenti SUMAI</t>
  </si>
  <si>
    <t>pagamenti SUMAI</t>
  </si>
  <si>
    <t>accantonamenti TFR</t>
  </si>
  <si>
    <t>pagamenti TFR</t>
  </si>
  <si>
    <t>- Premio operosità medici SUMAI + TFR</t>
  </si>
  <si>
    <t>(+/-)</t>
  </si>
  <si>
    <t>Rivalutazioni/svalutazioni di attività</t>
  </si>
  <si>
    <t>accantonamenti a fondi svalutazioni</t>
  </si>
  <si>
    <t>utilizzo fondi svalutazioni*</t>
  </si>
  <si>
    <t>- Fondi svalutazione di attività</t>
  </si>
  <si>
    <t>accantonamenti a fondi per rischi e oneri</t>
  </si>
  <si>
    <t>utilizzo fondi per rischi e oneri (compreso il rilascio fondi per esubero)</t>
  </si>
  <si>
    <t>- Fondo per rischi ed oneri futuri</t>
  </si>
  <si>
    <t>TOTALE Flusso di CCN della gestione corrente</t>
  </si>
  <si>
    <t>(+)/(-)</t>
  </si>
  <si>
    <t>aumento/diminuzione debiti verso regione e provincia autonoma, esclusa la variazione relativa a debiti per acquisto di beni strumentali</t>
  </si>
  <si>
    <t>aumento/diminuzione debiti verso comune</t>
  </si>
  <si>
    <t>aumento/diminuzione debiti verso aziende sanitarie pubbliche</t>
  </si>
  <si>
    <t>aumento/diminuzione debiti verso arpa</t>
  </si>
  <si>
    <t>aumento/diminuzione debiti verso fornitori</t>
  </si>
  <si>
    <t>aumento/diminuzione debiti tributari</t>
  </si>
  <si>
    <t>aumento/diminuzione debiti verso istituti di previdenza</t>
  </si>
  <si>
    <t>aumento/diminuzione altri debiti</t>
  </si>
  <si>
    <t>aumento/diminuzione debiti (escl forn di immob e C/C bancari e istituto tesoriere)</t>
  </si>
  <si>
    <t>aumento/diminuzione ratei e risconti passivi</t>
  </si>
  <si>
    <t>diminuzione/aumento crediti parte corrente v/stato quote indistinte</t>
  </si>
  <si>
    <t>diminuzione/aumento crediti parte corrente v/stato quote vincolate</t>
  </si>
  <si>
    <t>diminuzione/aumento crediti parte corrente v/Regione per gettito addizionali Irpef e Irap</t>
  </si>
  <si>
    <t>diminuzione/aumento crediti parte corrente v/Regione per partecipazioni regioni a statuto speciale</t>
  </si>
  <si>
    <t>diminuzione/aumento crediti parte corrente v/Regione - vincolate per partecipazioni regioni a statuto speciale</t>
  </si>
  <si>
    <t>diminuzione/aumento crediti parte corrente v/Regione -gettito fiscalità regionale</t>
  </si>
  <si>
    <t>diminuzione/aumento crediti parte corrente v/Regione - altri contributi extrafondo</t>
  </si>
  <si>
    <t xml:space="preserve">diminuzione/aumento crediti parte corrente v/Regione </t>
  </si>
  <si>
    <t>diminuzione/aumento crediti parte corrente v/Comune</t>
  </si>
  <si>
    <t>diminuzione/aumento crediti parte corrente v/Asl-Ao</t>
  </si>
  <si>
    <t>diminuzione/aumento crediti parte corrente v/ARPA</t>
  </si>
  <si>
    <t>diminuzione/aumento crediti parte corrente v/Erario</t>
  </si>
  <si>
    <t>diminuzione/aumento crediti parte corrente v/Altri</t>
  </si>
  <si>
    <t>diminuzione/aumento di crediti</t>
  </si>
  <si>
    <t>diminuzione/aumento del magazzino</t>
  </si>
  <si>
    <t>diminuzione/aumento di acconti a fornitori per magazzino</t>
  </si>
  <si>
    <t>diminuzione/aumento rimanenze</t>
  </si>
  <si>
    <t>diminuzione/aumento ratei e risconti attivi</t>
  </si>
  <si>
    <t>A - Totale operazioni di gestione reddituale</t>
  </si>
  <si>
    <t>ATTIVITÀ DI INVESTIMENTO</t>
  </si>
  <si>
    <t>Acquisto costi di impianto e di ampliamento</t>
  </si>
  <si>
    <t>Acquisto costi di ricerca e sviluppo</t>
  </si>
  <si>
    <t>Acquisto Diritti di brevetto e diritti di utilizzazione delle opere d'ingegno</t>
  </si>
  <si>
    <t xml:space="preserve">Acquisto immobilizzazioni immateriali in corso </t>
  </si>
  <si>
    <t>Acquisto altre immobilizzazioni immateriali</t>
  </si>
  <si>
    <t>Acquisto Immobilizzazioni Immateriali</t>
  </si>
  <si>
    <t>Valore netto contabile costi di impianto e di ampliamento dismessi</t>
  </si>
  <si>
    <t>Valore netto contabile costi di ricerca e sviluppo dismessi</t>
  </si>
  <si>
    <t>Valore netto contabile Diritti di brevetto e diritti di utilizzazione delle opere d'ingegno dismessi</t>
  </si>
  <si>
    <t>Valore netto contabile immobilizzazioni immateriali in corso dismesse</t>
  </si>
  <si>
    <t>Valore netto contabile altre immobilizzazioni immateriali dismesse</t>
  </si>
  <si>
    <t>Valore netto  contabile Immobilizzazioni Immateriali dismesse</t>
  </si>
  <si>
    <t xml:space="preserve">Acquisto terreni </t>
  </si>
  <si>
    <t xml:space="preserve">Acquisto fabbricati </t>
  </si>
  <si>
    <t xml:space="preserve">Acquisto impianti e macchinari </t>
  </si>
  <si>
    <t xml:space="preserve">Acquisto attrezzature sanitarie e scientifiche </t>
  </si>
  <si>
    <t xml:space="preserve">Acquisto mobili e arredi </t>
  </si>
  <si>
    <t xml:space="preserve">Acquisto automezzi </t>
  </si>
  <si>
    <t xml:space="preserve">Acquisto altri beni materiali </t>
  </si>
  <si>
    <t xml:space="preserve">Acquisto immobilizzazioni materiali in corso </t>
  </si>
  <si>
    <t>Acquisto Immobilizzazioni Materiali</t>
  </si>
  <si>
    <t>Valore netto  contabile terreni dismessi</t>
  </si>
  <si>
    <t>Valore netto  contabile fabbricati dismessi</t>
  </si>
  <si>
    <t>Valore netto  contabile impianti e macchinari dismessi</t>
  </si>
  <si>
    <t>Valore netto  contabile attrezzature sanitarie e scientifiche dismesse</t>
  </si>
  <si>
    <t>Valore netto  contabile mobili e arredi dismessi</t>
  </si>
  <si>
    <t>Valore netto  contabile automezzi dismessi</t>
  </si>
  <si>
    <t>Valore netto  contabile altri beni materiali dismessi</t>
  </si>
  <si>
    <t>Valore netto contabile Immobilizzazioni Materiali dismesse</t>
  </si>
  <si>
    <t>Acquisto crediti finanziari</t>
  </si>
  <si>
    <t>Acquisto titoli</t>
  </si>
  <si>
    <t>Acquisto Immobilizzazioni Finanziarie</t>
  </si>
  <si>
    <t>Valore netto  contabile crediti finanziari dismessi</t>
  </si>
  <si>
    <t>Valore netto  contabile titoli dismessi</t>
  </si>
  <si>
    <t>Valore netto  contabile Immobilizzazioni Finanziarie dismesse</t>
  </si>
  <si>
    <t>Aumento/Diminuzione debiti v/fornitori di immobilizzazioni</t>
  </si>
  <si>
    <t>B - Totale attività di investimento</t>
  </si>
  <si>
    <t>ATTIVITÀ DI FINANZIAMENTO</t>
  </si>
  <si>
    <t>diminuzione/aumento crediti vs Stato (finanziamenti per investimenti)</t>
  </si>
  <si>
    <t>diminuzione/aumento crediti vs Regione  (finanziamenti per investimenti)</t>
  </si>
  <si>
    <t>diminuzione/aumento crediti vs Regione  (aumento fondo di dotazione)</t>
  </si>
  <si>
    <t>diminuzione/aumento crediti vs Regione  (ripiano perdite)</t>
  </si>
  <si>
    <t>diminuzione/aumento crediti vs Regione  (copertura debiti al 31.12.2005)</t>
  </si>
  <si>
    <t>aumento  fondo di dotazione</t>
  </si>
  <si>
    <t>aumento contributi in c/capitale da regione e da altri</t>
  </si>
  <si>
    <t>altri aumenti/diminuzioni al patrimonio netto*</t>
  </si>
  <si>
    <t>aumenti/diminuzioni nette contabili al patrimonio netto</t>
  </si>
  <si>
    <t>aumento/diminuzione debiti C/C bancari e istituto tesoriere*</t>
  </si>
  <si>
    <t>assunzione nuovi mutui*</t>
  </si>
  <si>
    <t>mutui quota capitale rimborsata</t>
  </si>
  <si>
    <t>C - Totale attività di finanziamento</t>
  </si>
  <si>
    <t>FLUSSO DI CASSA COMPLESSIVO (A+B+C)</t>
  </si>
  <si>
    <t>Delta liquidità tra inizio e fine esercizio (al netto dei conti bancari passivi)</t>
  </si>
  <si>
    <t>Squadratura tra il valore delle disponibilità liquide nello SP e il valore del flusso di cassa complessivo</t>
  </si>
  <si>
    <t>Anno 2020</t>
  </si>
  <si>
    <t>IMPORTO
2020</t>
  </si>
  <si>
    <t>Importo
2020</t>
  </si>
  <si>
    <t>ANNO 2020</t>
  </si>
  <si>
    <t>Consuntivo 2020</t>
  </si>
  <si>
    <t>di cui costi incrementali COVID-19 2020 
consuntivo 2020</t>
  </si>
  <si>
    <t>di cui costi attivita' riconvertita 2020
consuntivo 2020</t>
  </si>
  <si>
    <t>Preconsuntivo
2020</t>
  </si>
  <si>
    <t>fin ministeriale</t>
  </si>
  <si>
    <t>utilizzi</t>
  </si>
  <si>
    <t>da accantonare</t>
  </si>
  <si>
    <t>BILANCIO 2020</t>
  </si>
  <si>
    <t>VARIAZIONE
consuntivo 2020/consuntivo2019</t>
  </si>
  <si>
    <t>CONSUNTIVO 2020</t>
  </si>
  <si>
    <t>TOTALE IMPOSTE</t>
  </si>
  <si>
    <t>SI</t>
  </si>
  <si>
    <t xml:space="preserve"> REGIONE 060</t>
  </si>
  <si>
    <t>ENTE SSN 901</t>
  </si>
  <si>
    <t xml:space="preserve">    TRIMESTRE 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</si>
</sst>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-* #,##0.00\ _€_-;\-* #,##0.00\ _€_-;_-* &quot;-&quot;??\ _€_-;_-@_-"/>
    <numFmt numFmtId="166" formatCode="#,##0;\(#,##0\)"/>
    <numFmt numFmtId="167" formatCode="_-* #,##0.00_-;\-* #,##0.00_-;_-* \-??_-;_-@_-"/>
    <numFmt numFmtId="168" formatCode="&quot;L.&quot;\ #,##0;[Red]\-&quot;L.&quot;\ #,##0"/>
    <numFmt numFmtId="169" formatCode="_-[$€]\ * #,##0.00_-;\-[$€]\ * #,##0.00_-;_-[$€]\ * &quot;-&quot;??_-;_-@_-"/>
    <numFmt numFmtId="170" formatCode="_(* #,##0_);_(* \(#,##0\);_(* &quot;-&quot;_);_(@_)"/>
    <numFmt numFmtId="171" formatCode="_(* #,##0.00_);_(* \(#,##0.00\);_(* &quot;-&quot;??_);_(@_)"/>
    <numFmt numFmtId="172" formatCode="_(* #,##0.00_);_(* \(#,##0.00\);_(* \-??_);_(@_)"/>
    <numFmt numFmtId="173" formatCode="_(&quot;$&quot;* #,##0_);_(&quot;$&quot;* \(#,##0\);_(&quot;$&quot;* &quot;-&quot;_);_(@_)"/>
    <numFmt numFmtId="174" formatCode="#,###"/>
    <numFmt numFmtId="176" formatCode="_-* #,##0_-;\-* #,##0_-;_-* &quot;-&quot;??_-;_-@_-"/>
    <numFmt numFmtId="177" formatCode="_-* #,##0.0\ _€_-;\-* #,##0.0\ _€_-;_-* &quot;-&quot;??\ _€_-;_-@_-"/>
    <numFmt numFmtId="178" formatCode="0.0"/>
    <numFmt numFmtId="179" formatCode="_ * #,##0.00_ ;_ * \-#,##0.00_ ;_ * &quot;-&quot;??_ ;_ @_ "/>
    <numFmt numFmtId="180" formatCode="_ * #,##0_ ;_ * \-#,##0_ ;_ * &quot;-&quot;??_ ;_ @_ "/>
  </numFmts>
  <fonts count="118">
    <font>
      <sz val="10"/>
      <name val="Arial"/>
    </font>
    <font>
      <b/>
      <sz val="12"/>
      <name val="DecimaWE Rg"/>
    </font>
    <font>
      <b/>
      <sz val="10"/>
      <name val="DecimaWE Rg"/>
    </font>
    <font>
      <sz val="10"/>
      <name val="Arial"/>
      <family val="2"/>
    </font>
    <font>
      <sz val="10"/>
      <name val="DecimaWE Rg"/>
    </font>
    <font>
      <b/>
      <sz val="16"/>
      <name val="DecimaWE Rg"/>
    </font>
    <font>
      <sz val="8"/>
      <name val="DecimaWE Rg"/>
    </font>
    <font>
      <b/>
      <sz val="8"/>
      <name val="DecimaWE Rg"/>
    </font>
    <font>
      <sz val="9"/>
      <name val="DecimaWE Rg"/>
    </font>
    <font>
      <i/>
      <sz val="8"/>
      <name val="DecimaWE Rg"/>
    </font>
    <font>
      <b/>
      <u/>
      <sz val="8"/>
      <name val="DecimaWE Rg"/>
    </font>
    <font>
      <b/>
      <i/>
      <sz val="8"/>
      <name val="DecimaWE Rg"/>
    </font>
    <font>
      <sz val="12"/>
      <name val="Times New Roman"/>
      <family val="1"/>
    </font>
    <font>
      <sz val="10"/>
      <name val="MS Sans Serif"/>
      <family val="2"/>
    </font>
    <font>
      <sz val="11"/>
      <color indexed="63"/>
      <name val="Calibri"/>
      <family val="2"/>
      <charset val="1"/>
    </font>
    <font>
      <sz val="11"/>
      <color indexed="9"/>
      <name val="Calibri"/>
      <family val="2"/>
      <charset val="1"/>
    </font>
    <font>
      <b/>
      <sz val="11"/>
      <color indexed="52"/>
      <name val="Calibri"/>
      <family val="2"/>
      <charset val="1"/>
    </font>
    <font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Mangal"/>
      <family val="2"/>
    </font>
    <font>
      <sz val="11"/>
      <color indexed="60"/>
      <name val="Calibri"/>
      <family val="2"/>
      <charset val="1"/>
    </font>
    <font>
      <b/>
      <sz val="11"/>
      <color indexed="63"/>
      <name val="Calibri"/>
      <family val="2"/>
    </font>
    <font>
      <u/>
      <sz val="10"/>
      <name val="Arial"/>
      <family val="2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5"/>
      <color indexed="62"/>
      <name val="Calibri"/>
      <family val="2"/>
      <charset val="1"/>
    </font>
    <font>
      <b/>
      <sz val="13"/>
      <color indexed="62"/>
      <name val="Calibri"/>
      <family val="2"/>
      <charset val="1"/>
    </font>
    <font>
      <b/>
      <sz val="11"/>
      <color indexed="62"/>
      <name val="Calibri"/>
      <family val="2"/>
      <charset val="1"/>
    </font>
    <font>
      <b/>
      <sz val="18"/>
      <color indexed="62"/>
      <name val="Cambria"/>
      <family val="2"/>
      <charset val="1"/>
    </font>
    <font>
      <b/>
      <sz val="11"/>
      <color indexed="63"/>
      <name val="Calibri"/>
      <family val="2"/>
      <charset val="1"/>
    </font>
    <font>
      <sz val="11"/>
      <color indexed="20"/>
      <name val="Calibri"/>
      <family val="2"/>
      <charset val="1"/>
    </font>
    <font>
      <sz val="11"/>
      <color indexed="17"/>
      <name val="Calibri"/>
      <family val="2"/>
      <charset val="1"/>
    </font>
    <font>
      <b/>
      <sz val="12"/>
      <name val="Tahoma"/>
      <family val="2"/>
    </font>
    <font>
      <sz val="12"/>
      <name val="Tahoma"/>
      <family val="2"/>
    </font>
    <font>
      <sz val="14"/>
      <name val="Tahoma"/>
      <family val="2"/>
    </font>
    <font>
      <b/>
      <sz val="16"/>
      <name val="Tahoma"/>
      <family val="2"/>
    </font>
    <font>
      <sz val="10"/>
      <name val="Tahoma"/>
      <family val="2"/>
    </font>
    <font>
      <b/>
      <sz val="14"/>
      <name val="Tahoma"/>
      <family val="2"/>
    </font>
    <font>
      <sz val="9"/>
      <name val="Tahoma"/>
      <family val="2"/>
    </font>
    <font>
      <b/>
      <sz val="10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i/>
      <sz val="10"/>
      <name val="Tahoma"/>
      <family val="2"/>
    </font>
    <font>
      <b/>
      <i/>
      <sz val="10"/>
      <name val="Tahoma"/>
      <family val="2"/>
    </font>
    <font>
      <strike/>
      <sz val="10"/>
      <name val="Tahoma"/>
      <family val="2"/>
    </font>
    <font>
      <b/>
      <i/>
      <u/>
      <sz val="10"/>
      <name val="Tahoma"/>
      <family val="2"/>
    </font>
    <font>
      <b/>
      <sz val="12"/>
      <name val="New Century Schlbk"/>
    </font>
    <font>
      <b/>
      <sz val="10"/>
      <name val="Times New Roman"/>
      <family val="1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Calibri"/>
      <family val="2"/>
    </font>
    <font>
      <u/>
      <sz val="10"/>
      <name val="Tahoma"/>
      <family val="2"/>
    </font>
    <font>
      <sz val="2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name val="Calibri"/>
      <family val="2"/>
    </font>
    <font>
      <b/>
      <sz val="12"/>
      <name val="Calibri"/>
      <family val="2"/>
    </font>
    <font>
      <sz val="8"/>
      <name val="Cambria"/>
      <family val="1"/>
    </font>
    <font>
      <b/>
      <sz val="8"/>
      <name val="Cambria"/>
      <family val="1"/>
    </font>
    <font>
      <b/>
      <sz val="11"/>
      <name val="DecimaWE Rg"/>
    </font>
    <font>
      <b/>
      <sz val="14"/>
      <name val="DecimaWE Rg"/>
    </font>
    <font>
      <b/>
      <strike/>
      <sz val="10"/>
      <name val="Tahoma"/>
      <family val="2"/>
    </font>
    <font>
      <b/>
      <i/>
      <strike/>
      <sz val="10"/>
      <name val="Tahoma"/>
      <family val="2"/>
    </font>
    <font>
      <strike/>
      <sz val="10"/>
      <name val="DecimaWE Rg"/>
    </font>
    <font>
      <sz val="10"/>
      <color indexed="8"/>
      <name val="DecimaWE Rg"/>
    </font>
    <font>
      <b/>
      <sz val="10"/>
      <color indexed="9"/>
      <name val="Arial"/>
      <family val="2"/>
    </font>
    <font>
      <sz val="8"/>
      <name val="Univers 45 Light"/>
    </font>
    <font>
      <b/>
      <sz val="8"/>
      <name val="Univers 45 Light"/>
    </font>
    <font>
      <b/>
      <i/>
      <sz val="8"/>
      <name val="Univers 45 Light"/>
    </font>
    <font>
      <sz val="10"/>
      <name val="Book Antiqua"/>
      <family val="1"/>
    </font>
    <font>
      <i/>
      <sz val="8"/>
      <name val="Univers 45 Light"/>
    </font>
    <font>
      <b/>
      <i/>
      <sz val="8"/>
      <color indexed="9"/>
      <name val="Univers 45 Light"/>
    </font>
    <font>
      <sz val="1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0000"/>
      <name val="Tahoma"/>
      <family val="2"/>
    </font>
    <font>
      <sz val="10"/>
      <color rgb="FFFF0000"/>
      <name val="Tahoma"/>
      <family val="2"/>
    </font>
    <font>
      <sz val="14"/>
      <name val="Calibri"/>
      <family val="2"/>
      <scheme val="minor"/>
    </font>
    <font>
      <b/>
      <sz val="12"/>
      <color rgb="FFFF0000"/>
      <name val="Tahoma"/>
      <family val="2"/>
    </font>
    <font>
      <i/>
      <sz val="14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Arial"/>
      <family val="2"/>
    </font>
    <font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trike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DecimaWE Rg"/>
    </font>
    <font>
      <sz val="11"/>
      <color theme="1"/>
      <name val="DecimaWE Rg"/>
    </font>
    <font>
      <b/>
      <sz val="11"/>
      <color theme="1"/>
      <name val="DecimaWE Rg"/>
    </font>
    <font>
      <b/>
      <sz val="11"/>
      <color rgb="FFFFFFFF"/>
      <name val="DecimaWE Rg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DecimaWE Rg"/>
    </font>
    <font>
      <b/>
      <sz val="8"/>
      <color rgb="FFFF0000"/>
      <name val="Univers 45 Light"/>
    </font>
    <font>
      <b/>
      <i/>
      <sz val="8"/>
      <color rgb="FFFF0000"/>
      <name val="Univers 45 Light"/>
    </font>
    <font>
      <sz val="11"/>
      <color rgb="FFFF0000"/>
      <name val="Calibri"/>
      <family val="2"/>
    </font>
    <font>
      <sz val="8"/>
      <color rgb="FFFF0000"/>
      <name val="Univers 45 Light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8"/>
        <bgColor indexed="58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55"/>
        <bgColor indexed="23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mediumGray">
        <fgColor indexed="9"/>
        <bgColor indexed="44"/>
      </patternFill>
    </fill>
    <fill>
      <patternFill patternType="mediumGray">
        <fgColor indexed="9"/>
        <bgColor indexed="9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 tint="-0.14999847407452621"/>
        <bgColor indexed="64"/>
      </patternFill>
    </fill>
  </fills>
  <borders count="1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</borders>
  <cellStyleXfs count="145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2" borderId="0" applyNumberFormat="0" applyBorder="0" applyAlignment="0" applyProtection="0"/>
    <xf numFmtId="0" fontId="14" fillId="5" borderId="0" applyNumberFormat="0" applyBorder="0" applyAlignment="0" applyProtection="0"/>
    <xf numFmtId="0" fontId="14" fillId="3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3" borderId="0" applyNumberFormat="0" applyBorder="0" applyAlignment="0" applyProtection="0"/>
    <xf numFmtId="0" fontId="15" fillId="10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3" borderId="0" applyNumberFormat="0" applyBorder="0" applyAlignment="0" applyProtection="0"/>
    <xf numFmtId="0" fontId="16" fillId="2" borderId="1" applyNumberFormat="0" applyAlignment="0" applyProtection="0"/>
    <xf numFmtId="0" fontId="17" fillId="0" borderId="2" applyNumberFormat="0" applyFill="0" applyAlignment="0" applyProtection="0"/>
    <xf numFmtId="0" fontId="18" fillId="11" borderId="3" applyNumberFormat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0" borderId="0" applyNumberFormat="0" applyBorder="0" applyAlignment="0" applyProtection="0"/>
    <xf numFmtId="0" fontId="15" fillId="15" borderId="0" applyNumberFormat="0" applyBorder="0" applyAlignment="0" applyProtection="0"/>
    <xf numFmtId="38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ill="0" applyBorder="0" applyAlignment="0" applyProtection="0"/>
    <xf numFmtId="4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20" fillId="3" borderId="1" applyNumberFormat="0" applyAlignment="0" applyProtection="0"/>
    <xf numFmtId="43" fontId="3" fillId="0" borderId="0" applyFont="0" applyFill="0" applyBorder="0" applyAlignment="0" applyProtection="0"/>
    <xf numFmtId="170" fontId="21" fillId="0" borderId="0" applyFont="0" applyFill="0" applyBorder="0" applyAlignment="0" applyProtection="0"/>
    <xf numFmtId="38" fontId="1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38" fontId="13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86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172" fontId="23" fillId="0" borderId="0" applyFill="0" applyBorder="0" applyAlignment="0" applyProtection="0"/>
    <xf numFmtId="43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6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24" fillId="8" borderId="0" applyNumberFormat="0" applyBorder="0" applyAlignment="0" applyProtection="0"/>
    <xf numFmtId="0" fontId="86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3" fillId="0" borderId="0"/>
    <xf numFmtId="0" fontId="22" fillId="0" borderId="0"/>
    <xf numFmtId="0" fontId="21" fillId="0" borderId="0" applyNumberFormat="0" applyFill="0" applyBorder="0" applyProtection="0"/>
    <xf numFmtId="0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13" fillId="0" borderId="0"/>
    <xf numFmtId="0" fontId="22" fillId="0" borderId="0"/>
    <xf numFmtId="0" fontId="12" fillId="0" borderId="0"/>
    <xf numFmtId="0" fontId="12" fillId="0" borderId="0"/>
    <xf numFmtId="166" fontId="80" fillId="0" borderId="0"/>
    <xf numFmtId="0" fontId="23" fillId="4" borderId="4" applyNumberFormat="0" applyAlignment="0" applyProtection="0"/>
    <xf numFmtId="0" fontId="25" fillId="6" borderId="5" applyNumberFormat="0" applyAlignment="0" applyProtection="0"/>
    <xf numFmtId="9" fontId="23" fillId="0" borderId="0" applyFill="0" applyBorder="0" applyAlignment="0" applyProtection="0"/>
    <xf numFmtId="9" fontId="2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2" fillId="0" borderId="0" applyFont="0" applyFill="0" applyBorder="0" applyAlignment="0" applyProtection="0"/>
    <xf numFmtId="49" fontId="26" fillId="16" borderId="6">
      <alignment vertical="center"/>
    </xf>
    <xf numFmtId="49" fontId="3" fillId="17" borderId="6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0" borderId="8" applyNumberFormat="0" applyFill="0" applyAlignment="0" applyProtection="0"/>
    <xf numFmtId="0" fontId="31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74" fontId="50" fillId="0" borderId="0">
      <alignment horizontal="left"/>
    </xf>
    <xf numFmtId="0" fontId="33" fillId="0" borderId="10" applyNumberFormat="0" applyFill="0" applyAlignment="0" applyProtection="0"/>
    <xf numFmtId="0" fontId="34" fillId="18" borderId="0" applyNumberFormat="0" applyBorder="0" applyAlignment="0" applyProtection="0"/>
    <xf numFmtId="0" fontId="35" fillId="19" borderId="0" applyNumberFormat="0" applyBorder="0" applyAlignment="0" applyProtection="0"/>
    <xf numFmtId="173" fontId="21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86" fillId="0" borderId="0" applyFont="0" applyFill="0" applyBorder="0" applyAlignment="0" applyProtection="0"/>
  </cellStyleXfs>
  <cellXfs count="159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 vertical="center"/>
    </xf>
    <xf numFmtId="10" fontId="6" fillId="0" borderId="0" xfId="48" applyNumberFormat="1" applyFont="1" applyFill="1" applyBorder="1" applyAlignment="1" applyProtection="1">
      <alignment horizontal="right" vertical="center"/>
    </xf>
    <xf numFmtId="0" fontId="7" fillId="0" borderId="11" xfId="0" applyFont="1" applyBorder="1" applyAlignment="1" applyProtection="1">
      <alignment horizontal="center" vertical="center" wrapText="1"/>
    </xf>
    <xf numFmtId="0" fontId="6" fillId="0" borderId="12" xfId="0" applyFont="1" applyBorder="1" applyAlignment="1">
      <alignment vertical="center"/>
    </xf>
    <xf numFmtId="0" fontId="7" fillId="0" borderId="0" xfId="0" applyFont="1" applyBorder="1" applyAlignment="1" applyProtection="1">
      <alignment horizontal="center" vertical="center"/>
    </xf>
    <xf numFmtId="0" fontId="7" fillId="0" borderId="13" xfId="0" applyFont="1" applyBorder="1" applyAlignment="1" applyProtection="1">
      <alignment horizontal="left" vertical="center"/>
    </xf>
    <xf numFmtId="0" fontId="6" fillId="0" borderId="13" xfId="0" applyFont="1" applyBorder="1" applyAlignment="1" applyProtection="1">
      <alignment horizontal="left" vertical="center"/>
    </xf>
    <xf numFmtId="0" fontId="9" fillId="0" borderId="13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7" fillId="0" borderId="13" xfId="0" quotePrefix="1" applyFont="1" applyBorder="1" applyAlignment="1" applyProtection="1">
      <alignment horizontal="left" vertical="center"/>
    </xf>
    <xf numFmtId="0" fontId="2" fillId="0" borderId="13" xfId="0" applyFont="1" applyBorder="1" applyAlignment="1">
      <alignment vertical="center"/>
    </xf>
    <xf numFmtId="0" fontId="7" fillId="0" borderId="0" xfId="0" applyFont="1" applyBorder="1" applyAlignment="1" applyProtection="1">
      <alignment horizontal="left" vertical="center"/>
    </xf>
    <xf numFmtId="0" fontId="7" fillId="0" borderId="14" xfId="0" applyFont="1" applyBorder="1" applyAlignment="1" applyProtection="1">
      <alignment horizontal="center" vertical="center"/>
    </xf>
    <xf numFmtId="0" fontId="7" fillId="0" borderId="14" xfId="0" applyFont="1" applyBorder="1" applyAlignment="1" applyProtection="1">
      <alignment horizontal="left" vertical="center"/>
    </xf>
    <xf numFmtId="0" fontId="4" fillId="0" borderId="15" xfId="0" applyFont="1" applyBorder="1" applyAlignment="1">
      <alignment horizontal="center" vertical="center"/>
    </xf>
    <xf numFmtId="0" fontId="6" fillId="0" borderId="16" xfId="0" applyFont="1" applyBorder="1" applyAlignment="1" applyProtection="1">
      <alignment horizontal="left" vertical="center"/>
    </xf>
    <xf numFmtId="0" fontId="7" fillId="0" borderId="13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11" fillId="0" borderId="13" xfId="0" applyFont="1" applyBorder="1" applyAlignment="1" applyProtection="1">
      <alignment horizontal="left" vertical="center"/>
    </xf>
    <xf numFmtId="0" fontId="4" fillId="0" borderId="0" xfId="0" applyFont="1" applyFill="1" applyAlignment="1">
      <alignment vertical="center" wrapText="1"/>
    </xf>
    <xf numFmtId="43" fontId="4" fillId="0" borderId="0" xfId="45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9" fillId="0" borderId="13" xfId="0" applyFont="1" applyBorder="1" applyAlignment="1" applyProtection="1">
      <alignment horizontal="left" vertical="center" wrapText="1"/>
    </xf>
    <xf numFmtId="0" fontId="37" fillId="0" borderId="0" xfId="116" applyFont="1" applyFill="1" applyAlignment="1">
      <alignment horizontal="center" vertical="center"/>
    </xf>
    <xf numFmtId="165" fontId="38" fillId="20" borderId="0" xfId="78" applyFont="1" applyFill="1" applyAlignment="1">
      <alignment vertical="center"/>
    </xf>
    <xf numFmtId="0" fontId="37" fillId="20" borderId="0" xfId="116" applyFont="1" applyFill="1" applyAlignment="1">
      <alignment vertical="center"/>
    </xf>
    <xf numFmtId="0" fontId="89" fillId="27" borderId="0" xfId="116" applyFont="1" applyFill="1" applyAlignment="1">
      <alignment vertical="center"/>
    </xf>
    <xf numFmtId="165" fontId="41" fillId="20" borderId="0" xfId="78" applyFont="1" applyFill="1" applyAlignment="1">
      <alignment horizontal="center" vertical="center" wrapText="1"/>
    </xf>
    <xf numFmtId="0" fontId="39" fillId="20" borderId="0" xfId="116" applyFont="1" applyFill="1" applyAlignment="1">
      <alignment horizontal="center" vertical="center" wrapText="1"/>
    </xf>
    <xf numFmtId="0" fontId="90" fillId="27" borderId="0" xfId="116" applyFont="1" applyFill="1" applyAlignment="1">
      <alignment vertical="center"/>
    </xf>
    <xf numFmtId="0" fontId="40" fillId="20" borderId="0" xfId="116" applyFont="1" applyFill="1" applyAlignment="1">
      <alignment vertical="center"/>
    </xf>
    <xf numFmtId="0" fontId="40" fillId="20" borderId="0" xfId="116" applyFont="1" applyFill="1" applyBorder="1" applyAlignment="1">
      <alignment horizontal="center" vertical="center"/>
    </xf>
    <xf numFmtId="0" fontId="40" fillId="20" borderId="0" xfId="116" applyFont="1" applyFill="1" applyAlignment="1">
      <alignment horizontal="center" vertical="center"/>
    </xf>
    <xf numFmtId="0" fontId="40" fillId="20" borderId="15" xfId="116" applyFont="1" applyFill="1" applyBorder="1" applyAlignment="1">
      <alignment horizontal="center" vertical="center"/>
    </xf>
    <xf numFmtId="0" fontId="40" fillId="20" borderId="17" xfId="116" applyFont="1" applyFill="1" applyBorder="1" applyAlignment="1">
      <alignment horizontal="center" vertical="center"/>
    </xf>
    <xf numFmtId="0" fontId="40" fillId="20" borderId="18" xfId="116" applyFont="1" applyFill="1" applyBorder="1" applyAlignment="1">
      <alignment horizontal="center" vertical="center"/>
    </xf>
    <xf numFmtId="0" fontId="40" fillId="20" borderId="19" xfId="116" applyFont="1" applyFill="1" applyBorder="1" applyAlignment="1">
      <alignment horizontal="center" vertical="center"/>
    </xf>
    <xf numFmtId="0" fontId="40" fillId="20" borderId="20" xfId="116" applyFont="1" applyFill="1" applyBorder="1" applyAlignment="1">
      <alignment horizontal="center" vertical="center"/>
    </xf>
    <xf numFmtId="0" fontId="40" fillId="20" borderId="21" xfId="116" applyFont="1" applyFill="1" applyBorder="1" applyAlignment="1">
      <alignment horizontal="left" vertical="center"/>
    </xf>
    <xf numFmtId="0" fontId="40" fillId="0" borderId="0" xfId="116" applyFont="1" applyFill="1" applyBorder="1" applyAlignment="1">
      <alignment horizontal="center" vertical="center"/>
    </xf>
    <xf numFmtId="165" fontId="38" fillId="20" borderId="0" xfId="78" applyFont="1" applyFill="1" applyBorder="1" applyAlignment="1">
      <alignment horizontal="center" vertical="center"/>
    </xf>
    <xf numFmtId="0" fontId="40" fillId="20" borderId="21" xfId="116" applyFont="1" applyFill="1" applyBorder="1" applyAlignment="1">
      <alignment horizontal="center" vertical="center"/>
    </xf>
    <xf numFmtId="165" fontId="38" fillId="20" borderId="22" xfId="78" applyFont="1" applyFill="1" applyBorder="1" applyAlignment="1">
      <alignment horizontal="center" vertical="center"/>
    </xf>
    <xf numFmtId="0" fontId="40" fillId="20" borderId="22" xfId="116" applyFont="1" applyFill="1" applyBorder="1" applyAlignment="1">
      <alignment horizontal="center" vertical="center"/>
    </xf>
    <xf numFmtId="0" fontId="40" fillId="20" borderId="23" xfId="116" applyFont="1" applyFill="1" applyBorder="1" applyAlignment="1">
      <alignment horizontal="center" vertical="center"/>
    </xf>
    <xf numFmtId="0" fontId="40" fillId="20" borderId="24" xfId="116" applyFont="1" applyFill="1" applyBorder="1" applyAlignment="1">
      <alignment horizontal="center" vertical="center"/>
    </xf>
    <xf numFmtId="0" fontId="37" fillId="20" borderId="18" xfId="116" applyFont="1" applyFill="1" applyBorder="1" applyAlignment="1">
      <alignment vertical="center"/>
    </xf>
    <xf numFmtId="0" fontId="36" fillId="20" borderId="15" xfId="116" applyFont="1" applyFill="1" applyBorder="1" applyAlignment="1">
      <alignment horizontal="center" vertical="center"/>
    </xf>
    <xf numFmtId="0" fontId="36" fillId="20" borderId="17" xfId="116" applyFont="1" applyFill="1" applyBorder="1" applyAlignment="1">
      <alignment horizontal="center" vertical="center"/>
    </xf>
    <xf numFmtId="0" fontId="37" fillId="20" borderId="21" xfId="116" applyFont="1" applyFill="1" applyBorder="1" applyAlignment="1">
      <alignment vertical="center"/>
    </xf>
    <xf numFmtId="0" fontId="37" fillId="20" borderId="24" xfId="116" applyFont="1" applyFill="1" applyBorder="1" applyAlignment="1">
      <alignment vertical="center"/>
    </xf>
    <xf numFmtId="0" fontId="36" fillId="20" borderId="0" xfId="116" applyFont="1" applyFill="1" applyBorder="1" applyAlignment="1">
      <alignment horizontal="center" vertical="center" wrapText="1"/>
    </xf>
    <xf numFmtId="0" fontId="36" fillId="0" borderId="0" xfId="116" applyFont="1" applyFill="1" applyBorder="1" applyAlignment="1">
      <alignment horizontal="center" vertical="center" wrapText="1"/>
    </xf>
    <xf numFmtId="0" fontId="42" fillId="20" borderId="0" xfId="116" applyFont="1" applyFill="1" applyBorder="1" applyAlignment="1">
      <alignment horizontal="center" vertical="center" wrapText="1"/>
    </xf>
    <xf numFmtId="0" fontId="89" fillId="27" borderId="0" xfId="116" applyFont="1" applyFill="1" applyAlignment="1">
      <alignment vertical="center" wrapText="1"/>
    </xf>
    <xf numFmtId="0" fontId="37" fillId="27" borderId="0" xfId="116" applyFont="1" applyFill="1" applyAlignment="1">
      <alignment vertical="center" wrapText="1"/>
    </xf>
    <xf numFmtId="0" fontId="43" fillId="0" borderId="18" xfId="87" applyFont="1" applyFill="1" applyBorder="1" applyAlignment="1" applyProtection="1">
      <alignment horizontal="center" vertical="center" wrapText="1"/>
    </xf>
    <xf numFmtId="0" fontId="43" fillId="27" borderId="0" xfId="87" applyFont="1" applyFill="1" applyBorder="1" applyAlignment="1" applyProtection="1">
      <alignment vertical="center" wrapText="1"/>
    </xf>
    <xf numFmtId="0" fontId="43" fillId="27" borderId="0" xfId="87" applyFont="1" applyFill="1" applyBorder="1" applyAlignment="1" applyProtection="1">
      <alignment vertical="center"/>
    </xf>
    <xf numFmtId="0" fontId="45" fillId="0" borderId="0" xfId="116" applyFont="1" applyFill="1" applyAlignment="1">
      <alignment vertical="center" wrapText="1"/>
    </xf>
    <xf numFmtId="0" fontId="43" fillId="0" borderId="25" xfId="87" applyFont="1" applyFill="1" applyBorder="1" applyAlignment="1" applyProtection="1">
      <alignment horizontal="center" vertical="center" wrapText="1"/>
    </xf>
    <xf numFmtId="0" fontId="43" fillId="0" borderId="25" xfId="87" applyFont="1" applyFill="1" applyBorder="1" applyAlignment="1" applyProtection="1">
      <alignment horizontal="left" vertical="center" wrapText="1"/>
    </xf>
    <xf numFmtId="165" fontId="91" fillId="0" borderId="26" xfId="78" applyFont="1" applyBorder="1" applyAlignment="1">
      <alignment horizontal="right" vertical="center" wrapText="1"/>
    </xf>
    <xf numFmtId="0" fontId="36" fillId="0" borderId="0" xfId="116" applyFont="1" applyFill="1" applyAlignment="1">
      <alignment vertical="center" wrapText="1"/>
    </xf>
    <xf numFmtId="0" fontId="47" fillId="0" borderId="25" xfId="87" applyFont="1" applyFill="1" applyBorder="1" applyAlignment="1" applyProtection="1">
      <alignment horizontal="center" vertical="center" wrapText="1"/>
    </xf>
    <xf numFmtId="0" fontId="47" fillId="0" borderId="25" xfId="87" applyFont="1" applyFill="1" applyBorder="1" applyAlignment="1" applyProtection="1">
      <alignment horizontal="left" vertical="center" wrapText="1"/>
    </xf>
    <xf numFmtId="0" fontId="46" fillId="0" borderId="25" xfId="87" applyFont="1" applyFill="1" applyBorder="1" applyAlignment="1" applyProtection="1">
      <alignment horizontal="center" vertical="center" wrapText="1"/>
    </xf>
    <xf numFmtId="0" fontId="46" fillId="0" borderId="25" xfId="87" applyFont="1" applyFill="1" applyBorder="1" applyAlignment="1" applyProtection="1">
      <alignment horizontal="left" vertical="center" wrapText="1"/>
    </xf>
    <xf numFmtId="0" fontId="40" fillId="0" borderId="25" xfId="87" applyFont="1" applyFill="1" applyBorder="1" applyAlignment="1" applyProtection="1">
      <alignment horizontal="center" vertical="center" wrapText="1"/>
    </xf>
    <xf numFmtId="0" fontId="40" fillId="0" borderId="25" xfId="87" applyFont="1" applyFill="1" applyBorder="1" applyAlignment="1" applyProtection="1">
      <alignment horizontal="left" vertical="center" wrapText="1"/>
    </xf>
    <xf numFmtId="0" fontId="40" fillId="27" borderId="25" xfId="87" applyFont="1" applyFill="1" applyBorder="1" applyAlignment="1" applyProtection="1">
      <alignment horizontal="center" vertical="center" wrapText="1"/>
    </xf>
    <xf numFmtId="0" fontId="40" fillId="27" borderId="25" xfId="87" applyFont="1" applyFill="1" applyBorder="1" applyAlignment="1" applyProtection="1">
      <alignment horizontal="left" vertical="center" wrapText="1"/>
    </xf>
    <xf numFmtId="165" fontId="91" fillId="0" borderId="26" xfId="78" applyFont="1" applyFill="1" applyBorder="1" applyAlignment="1">
      <alignment horizontal="right" vertical="center" wrapText="1"/>
    </xf>
    <xf numFmtId="0" fontId="46" fillId="28" borderId="25" xfId="87" applyFont="1" applyFill="1" applyBorder="1" applyAlignment="1" applyProtection="1">
      <alignment horizontal="center" vertical="center" wrapText="1"/>
    </xf>
    <xf numFmtId="0" fontId="46" fillId="28" borderId="25" xfId="87" applyFont="1" applyFill="1" applyBorder="1" applyAlignment="1" applyProtection="1">
      <alignment horizontal="left" vertical="center" wrapText="1"/>
    </xf>
    <xf numFmtId="165" fontId="91" fillId="28" borderId="26" xfId="78" applyFont="1" applyFill="1" applyBorder="1" applyAlignment="1">
      <alignment horizontal="right" vertical="center" wrapText="1"/>
    </xf>
    <xf numFmtId="0" fontId="92" fillId="0" borderId="0" xfId="116" applyFont="1" applyFill="1" applyAlignment="1">
      <alignment vertical="center" wrapText="1"/>
    </xf>
    <xf numFmtId="0" fontId="46" fillId="27" borderId="25" xfId="87" applyFont="1" applyFill="1" applyBorder="1" applyAlignment="1" applyProtection="1">
      <alignment horizontal="center" vertical="center" wrapText="1"/>
    </xf>
    <xf numFmtId="0" fontId="46" fillId="27" borderId="25" xfId="87" applyFont="1" applyFill="1" applyBorder="1" applyAlignment="1" applyProtection="1">
      <alignment horizontal="left" vertical="center" wrapText="1"/>
    </xf>
    <xf numFmtId="0" fontId="46" fillId="27" borderId="27" xfId="87" applyFont="1" applyFill="1" applyBorder="1" applyAlignment="1" applyProtection="1">
      <alignment horizontal="left" vertical="center" wrapText="1"/>
    </xf>
    <xf numFmtId="0" fontId="40" fillId="27" borderId="0" xfId="87" applyFont="1" applyFill="1" applyAlignment="1">
      <alignment vertical="center"/>
    </xf>
    <xf numFmtId="0" fontId="40" fillId="27" borderId="0" xfId="87" applyFont="1" applyFill="1" applyBorder="1" applyAlignment="1">
      <alignment vertical="center"/>
    </xf>
    <xf numFmtId="0" fontId="40" fillId="27" borderId="0" xfId="116" applyFont="1" applyFill="1" applyBorder="1" applyAlignment="1">
      <alignment horizontal="center" vertical="center"/>
    </xf>
    <xf numFmtId="0" fontId="40" fillId="27" borderId="0" xfId="116" applyFont="1" applyFill="1" applyBorder="1" applyAlignment="1">
      <alignment vertical="center"/>
    </xf>
    <xf numFmtId="0" fontId="37" fillId="27" borderId="0" xfId="116" applyFont="1" applyFill="1" applyBorder="1" applyAlignment="1">
      <alignment vertical="center"/>
    </xf>
    <xf numFmtId="0" fontId="37" fillId="20" borderId="0" xfId="116" applyFont="1" applyFill="1" applyAlignment="1">
      <alignment horizontal="center" vertical="center"/>
    </xf>
    <xf numFmtId="0" fontId="40" fillId="0" borderId="0" xfId="87" applyFont="1" applyFill="1" applyAlignment="1">
      <alignment horizontal="center" vertical="center"/>
    </xf>
    <xf numFmtId="0" fontId="40" fillId="0" borderId="0" xfId="87" applyFont="1" applyFill="1" applyAlignment="1">
      <alignment vertical="center"/>
    </xf>
    <xf numFmtId="165" fontId="38" fillId="27" borderId="0" xfId="78" applyFont="1" applyFill="1" applyAlignment="1">
      <alignment vertical="center"/>
    </xf>
    <xf numFmtId="0" fontId="90" fillId="27" borderId="0" xfId="87" applyFont="1" applyFill="1" applyAlignment="1">
      <alignment vertical="center"/>
    </xf>
    <xf numFmtId="0" fontId="40" fillId="27" borderId="0" xfId="116" applyFont="1" applyFill="1" applyBorder="1" applyAlignment="1">
      <alignment horizontal="right" vertical="center"/>
    </xf>
    <xf numFmtId="0" fontId="40" fillId="0" borderId="0" xfId="87" applyFont="1" applyFill="1" applyBorder="1" applyAlignment="1">
      <alignment vertical="center"/>
    </xf>
    <xf numFmtId="165" fontId="38" fillId="27" borderId="0" xfId="78" applyFont="1" applyFill="1" applyBorder="1" applyAlignment="1">
      <alignment vertical="center"/>
    </xf>
    <xf numFmtId="0" fontId="90" fillId="27" borderId="0" xfId="87" applyFont="1" applyFill="1" applyBorder="1" applyAlignment="1">
      <alignment vertical="center"/>
    </xf>
    <xf numFmtId="165" fontId="38" fillId="27" borderId="0" xfId="78" applyFont="1" applyFill="1" applyBorder="1" applyAlignment="1">
      <alignment horizontal="center" vertical="center"/>
    </xf>
    <xf numFmtId="0" fontId="90" fillId="27" borderId="0" xfId="116" applyFont="1" applyFill="1" applyBorder="1" applyAlignment="1">
      <alignment horizontal="center" vertical="center"/>
    </xf>
    <xf numFmtId="0" fontId="40" fillId="0" borderId="0" xfId="116" applyFont="1" applyFill="1" applyBorder="1" applyAlignment="1">
      <alignment horizontal="left" vertical="center"/>
    </xf>
    <xf numFmtId="0" fontId="40" fillId="0" borderId="0" xfId="116" applyFont="1" applyFill="1" applyBorder="1" applyAlignment="1">
      <alignment vertical="center"/>
    </xf>
    <xf numFmtId="0" fontId="37" fillId="27" borderId="0" xfId="116" applyFont="1" applyFill="1" applyAlignment="1">
      <alignment vertical="center"/>
    </xf>
    <xf numFmtId="0" fontId="37" fillId="0" borderId="0" xfId="116" applyFont="1" applyFill="1" applyBorder="1" applyAlignment="1">
      <alignment vertical="center"/>
    </xf>
    <xf numFmtId="165" fontId="91" fillId="29" borderId="26" xfId="78" applyFont="1" applyFill="1" applyBorder="1" applyAlignment="1">
      <alignment horizontal="right" vertical="center" wrapText="1"/>
    </xf>
    <xf numFmtId="0" fontId="47" fillId="29" borderId="25" xfId="87" applyFont="1" applyFill="1" applyBorder="1" applyAlignment="1" applyProtection="1">
      <alignment horizontal="center" vertical="center" wrapText="1"/>
    </xf>
    <xf numFmtId="0" fontId="47" fillId="29" borderId="25" xfId="87" applyFont="1" applyFill="1" applyBorder="1" applyAlignment="1" applyProtection="1">
      <alignment horizontal="left" vertical="center" wrapText="1"/>
    </xf>
    <xf numFmtId="0" fontId="44" fillId="30" borderId="28" xfId="87" applyFont="1" applyFill="1" applyBorder="1" applyAlignment="1" applyProtection="1">
      <alignment horizontal="center" vertical="center" wrapText="1"/>
    </xf>
    <xf numFmtId="0" fontId="45" fillId="30" borderId="28" xfId="87" applyFont="1" applyFill="1" applyBorder="1" applyAlignment="1" applyProtection="1">
      <alignment vertical="center" wrapText="1"/>
    </xf>
    <xf numFmtId="165" fontId="91" fillId="30" borderId="29" xfId="78" applyFont="1" applyFill="1" applyBorder="1" applyAlignment="1">
      <alignment horizontal="right" vertical="center" wrapText="1"/>
    </xf>
    <xf numFmtId="0" fontId="43" fillId="31" borderId="25" xfId="87" applyFont="1" applyFill="1" applyBorder="1" applyAlignment="1" applyProtection="1">
      <alignment horizontal="center" vertical="center" wrapText="1"/>
    </xf>
    <xf numFmtId="0" fontId="43" fillId="31" borderId="25" xfId="87" applyFont="1" applyFill="1" applyBorder="1" applyAlignment="1" applyProtection="1">
      <alignment horizontal="left" vertical="center" wrapText="1"/>
    </xf>
    <xf numFmtId="165" fontId="91" fillId="31" borderId="26" xfId="78" applyFont="1" applyFill="1" applyBorder="1" applyAlignment="1">
      <alignment horizontal="right" vertical="center" wrapText="1"/>
    </xf>
    <xf numFmtId="0" fontId="43" fillId="32" borderId="25" xfId="87" applyFont="1" applyFill="1" applyBorder="1" applyAlignment="1" applyProtection="1">
      <alignment horizontal="center" vertical="center" wrapText="1"/>
    </xf>
    <xf numFmtId="0" fontId="43" fillId="32" borderId="25" xfId="87" applyFont="1" applyFill="1" applyBorder="1" applyAlignment="1" applyProtection="1">
      <alignment horizontal="left" vertical="center" wrapText="1"/>
    </xf>
    <xf numFmtId="165" fontId="91" fillId="32" borderId="26" xfId="78" applyFont="1" applyFill="1" applyBorder="1" applyAlignment="1">
      <alignment horizontal="right" vertical="center" wrapText="1"/>
    </xf>
    <xf numFmtId="0" fontId="46" fillId="33" borderId="25" xfId="87" applyFont="1" applyFill="1" applyBorder="1" applyAlignment="1" applyProtection="1">
      <alignment horizontal="center" vertical="center" wrapText="1"/>
    </xf>
    <xf numFmtId="0" fontId="46" fillId="33" borderId="25" xfId="87" applyFont="1" applyFill="1" applyBorder="1" applyAlignment="1" applyProtection="1">
      <alignment horizontal="left" vertical="center" wrapText="1"/>
    </xf>
    <xf numFmtId="165" fontId="91" fillId="33" borderId="26" xfId="78" applyFont="1" applyFill="1" applyBorder="1" applyAlignment="1">
      <alignment horizontal="right" vertical="center" wrapText="1"/>
    </xf>
    <xf numFmtId="0" fontId="40" fillId="34" borderId="25" xfId="87" applyFont="1" applyFill="1" applyBorder="1" applyAlignment="1" applyProtection="1">
      <alignment horizontal="center" vertical="center" wrapText="1"/>
    </xf>
    <xf numFmtId="0" fontId="40" fillId="34" borderId="25" xfId="87" applyFont="1" applyFill="1" applyBorder="1" applyAlignment="1" applyProtection="1">
      <alignment horizontal="left" vertical="center" wrapText="1"/>
    </xf>
    <xf numFmtId="165" fontId="91" fillId="34" borderId="26" xfId="78" applyFont="1" applyFill="1" applyBorder="1" applyAlignment="1">
      <alignment horizontal="right" vertical="center" wrapText="1"/>
    </xf>
    <xf numFmtId="0" fontId="46" fillId="34" borderId="25" xfId="87" applyFont="1" applyFill="1" applyBorder="1" applyAlignment="1" applyProtection="1">
      <alignment horizontal="center" vertical="center" wrapText="1"/>
    </xf>
    <xf numFmtId="0" fontId="46" fillId="34" borderId="25" xfId="87" applyFont="1" applyFill="1" applyBorder="1" applyAlignment="1" applyProtection="1">
      <alignment horizontal="left" vertical="center" wrapText="1"/>
    </xf>
    <xf numFmtId="165" fontId="93" fillId="34" borderId="26" xfId="78" applyFont="1" applyFill="1" applyBorder="1" applyAlignment="1">
      <alignment horizontal="right" vertical="center" wrapText="1"/>
    </xf>
    <xf numFmtId="165" fontId="91" fillId="35" borderId="26" xfId="78" applyFont="1" applyFill="1" applyBorder="1" applyAlignment="1">
      <alignment horizontal="right" vertical="center" wrapText="1"/>
    </xf>
    <xf numFmtId="0" fontId="40" fillId="30" borderId="25" xfId="87" applyFont="1" applyFill="1" applyBorder="1" applyAlignment="1" applyProtection="1">
      <alignment horizontal="center" vertical="center" wrapText="1"/>
    </xf>
    <xf numFmtId="0" fontId="43" fillId="30" borderId="25" xfId="87" applyFont="1" applyFill="1" applyBorder="1" applyAlignment="1" applyProtection="1">
      <alignment horizontal="left" vertical="center" wrapText="1"/>
    </xf>
    <xf numFmtId="165" fontId="91" fillId="30" borderId="26" xfId="78" applyFont="1" applyFill="1" applyBorder="1" applyAlignment="1">
      <alignment horizontal="right" vertical="center" wrapText="1"/>
    </xf>
    <xf numFmtId="0" fontId="36" fillId="30" borderId="25" xfId="87" applyFont="1" applyFill="1" applyBorder="1" applyAlignment="1" applyProtection="1">
      <alignment horizontal="left" vertical="center" wrapText="1"/>
    </xf>
    <xf numFmtId="0" fontId="47" fillId="33" borderId="25" xfId="87" applyFont="1" applyFill="1" applyBorder="1" applyAlignment="1" applyProtection="1">
      <alignment horizontal="center" vertical="center" wrapText="1"/>
    </xf>
    <xf numFmtId="0" fontId="47" fillId="33" borderId="25" xfId="87" applyFont="1" applyFill="1" applyBorder="1" applyAlignment="1" applyProtection="1">
      <alignment horizontal="left" vertical="center" wrapText="1"/>
    </xf>
    <xf numFmtId="0" fontId="49" fillId="36" borderId="25" xfId="87" applyFont="1" applyFill="1" applyBorder="1" applyAlignment="1" applyProtection="1">
      <alignment horizontal="center" vertical="center" wrapText="1"/>
    </xf>
    <xf numFmtId="0" fontId="49" fillId="36" borderId="25" xfId="87" applyFont="1" applyFill="1" applyBorder="1" applyAlignment="1" applyProtection="1">
      <alignment horizontal="left" vertical="center" wrapText="1"/>
    </xf>
    <xf numFmtId="165" fontId="91" fillId="36" borderId="26" xfId="78" applyFont="1" applyFill="1" applyBorder="1" applyAlignment="1">
      <alignment horizontal="right" vertical="center" wrapText="1"/>
    </xf>
    <xf numFmtId="0" fontId="49" fillId="35" borderId="25" xfId="87" applyFont="1" applyFill="1" applyBorder="1" applyAlignment="1" applyProtection="1">
      <alignment horizontal="center" vertical="center" wrapText="1"/>
    </xf>
    <xf numFmtId="0" fontId="49" fillId="35" borderId="25" xfId="87" applyFont="1" applyFill="1" applyBorder="1" applyAlignment="1" applyProtection="1">
      <alignment horizontal="left" vertical="center" wrapText="1"/>
    </xf>
    <xf numFmtId="0" fontId="40" fillId="37" borderId="25" xfId="87" applyFont="1" applyFill="1" applyBorder="1" applyAlignment="1" applyProtection="1">
      <alignment horizontal="center" vertical="center" wrapText="1"/>
    </xf>
    <xf numFmtId="0" fontId="40" fillId="37" borderId="25" xfId="87" applyFont="1" applyFill="1" applyBorder="1" applyAlignment="1" applyProtection="1">
      <alignment horizontal="left" vertical="center" wrapText="1"/>
    </xf>
    <xf numFmtId="165" fontId="91" fillId="37" borderId="26" xfId="78" applyFont="1" applyFill="1" applyBorder="1" applyAlignment="1">
      <alignment horizontal="right" vertical="center" wrapText="1"/>
    </xf>
    <xf numFmtId="0" fontId="43" fillId="38" borderId="30" xfId="87" applyFont="1" applyFill="1" applyBorder="1" applyAlignment="1" applyProtection="1">
      <alignment horizontal="center" vertical="center" wrapText="1"/>
    </xf>
    <xf numFmtId="0" fontId="43" fillId="38" borderId="30" xfId="87" applyFont="1" applyFill="1" applyBorder="1" applyAlignment="1" applyProtection="1">
      <alignment horizontal="left" vertical="center" wrapText="1"/>
    </xf>
    <xf numFmtId="165" fontId="91" fillId="38" borderId="31" xfId="78" applyFont="1" applyFill="1" applyBorder="1" applyAlignment="1">
      <alignment horizontal="right" vertical="center" wrapText="1"/>
    </xf>
    <xf numFmtId="43" fontId="2" fillId="0" borderId="0" xfId="45" applyFont="1" applyAlignment="1">
      <alignment vertical="center"/>
    </xf>
    <xf numFmtId="43" fontId="2" fillId="0" borderId="0" xfId="45" applyFont="1" applyFill="1" applyAlignment="1">
      <alignment vertical="center"/>
    </xf>
    <xf numFmtId="43" fontId="4" fillId="0" borderId="0" xfId="45" applyFont="1" applyFill="1" applyAlignment="1">
      <alignment vertical="center"/>
    </xf>
    <xf numFmtId="43" fontId="5" fillId="0" borderId="32" xfId="45" applyFont="1" applyFill="1" applyBorder="1" applyAlignment="1" applyProtection="1">
      <alignment vertical="center"/>
    </xf>
    <xf numFmtId="43" fontId="6" fillId="0" borderId="0" xfId="45" applyFont="1" applyFill="1" applyBorder="1" applyAlignment="1" applyProtection="1">
      <alignment horizontal="left" vertical="center"/>
    </xf>
    <xf numFmtId="43" fontId="6" fillId="0" borderId="0" xfId="45" applyFont="1" applyFill="1" applyBorder="1" applyAlignment="1" applyProtection="1">
      <alignment horizontal="right" vertical="center"/>
    </xf>
    <xf numFmtId="43" fontId="6" fillId="0" borderId="12" xfId="45" applyFont="1" applyFill="1" applyBorder="1" applyAlignment="1">
      <alignment vertical="center"/>
    </xf>
    <xf numFmtId="43" fontId="7" fillId="0" borderId="13" xfId="45" applyFont="1" applyFill="1" applyBorder="1" applyAlignment="1" applyProtection="1">
      <alignment horizontal="left" vertical="center"/>
    </xf>
    <xf numFmtId="43" fontId="6" fillId="0" borderId="33" xfId="45" applyFont="1" applyFill="1" applyBorder="1" applyAlignment="1" applyProtection="1">
      <alignment horizontal="right" vertical="center"/>
    </xf>
    <xf numFmtId="43" fontId="6" fillId="0" borderId="13" xfId="45" applyFont="1" applyFill="1" applyBorder="1" applyAlignment="1" applyProtection="1">
      <alignment horizontal="left" vertical="center"/>
    </xf>
    <xf numFmtId="43" fontId="7" fillId="0" borderId="13" xfId="45" applyFont="1" applyFill="1" applyBorder="1" applyAlignment="1">
      <alignment vertical="center"/>
    </xf>
    <xf numFmtId="43" fontId="9" fillId="0" borderId="13" xfId="45" applyFont="1" applyBorder="1" applyAlignment="1" applyProtection="1">
      <alignment horizontal="right" vertical="center"/>
    </xf>
    <xf numFmtId="43" fontId="11" fillId="0" borderId="13" xfId="45" applyFont="1" applyBorder="1" applyAlignment="1" applyProtection="1">
      <alignment horizontal="right" vertical="center"/>
    </xf>
    <xf numFmtId="43" fontId="7" fillId="0" borderId="13" xfId="45" applyFont="1" applyFill="1" applyBorder="1" applyAlignment="1" applyProtection="1">
      <alignment horizontal="right" vertical="center"/>
    </xf>
    <xf numFmtId="43" fontId="7" fillId="21" borderId="34" xfId="45" applyFont="1" applyFill="1" applyBorder="1" applyAlignment="1" applyProtection="1">
      <alignment horizontal="right" vertical="center"/>
    </xf>
    <xf numFmtId="43" fontId="6" fillId="0" borderId="13" xfId="45" applyFont="1" applyBorder="1" applyAlignment="1" applyProtection="1">
      <alignment horizontal="right" vertical="center"/>
    </xf>
    <xf numFmtId="43" fontId="7" fillId="0" borderId="13" xfId="45" applyFont="1" applyBorder="1" applyAlignment="1" applyProtection="1">
      <alignment horizontal="right" vertical="center"/>
    </xf>
    <xf numFmtId="43" fontId="7" fillId="0" borderId="14" xfId="45" applyFont="1" applyBorder="1" applyAlignment="1" applyProtection="1">
      <alignment horizontal="right" vertical="center"/>
    </xf>
    <xf numFmtId="43" fontId="7" fillId="21" borderId="35" xfId="45" applyFont="1" applyFill="1" applyBorder="1" applyAlignment="1" applyProtection="1">
      <alignment horizontal="right" vertical="center"/>
    </xf>
    <xf numFmtId="43" fontId="7" fillId="0" borderId="33" xfId="45" applyFont="1" applyBorder="1" applyAlignment="1" applyProtection="1">
      <alignment horizontal="right" vertical="center"/>
    </xf>
    <xf numFmtId="43" fontId="7" fillId="0" borderId="33" xfId="45" applyFont="1" applyFill="1" applyBorder="1" applyAlignment="1" applyProtection="1">
      <alignment horizontal="right" vertical="center"/>
    </xf>
    <xf numFmtId="43" fontId="6" fillId="0" borderId="33" xfId="45" applyFont="1" applyFill="1" applyBorder="1" applyAlignment="1">
      <alignment horizontal="right" vertical="center"/>
    </xf>
    <xf numFmtId="43" fontId="7" fillId="21" borderId="36" xfId="45" applyFont="1" applyFill="1" applyBorder="1" applyAlignment="1" applyProtection="1">
      <alignment horizontal="right" vertical="center"/>
    </xf>
    <xf numFmtId="43" fontId="7" fillId="29" borderId="36" xfId="45" applyFont="1" applyFill="1" applyBorder="1" applyAlignment="1" applyProtection="1">
      <alignment horizontal="right" vertical="center"/>
    </xf>
    <xf numFmtId="43" fontId="7" fillId="0" borderId="14" xfId="45" applyFont="1" applyBorder="1" applyAlignment="1">
      <alignment horizontal="right" vertical="center"/>
    </xf>
    <xf numFmtId="43" fontId="7" fillId="21" borderId="37" xfId="45" applyFont="1" applyFill="1" applyBorder="1" applyAlignment="1" applyProtection="1">
      <alignment horizontal="right" vertical="center"/>
    </xf>
    <xf numFmtId="43" fontId="7" fillId="29" borderId="37" xfId="45" applyFont="1" applyFill="1" applyBorder="1" applyAlignment="1" applyProtection="1">
      <alignment horizontal="right" vertical="center"/>
    </xf>
    <xf numFmtId="43" fontId="6" fillId="0" borderId="33" xfId="45" applyFont="1" applyBorder="1" applyAlignment="1">
      <alignment horizontal="right" vertical="center"/>
    </xf>
    <xf numFmtId="43" fontId="4" fillId="0" borderId="0" xfId="45" applyFont="1" applyAlignment="1">
      <alignment vertical="center"/>
    </xf>
    <xf numFmtId="43" fontId="4" fillId="0" borderId="0" xfId="45" applyFont="1" applyAlignment="1">
      <alignment vertical="center" wrapText="1"/>
    </xf>
    <xf numFmtId="0" fontId="43" fillId="0" borderId="38" xfId="87" applyFont="1" applyFill="1" applyBorder="1" applyAlignment="1" applyProtection="1">
      <alignment horizontal="center" vertical="center" wrapText="1"/>
    </xf>
    <xf numFmtId="0" fontId="44" fillId="0" borderId="38" xfId="87" applyFont="1" applyFill="1" applyBorder="1" applyAlignment="1" applyProtection="1">
      <alignment horizontal="center" vertical="center" wrapText="1"/>
    </xf>
    <xf numFmtId="0" fontId="40" fillId="0" borderId="39" xfId="87" applyFont="1" applyFill="1" applyBorder="1" applyAlignment="1" applyProtection="1">
      <alignment horizontal="center" vertical="center" wrapText="1"/>
    </xf>
    <xf numFmtId="0" fontId="46" fillId="0" borderId="39" xfId="87" applyFont="1" applyFill="1" applyBorder="1" applyAlignment="1" applyProtection="1">
      <alignment horizontal="center" vertical="center" wrapText="1"/>
    </xf>
    <xf numFmtId="0" fontId="40" fillId="27" borderId="39" xfId="87" applyFont="1" applyFill="1" applyBorder="1" applyAlignment="1" applyProtection="1">
      <alignment horizontal="center" vertical="center" wrapText="1"/>
    </xf>
    <xf numFmtId="0" fontId="43" fillId="0" borderId="39" xfId="87" applyFont="1" applyFill="1" applyBorder="1" applyAlignment="1" applyProtection="1">
      <alignment horizontal="center" vertical="center" wrapText="1"/>
    </xf>
    <xf numFmtId="0" fontId="40" fillId="0" borderId="39" xfId="87" applyFont="1" applyFill="1" applyBorder="1" applyAlignment="1">
      <alignment horizontal="center" vertical="center" wrapText="1"/>
    </xf>
    <xf numFmtId="0" fontId="48" fillId="0" borderId="39" xfId="87" applyFont="1" applyFill="1" applyBorder="1" applyAlignment="1" applyProtection="1">
      <alignment horizontal="center" vertical="center" wrapText="1"/>
    </xf>
    <xf numFmtId="0" fontId="40" fillId="28" borderId="39" xfId="87" applyFont="1" applyFill="1" applyBorder="1" applyAlignment="1" applyProtection="1">
      <alignment horizontal="center" vertical="center" wrapText="1"/>
    </xf>
    <xf numFmtId="0" fontId="40" fillId="27" borderId="39" xfId="87" applyFont="1" applyFill="1" applyBorder="1" applyAlignment="1">
      <alignment horizontal="center" vertical="center" wrapText="1"/>
    </xf>
    <xf numFmtId="0" fontId="43" fillId="0" borderId="39" xfId="87" applyFont="1" applyFill="1" applyBorder="1" applyAlignment="1">
      <alignment horizontal="center" vertical="center" wrapText="1"/>
    </xf>
    <xf numFmtId="0" fontId="43" fillId="0" borderId="39" xfId="87" quotePrefix="1" applyFont="1" applyFill="1" applyBorder="1" applyAlignment="1" applyProtection="1">
      <alignment horizontal="center" vertical="center" wrapText="1"/>
    </xf>
    <xf numFmtId="0" fontId="43" fillId="27" borderId="39" xfId="87" applyFont="1" applyFill="1" applyBorder="1" applyAlignment="1" applyProtection="1">
      <alignment horizontal="center" vertical="center" wrapText="1"/>
    </xf>
    <xf numFmtId="0" fontId="40" fillId="27" borderId="40" xfId="87" applyFont="1" applyFill="1" applyBorder="1" applyAlignment="1" applyProtection="1">
      <alignment horizontal="center" vertical="center" wrapText="1"/>
    </xf>
    <xf numFmtId="43" fontId="2" fillId="0" borderId="0" xfId="0" applyNumberFormat="1" applyFont="1" applyAlignment="1">
      <alignment vertical="center"/>
    </xf>
    <xf numFmtId="165" fontId="91" fillId="0" borderId="0" xfId="78" applyFont="1" applyFill="1" applyBorder="1" applyAlignment="1">
      <alignment horizontal="right" vertical="center" wrapText="1"/>
    </xf>
    <xf numFmtId="0" fontId="5" fillId="0" borderId="32" xfId="0" applyFont="1" applyFill="1" applyBorder="1" applyAlignment="1" applyProtection="1">
      <alignment horizontal="center" vertical="center"/>
    </xf>
    <xf numFmtId="0" fontId="8" fillId="0" borderId="36" xfId="0" applyFont="1" applyFill="1" applyBorder="1" applyAlignment="1" applyProtection="1">
      <alignment horizontal="center" vertical="center" wrapText="1"/>
    </xf>
    <xf numFmtId="43" fontId="6" fillId="0" borderId="36" xfId="45" quotePrefix="1" applyFont="1" applyFill="1" applyBorder="1" applyAlignment="1" applyProtection="1">
      <alignment horizontal="center" vertical="center" wrapText="1"/>
    </xf>
    <xf numFmtId="0" fontId="7" fillId="21" borderId="36" xfId="0" quotePrefix="1" applyFont="1" applyFill="1" applyBorder="1" applyAlignment="1" applyProtection="1">
      <alignment horizontal="left" vertical="center"/>
    </xf>
    <xf numFmtId="0" fontId="10" fillId="21" borderId="37" xfId="0" quotePrefix="1" applyFont="1" applyFill="1" applyBorder="1" applyAlignment="1" applyProtection="1">
      <alignment horizontal="left" vertical="center"/>
    </xf>
    <xf numFmtId="0" fontId="36" fillId="39" borderId="18" xfId="116" applyFont="1" applyFill="1" applyBorder="1" applyAlignment="1">
      <alignment horizontal="center" vertical="center"/>
    </xf>
    <xf numFmtId="43" fontId="0" fillId="0" borderId="0" xfId="45" applyFont="1"/>
    <xf numFmtId="0" fontId="5" fillId="0" borderId="41" xfId="0" applyFont="1" applyFill="1" applyBorder="1" applyAlignment="1" applyProtection="1">
      <alignment horizontal="left" vertical="center"/>
    </xf>
    <xf numFmtId="0" fontId="94" fillId="0" borderId="32" xfId="87" applyFont="1" applyFill="1" applyBorder="1" applyAlignment="1" applyProtection="1">
      <alignment horizontal="left" vertical="center" wrapText="1"/>
    </xf>
    <xf numFmtId="0" fontId="53" fillId="0" borderId="0" xfId="0" applyFont="1"/>
    <xf numFmtId="0" fontId="95" fillId="0" borderId="0" xfId="0" applyFont="1"/>
    <xf numFmtId="0" fontId="90" fillId="27" borderId="0" xfId="116" applyFont="1" applyFill="1" applyAlignment="1">
      <alignment horizontal="center" vertical="center" wrapText="1"/>
    </xf>
    <xf numFmtId="0" fontId="90" fillId="27" borderId="0" xfId="116" applyFont="1" applyFill="1" applyAlignment="1">
      <alignment vertical="center" wrapText="1"/>
    </xf>
    <xf numFmtId="0" fontId="90" fillId="0" borderId="0" xfId="116" applyFont="1" applyFill="1" applyAlignment="1">
      <alignment vertical="center" wrapText="1"/>
    </xf>
    <xf numFmtId="165" fontId="43" fillId="27" borderId="42" xfId="78" applyFont="1" applyFill="1" applyBorder="1" applyAlignment="1" applyProtection="1">
      <alignment horizontal="center" vertical="center" wrapText="1"/>
    </xf>
    <xf numFmtId="165" fontId="43" fillId="0" borderId="0" xfId="78" applyFont="1" applyFill="1" applyBorder="1" applyAlignment="1" applyProtection="1">
      <alignment horizontal="center" vertical="center" wrapText="1"/>
    </xf>
    <xf numFmtId="0" fontId="40" fillId="20" borderId="0" xfId="116" applyFont="1" applyFill="1" applyBorder="1" applyAlignment="1">
      <alignment vertical="center" wrapText="1"/>
    </xf>
    <xf numFmtId="0" fontId="3" fillId="0" borderId="0" xfId="0" applyFont="1"/>
    <xf numFmtId="0" fontId="40" fillId="27" borderId="0" xfId="116" applyFont="1" applyFill="1" applyAlignment="1">
      <alignment vertical="center" wrapText="1"/>
    </xf>
    <xf numFmtId="0" fontId="3" fillId="0" borderId="0" xfId="96" applyAlignment="1">
      <alignment vertical="center"/>
    </xf>
    <xf numFmtId="49" fontId="57" fillId="24" borderId="43" xfId="96" applyNumberFormat="1" applyFont="1" applyFill="1" applyBorder="1" applyAlignment="1">
      <alignment horizontal="center" vertical="center" wrapText="1"/>
    </xf>
    <xf numFmtId="49" fontId="52" fillId="0" borderId="44" xfId="96" applyNumberFormat="1" applyFont="1" applyFill="1" applyBorder="1" applyAlignment="1">
      <alignment vertical="center" wrapText="1"/>
    </xf>
    <xf numFmtId="0" fontId="52" fillId="0" borderId="45" xfId="96" applyFont="1" applyFill="1" applyBorder="1" applyAlignment="1">
      <alignment horizontal="left" vertical="center" wrapText="1"/>
    </xf>
    <xf numFmtId="49" fontId="52" fillId="0" borderId="45" xfId="96" applyNumberFormat="1" applyFont="1" applyFill="1" applyBorder="1" applyAlignment="1">
      <alignment horizontal="left" vertical="center" wrapText="1"/>
    </xf>
    <xf numFmtId="49" fontId="52" fillId="0" borderId="45" xfId="96" applyNumberFormat="1" applyFont="1" applyFill="1" applyBorder="1" applyAlignment="1">
      <alignment vertical="center" wrapText="1"/>
    </xf>
    <xf numFmtId="49" fontId="52" fillId="27" borderId="45" xfId="96" applyNumberFormat="1" applyFont="1" applyFill="1" applyBorder="1" applyAlignment="1">
      <alignment vertical="center" wrapText="1"/>
    </xf>
    <xf numFmtId="49" fontId="52" fillId="27" borderId="46" xfId="96" applyNumberFormat="1" applyFont="1" applyFill="1" applyBorder="1" applyAlignment="1">
      <alignment horizontal="left" vertical="center" wrapText="1"/>
    </xf>
    <xf numFmtId="49" fontId="58" fillId="29" borderId="47" xfId="96" applyNumberFormat="1" applyFont="1" applyFill="1" applyBorder="1" applyAlignment="1">
      <alignment horizontal="left" vertical="center" wrapText="1"/>
    </xf>
    <xf numFmtId="49" fontId="51" fillId="27" borderId="48" xfId="96" applyNumberFormat="1" applyFont="1" applyFill="1" applyBorder="1" applyAlignment="1">
      <alignment horizontal="left" vertical="center" wrapText="1"/>
    </xf>
    <xf numFmtId="49" fontId="51" fillId="27" borderId="49" xfId="96" applyNumberFormat="1" applyFont="1" applyFill="1" applyBorder="1" applyAlignment="1">
      <alignment horizontal="left" vertical="center" wrapText="1"/>
    </xf>
    <xf numFmtId="49" fontId="51" fillId="27" borderId="50" xfId="96" applyNumberFormat="1" applyFont="1" applyFill="1" applyBorder="1" applyAlignment="1">
      <alignment horizontal="left" vertical="center" wrapText="1"/>
    </xf>
    <xf numFmtId="49" fontId="51" fillId="27" borderId="51" xfId="96" applyNumberFormat="1" applyFont="1" applyFill="1" applyBorder="1" applyAlignment="1">
      <alignment horizontal="left" vertical="center" wrapText="1"/>
    </xf>
    <xf numFmtId="0" fontId="52" fillId="0" borderId="44" xfId="96" applyFont="1" applyFill="1" applyBorder="1" applyAlignment="1">
      <alignment vertical="center"/>
    </xf>
    <xf numFmtId="0" fontId="3" fillId="0" borderId="45" xfId="96" applyFont="1" applyFill="1" applyBorder="1" applyAlignment="1">
      <alignment vertical="center"/>
    </xf>
    <xf numFmtId="0" fontId="53" fillId="0" borderId="52" xfId="96" quotePrefix="1" applyFont="1" applyFill="1" applyBorder="1" applyAlignment="1">
      <alignment horizontal="center" vertical="center"/>
    </xf>
    <xf numFmtId="0" fontId="3" fillId="27" borderId="45" xfId="96" applyFont="1" applyFill="1" applyBorder="1" applyAlignment="1">
      <alignment vertical="center"/>
    </xf>
    <xf numFmtId="0" fontId="52" fillId="0" borderId="45" xfId="96" applyFont="1" applyFill="1" applyBorder="1" applyAlignment="1">
      <alignment vertical="center"/>
    </xf>
    <xf numFmtId="49" fontId="53" fillId="0" borderId="45" xfId="96" applyNumberFormat="1" applyFont="1" applyFill="1" applyBorder="1" applyAlignment="1">
      <alignment horizontal="left" vertical="center"/>
    </xf>
    <xf numFmtId="0" fontId="53" fillId="0" borderId="52" xfId="96" applyFont="1" applyFill="1" applyBorder="1" applyAlignment="1">
      <alignment horizontal="center" vertical="center"/>
    </xf>
    <xf numFmtId="49" fontId="52" fillId="0" borderId="45" xfId="96" applyNumberFormat="1" applyFont="1" applyFill="1" applyBorder="1" applyAlignment="1">
      <alignment vertical="center"/>
    </xf>
    <xf numFmtId="0" fontId="53" fillId="0" borderId="45" xfId="96" applyFont="1" applyFill="1" applyBorder="1" applyAlignment="1">
      <alignment horizontal="left" vertical="center"/>
    </xf>
    <xf numFmtId="0" fontId="53" fillId="27" borderId="45" xfId="96" applyFont="1" applyFill="1" applyBorder="1" applyAlignment="1">
      <alignment horizontal="left" vertical="center"/>
    </xf>
    <xf numFmtId="0" fontId="52" fillId="0" borderId="45" xfId="96" applyFont="1" applyFill="1" applyBorder="1" applyAlignment="1">
      <alignment horizontal="left" vertical="center"/>
    </xf>
    <xf numFmtId="49" fontId="52" fillId="0" borderId="45" xfId="96" applyNumberFormat="1" applyFont="1" applyFill="1" applyBorder="1" applyAlignment="1">
      <alignment horizontal="left" vertical="center"/>
    </xf>
    <xf numFmtId="49" fontId="52" fillId="27" borderId="45" xfId="96" applyNumberFormat="1" applyFont="1" applyFill="1" applyBorder="1" applyAlignment="1">
      <alignment vertical="center"/>
    </xf>
    <xf numFmtId="49" fontId="52" fillId="27" borderId="46" xfId="96" applyNumberFormat="1" applyFont="1" applyFill="1" applyBorder="1" applyAlignment="1">
      <alignment vertical="center"/>
    </xf>
    <xf numFmtId="0" fontId="58" fillId="29" borderId="47" xfId="96" applyFont="1" applyFill="1" applyBorder="1" applyAlignment="1">
      <alignment horizontal="left" vertical="center" wrapText="1"/>
    </xf>
    <xf numFmtId="0" fontId="58" fillId="40" borderId="53" xfId="96" applyFont="1" applyFill="1" applyBorder="1" applyAlignment="1">
      <alignment horizontal="left" vertical="center" wrapText="1"/>
    </xf>
    <xf numFmtId="0" fontId="3" fillId="40" borderId="54" xfId="96" applyFill="1" applyBorder="1" applyAlignment="1">
      <alignment vertical="center"/>
    </xf>
    <xf numFmtId="49" fontId="3" fillId="0" borderId="55" xfId="87" applyNumberFormat="1" applyFont="1" applyFill="1" applyBorder="1" applyAlignment="1" applyProtection="1">
      <alignment horizontal="center" vertical="center" wrapText="1"/>
    </xf>
    <xf numFmtId="49" fontId="3" fillId="0" borderId="56" xfId="87" applyNumberFormat="1" applyFont="1" applyFill="1" applyBorder="1" applyAlignment="1" applyProtection="1">
      <alignment horizontal="center" vertical="center" wrapText="1"/>
    </xf>
    <xf numFmtId="43" fontId="3" fillId="27" borderId="56" xfId="58" applyFont="1" applyFill="1" applyBorder="1" applyAlignment="1" applyProtection="1">
      <alignment horizontal="center" vertical="center" wrapText="1"/>
    </xf>
    <xf numFmtId="49" fontId="3" fillId="27" borderId="56" xfId="87" applyNumberFormat="1" applyFont="1" applyFill="1" applyBorder="1" applyAlignment="1" applyProtection="1">
      <alignment horizontal="center" vertical="center" wrapText="1"/>
    </xf>
    <xf numFmtId="49" fontId="3" fillId="27" borderId="57" xfId="87" applyNumberFormat="1" applyFont="1" applyFill="1" applyBorder="1" applyAlignment="1" applyProtection="1">
      <alignment horizontal="center" vertical="center" wrapText="1"/>
    </xf>
    <xf numFmtId="49" fontId="52" fillId="29" borderId="58" xfId="96" applyNumberFormat="1" applyFont="1" applyFill="1" applyBorder="1" applyAlignment="1">
      <alignment horizontal="left" vertical="center" wrapText="1"/>
    </xf>
    <xf numFmtId="0" fontId="0" fillId="0" borderId="36" xfId="0" applyBorder="1"/>
    <xf numFmtId="0" fontId="3" fillId="27" borderId="55" xfId="96" applyFont="1" applyFill="1" applyBorder="1" applyAlignment="1">
      <alignment horizontal="center" vertical="center"/>
    </xf>
    <xf numFmtId="49" fontId="3" fillId="0" borderId="56" xfId="96" applyNumberFormat="1" applyFont="1" applyFill="1" applyBorder="1" applyAlignment="1">
      <alignment horizontal="center" vertical="center" wrapText="1"/>
    </xf>
    <xf numFmtId="49" fontId="3" fillId="0" borderId="56" xfId="96" applyNumberFormat="1" applyFont="1" applyFill="1" applyBorder="1" applyAlignment="1">
      <alignment horizontal="center" vertical="center"/>
    </xf>
    <xf numFmtId="49" fontId="3" fillId="27" borderId="56" xfId="96" applyNumberFormat="1" applyFont="1" applyFill="1" applyBorder="1" applyAlignment="1">
      <alignment horizontal="center" vertical="center"/>
    </xf>
    <xf numFmtId="3" fontId="3" fillId="0" borderId="56" xfId="96" applyNumberFormat="1" applyFont="1" applyFill="1" applyBorder="1" applyAlignment="1">
      <alignment horizontal="center" vertical="center" wrapText="1"/>
    </xf>
    <xf numFmtId="0" fontId="3" fillId="0" borderId="56" xfId="96" applyFont="1" applyFill="1" applyBorder="1" applyAlignment="1">
      <alignment horizontal="center" vertical="center"/>
    </xf>
    <xf numFmtId="0" fontId="3" fillId="27" borderId="56" xfId="96" applyFont="1" applyFill="1" applyBorder="1" applyAlignment="1">
      <alignment horizontal="center" vertical="center" wrapText="1"/>
    </xf>
    <xf numFmtId="0" fontId="3" fillId="0" borderId="56" xfId="96" quotePrefix="1" applyFont="1" applyFill="1" applyBorder="1" applyAlignment="1">
      <alignment horizontal="center" vertical="center"/>
    </xf>
    <xf numFmtId="0" fontId="3" fillId="0" borderId="56" xfId="96" quotePrefix="1" applyFont="1" applyFill="1" applyBorder="1" applyAlignment="1">
      <alignment horizontal="center" vertical="center" wrapText="1"/>
    </xf>
    <xf numFmtId="0" fontId="3" fillId="27" borderId="57" xfId="96" quotePrefix="1" applyFont="1" applyFill="1" applyBorder="1" applyAlignment="1">
      <alignment horizontal="center" vertical="center" wrapText="1"/>
    </xf>
    <xf numFmtId="49" fontId="51" fillId="29" borderId="58" xfId="96" applyNumberFormat="1" applyFont="1" applyFill="1" applyBorder="1" applyAlignment="1">
      <alignment horizontal="left" vertical="center" wrapText="1"/>
    </xf>
    <xf numFmtId="0" fontId="59" fillId="24" borderId="59" xfId="96" applyFont="1" applyFill="1" applyBorder="1" applyAlignment="1">
      <alignment horizontal="center" vertical="center"/>
    </xf>
    <xf numFmtId="0" fontId="59" fillId="24" borderId="52" xfId="96" applyFont="1" applyFill="1" applyBorder="1" applyAlignment="1">
      <alignment horizontal="center" vertical="center"/>
    </xf>
    <xf numFmtId="0" fontId="59" fillId="24" borderId="60" xfId="96" applyFont="1" applyFill="1" applyBorder="1" applyAlignment="1">
      <alignment horizontal="center" vertical="center"/>
    </xf>
    <xf numFmtId="2" fontId="59" fillId="0" borderId="61" xfId="87" applyNumberFormat="1" applyFont="1" applyFill="1" applyBorder="1" applyAlignment="1" applyProtection="1">
      <alignment horizontal="center" vertical="center" wrapText="1"/>
    </xf>
    <xf numFmtId="1" fontId="59" fillId="0" borderId="52" xfId="87" applyNumberFormat="1" applyFont="1" applyFill="1" applyBorder="1" applyAlignment="1" applyProtection="1">
      <alignment horizontal="center" vertical="center" wrapText="1"/>
    </xf>
    <xf numFmtId="1" fontId="59" fillId="0" borderId="62" xfId="87" applyNumberFormat="1" applyFont="1" applyFill="1" applyBorder="1" applyAlignment="1" applyProtection="1">
      <alignment horizontal="center" vertical="center" wrapText="1"/>
    </xf>
    <xf numFmtId="49" fontId="60" fillId="29" borderId="63" xfId="96" applyNumberFormat="1" applyFont="1" applyFill="1" applyBorder="1" applyAlignment="1">
      <alignment horizontal="center" vertical="center" wrapText="1"/>
    </xf>
    <xf numFmtId="49" fontId="59" fillId="27" borderId="49" xfId="96" applyNumberFormat="1" applyFont="1" applyFill="1" applyBorder="1" applyAlignment="1">
      <alignment horizontal="left" vertical="center" wrapText="1"/>
    </xf>
    <xf numFmtId="49" fontId="59" fillId="27" borderId="51" xfId="96" applyNumberFormat="1" applyFont="1" applyFill="1" applyBorder="1" applyAlignment="1">
      <alignment horizontal="left" vertical="center" wrapText="1"/>
    </xf>
    <xf numFmtId="49" fontId="59" fillId="24" borderId="60" xfId="96" applyNumberFormat="1" applyFont="1" applyFill="1" applyBorder="1" applyAlignment="1">
      <alignment horizontal="center" vertical="center" wrapText="1"/>
    </xf>
    <xf numFmtId="49" fontId="59" fillId="0" borderId="61" xfId="96" applyNumberFormat="1" applyFont="1" applyFill="1" applyBorder="1" applyAlignment="1">
      <alignment horizontal="center" vertical="center" wrapText="1"/>
    </xf>
    <xf numFmtId="0" fontId="59" fillId="0" borderId="52" xfId="96" quotePrefix="1" applyFont="1" applyFill="1" applyBorder="1" applyAlignment="1">
      <alignment horizontal="center" vertical="center"/>
    </xf>
    <xf numFmtId="0" fontId="59" fillId="0" borderId="52" xfId="96" quotePrefix="1" applyFont="1" applyFill="1" applyBorder="1" applyAlignment="1">
      <alignment horizontal="center" vertical="center" wrapText="1"/>
    </xf>
    <xf numFmtId="0" fontId="59" fillId="0" borderId="62" xfId="96" quotePrefix="1" applyFont="1" applyFill="1" applyBorder="1" applyAlignment="1">
      <alignment horizontal="center" vertical="center"/>
    </xf>
    <xf numFmtId="0" fontId="59" fillId="29" borderId="63" xfId="96" applyFont="1" applyFill="1" applyBorder="1" applyAlignment="1">
      <alignment horizontal="center" vertical="center" wrapText="1"/>
    </xf>
    <xf numFmtId="0" fontId="59" fillId="0" borderId="0" xfId="96" applyFont="1" applyAlignment="1">
      <alignment vertical="center"/>
    </xf>
    <xf numFmtId="0" fontId="59" fillId="40" borderId="54" xfId="96" applyFont="1" applyFill="1" applyBorder="1" applyAlignment="1">
      <alignment horizontal="center" vertical="center" wrapText="1"/>
    </xf>
    <xf numFmtId="0" fontId="43" fillId="0" borderId="64" xfId="87" applyFont="1" applyFill="1" applyBorder="1" applyAlignment="1" applyProtection="1">
      <alignment horizontal="center" vertical="center" wrapText="1"/>
    </xf>
    <xf numFmtId="166" fontId="6" fillId="0" borderId="36" xfId="48" quotePrefix="1" applyNumberFormat="1" applyFont="1" applyFill="1" applyBorder="1" applyAlignment="1" applyProtection="1">
      <alignment horizontal="right" vertical="center"/>
    </xf>
    <xf numFmtId="10" fontId="4" fillId="0" borderId="0" xfId="0" applyNumberFormat="1" applyFont="1" applyFill="1" applyAlignment="1">
      <alignment horizontal="right" vertical="center" wrapText="1"/>
    </xf>
    <xf numFmtId="10" fontId="4" fillId="0" borderId="0" xfId="48" applyNumberFormat="1" applyFont="1" applyFill="1" applyAlignment="1">
      <alignment horizontal="right" vertical="center" wrapText="1"/>
    </xf>
    <xf numFmtId="166" fontId="4" fillId="0" borderId="0" xfId="48" applyNumberFormat="1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0" fontId="96" fillId="0" borderId="0" xfId="0" applyFont="1"/>
    <xf numFmtId="176" fontId="96" fillId="0" borderId="0" xfId="45" applyNumberFormat="1" applyFont="1"/>
    <xf numFmtId="0" fontId="94" fillId="0" borderId="0" xfId="0" applyFont="1"/>
    <xf numFmtId="43" fontId="96" fillId="0" borderId="0" xfId="45" applyFont="1" applyBorder="1"/>
    <xf numFmtId="165" fontId="96" fillId="0" borderId="0" xfId="0" applyNumberFormat="1" applyFont="1"/>
    <xf numFmtId="43" fontId="96" fillId="0" borderId="0" xfId="45" applyFont="1"/>
    <xf numFmtId="0" fontId="97" fillId="0" borderId="0" xfId="116" applyFont="1" applyAlignment="1">
      <alignment vertical="center"/>
    </xf>
    <xf numFmtId="0" fontId="94" fillId="0" borderId="0" xfId="116" applyFont="1" applyAlignment="1">
      <alignment vertical="center"/>
    </xf>
    <xf numFmtId="176" fontId="94" fillId="0" borderId="0" xfId="45" applyNumberFormat="1" applyFont="1" applyAlignment="1">
      <alignment vertical="center"/>
    </xf>
    <xf numFmtId="0" fontId="94" fillId="0" borderId="0" xfId="116" applyFont="1" applyAlignment="1">
      <alignment horizontal="center" vertical="center"/>
    </xf>
    <xf numFmtId="43" fontId="94" fillId="0" borderId="0" xfId="45" applyFont="1" applyFill="1" applyBorder="1" applyAlignment="1">
      <alignment vertical="center"/>
    </xf>
    <xf numFmtId="0" fontId="94" fillId="0" borderId="0" xfId="116" applyFont="1" applyAlignment="1">
      <alignment vertical="center" wrapText="1"/>
    </xf>
    <xf numFmtId="165" fontId="94" fillId="0" borderId="0" xfId="116" applyNumberFormat="1" applyFont="1" applyAlignment="1">
      <alignment vertical="center"/>
    </xf>
    <xf numFmtId="0" fontId="98" fillId="0" borderId="0" xfId="116" applyFont="1" applyAlignment="1">
      <alignment vertical="center"/>
    </xf>
    <xf numFmtId="0" fontId="96" fillId="0" borderId="0" xfId="116" applyFont="1" applyAlignment="1">
      <alignment vertical="center"/>
    </xf>
    <xf numFmtId="176" fontId="96" fillId="0" borderId="0" xfId="45" applyNumberFormat="1" applyFont="1" applyAlignment="1">
      <alignment vertical="center"/>
    </xf>
    <xf numFmtId="0" fontId="96" fillId="0" borderId="31" xfId="87" applyFont="1" applyBorder="1" applyAlignment="1">
      <alignment horizontal="center" vertical="center"/>
    </xf>
    <xf numFmtId="43" fontId="96" fillId="0" borderId="65" xfId="45" applyFont="1" applyFill="1" applyBorder="1" applyAlignment="1" applyProtection="1">
      <alignment horizontal="right" vertical="center"/>
    </xf>
    <xf numFmtId="43" fontId="96" fillId="0" borderId="14" xfId="45" applyFont="1" applyFill="1" applyBorder="1" applyAlignment="1" applyProtection="1">
      <alignment horizontal="right" vertical="center"/>
    </xf>
    <xf numFmtId="43" fontId="96" fillId="0" borderId="66" xfId="45" applyFont="1" applyFill="1" applyBorder="1" applyAlignment="1" applyProtection="1">
      <alignment horizontal="right" vertical="center"/>
    </xf>
    <xf numFmtId="43" fontId="96" fillId="0" borderId="30" xfId="45" applyFont="1" applyFill="1" applyBorder="1" applyAlignment="1" applyProtection="1">
      <alignment horizontal="right" vertical="center"/>
    </xf>
    <xf numFmtId="0" fontId="94" fillId="0" borderId="14" xfId="87" applyFont="1" applyBorder="1" applyAlignment="1">
      <alignment horizontal="left" vertical="center" wrapText="1"/>
    </xf>
    <xf numFmtId="0" fontId="94" fillId="0" borderId="65" xfId="87" applyFont="1" applyBorder="1" applyAlignment="1">
      <alignment horizontal="center" vertical="center"/>
    </xf>
    <xf numFmtId="0" fontId="96" fillId="0" borderId="65" xfId="87" applyFont="1" applyBorder="1" applyAlignment="1">
      <alignment horizontal="center" vertical="center"/>
    </xf>
    <xf numFmtId="0" fontId="96" fillId="0" borderId="66" xfId="87" applyFont="1" applyBorder="1" applyAlignment="1">
      <alignment horizontal="center" vertical="center"/>
    </xf>
    <xf numFmtId="0" fontId="96" fillId="0" borderId="26" xfId="87" applyFont="1" applyBorder="1" applyAlignment="1">
      <alignment horizontal="center" vertical="center"/>
    </xf>
    <xf numFmtId="43" fontId="96" fillId="0" borderId="36" xfId="45" applyFont="1" applyFill="1" applyBorder="1" applyAlignment="1" applyProtection="1">
      <alignment horizontal="right" vertical="center"/>
    </xf>
    <xf numFmtId="43" fontId="96" fillId="0" borderId="32" xfId="45" applyFont="1" applyFill="1" applyBorder="1" applyAlignment="1" applyProtection="1">
      <alignment horizontal="right" vertical="center"/>
    </xf>
    <xf numFmtId="43" fontId="96" fillId="0" borderId="67" xfId="45" applyFont="1" applyFill="1" applyBorder="1" applyAlignment="1" applyProtection="1">
      <alignment horizontal="right" vertical="center"/>
    </xf>
    <xf numFmtId="43" fontId="96" fillId="0" borderId="25" xfId="45" applyFont="1" applyFill="1" applyBorder="1" applyAlignment="1" applyProtection="1">
      <alignment horizontal="right" vertical="center"/>
    </xf>
    <xf numFmtId="0" fontId="94" fillId="0" borderId="32" xfId="87" applyFont="1" applyBorder="1" applyAlignment="1">
      <alignment horizontal="left" vertical="center" wrapText="1"/>
    </xf>
    <xf numFmtId="0" fontId="94" fillId="0" borderId="36" xfId="87" applyFont="1" applyBorder="1" applyAlignment="1">
      <alignment horizontal="center" vertical="center"/>
    </xf>
    <xf numFmtId="0" fontId="96" fillId="0" borderId="36" xfId="87" applyFont="1" applyBorder="1" applyAlignment="1">
      <alignment horizontal="center" vertical="center"/>
    </xf>
    <xf numFmtId="0" fontId="96" fillId="0" borderId="67" xfId="87" applyFont="1" applyBorder="1" applyAlignment="1">
      <alignment horizontal="center" vertical="center"/>
    </xf>
    <xf numFmtId="43" fontId="96" fillId="0" borderId="34" xfId="45" applyFont="1" applyFill="1" applyBorder="1" applyAlignment="1" applyProtection="1">
      <alignment horizontal="right" vertical="center"/>
    </xf>
    <xf numFmtId="43" fontId="96" fillId="39" borderId="36" xfId="45" applyFont="1" applyFill="1" applyBorder="1" applyAlignment="1" applyProtection="1">
      <alignment horizontal="right" vertical="center" wrapText="1"/>
    </xf>
    <xf numFmtId="43" fontId="96" fillId="39" borderId="32" xfId="45" applyFont="1" applyFill="1" applyBorder="1" applyAlignment="1" applyProtection="1">
      <alignment horizontal="right" vertical="center" wrapText="1"/>
    </xf>
    <xf numFmtId="43" fontId="96" fillId="39" borderId="25" xfId="45" applyFont="1" applyFill="1" applyBorder="1" applyAlignment="1" applyProtection="1">
      <alignment horizontal="right" vertical="center" wrapText="1"/>
    </xf>
    <xf numFmtId="0" fontId="96" fillId="0" borderId="32" xfId="87" applyFont="1" applyBorder="1" applyAlignment="1">
      <alignment horizontal="left" vertical="center" wrapText="1"/>
    </xf>
    <xf numFmtId="0" fontId="96" fillId="0" borderId="34" xfId="87" applyFont="1" applyBorder="1" applyAlignment="1">
      <alignment horizontal="center" vertical="center"/>
    </xf>
    <xf numFmtId="0" fontId="94" fillId="0" borderId="34" xfId="87" applyFont="1" applyBorder="1" applyAlignment="1">
      <alignment horizontal="center" vertical="center"/>
    </xf>
    <xf numFmtId="43" fontId="96" fillId="0" borderId="36" xfId="45" applyFont="1" applyFill="1" applyBorder="1" applyAlignment="1" applyProtection="1">
      <alignment horizontal="right" vertical="center" wrapText="1"/>
    </xf>
    <xf numFmtId="43" fontId="96" fillId="0" borderId="32" xfId="45" applyFont="1" applyFill="1" applyBorder="1" applyAlignment="1" applyProtection="1">
      <alignment horizontal="right" vertical="center" wrapText="1"/>
    </xf>
    <xf numFmtId="43" fontId="96" fillId="0" borderId="67" xfId="45" applyFont="1" applyFill="1" applyBorder="1" applyAlignment="1" applyProtection="1">
      <alignment horizontal="right" vertical="center" wrapText="1"/>
    </xf>
    <xf numFmtId="43" fontId="96" fillId="0" borderId="25" xfId="45" applyFont="1" applyFill="1" applyBorder="1" applyAlignment="1" applyProtection="1">
      <alignment horizontal="right" vertical="center" wrapText="1"/>
    </xf>
    <xf numFmtId="0" fontId="94" fillId="25" borderId="68" xfId="87" applyFont="1" applyFill="1" applyBorder="1" applyAlignment="1">
      <alignment horizontal="center" vertical="center" wrapText="1"/>
    </xf>
    <xf numFmtId="43" fontId="96" fillId="25" borderId="19" xfId="45" applyFont="1" applyFill="1" applyBorder="1" applyAlignment="1" applyProtection="1">
      <alignment horizontal="right" vertical="center" wrapText="1"/>
    </xf>
    <xf numFmtId="43" fontId="96" fillId="25" borderId="69" xfId="45" applyFont="1" applyFill="1" applyBorder="1" applyAlignment="1" applyProtection="1">
      <alignment horizontal="right" vertical="center" wrapText="1"/>
    </xf>
    <xf numFmtId="43" fontId="96" fillId="25" borderId="70" xfId="45" applyFont="1" applyFill="1" applyBorder="1" applyAlignment="1" applyProtection="1">
      <alignment horizontal="right" vertical="center" wrapText="1"/>
    </xf>
    <xf numFmtId="43" fontId="96" fillId="25" borderId="71" xfId="45" applyFont="1" applyFill="1" applyBorder="1" applyAlignment="1" applyProtection="1">
      <alignment horizontal="right" vertical="center" wrapText="1"/>
    </xf>
    <xf numFmtId="43" fontId="96" fillId="25" borderId="36" xfId="45" applyFont="1" applyFill="1" applyBorder="1" applyAlignment="1" applyProtection="1">
      <alignment horizontal="right" vertical="center" wrapText="1"/>
    </xf>
    <xf numFmtId="0" fontId="94" fillId="25" borderId="41" xfId="87" applyFont="1" applyFill="1" applyBorder="1" applyAlignment="1">
      <alignment horizontal="left" vertical="center" wrapText="1"/>
    </xf>
    <xf numFmtId="0" fontId="94" fillId="25" borderId="19" xfId="87" applyFont="1" applyFill="1" applyBorder="1" applyAlignment="1">
      <alignment horizontal="center" vertical="center" wrapText="1"/>
    </xf>
    <xf numFmtId="0" fontId="94" fillId="25" borderId="70" xfId="87" applyFont="1" applyFill="1" applyBorder="1" applyAlignment="1">
      <alignment horizontal="center" vertical="center" wrapText="1"/>
    </xf>
    <xf numFmtId="0" fontId="94" fillId="0" borderId="68" xfId="87" applyFont="1" applyBorder="1" applyAlignment="1">
      <alignment horizontal="center" vertical="center" wrapText="1"/>
    </xf>
    <xf numFmtId="43" fontId="96" fillId="0" borderId="19" xfId="45" applyFont="1" applyFill="1" applyBorder="1" applyAlignment="1" applyProtection="1">
      <alignment horizontal="right" vertical="center"/>
    </xf>
    <xf numFmtId="43" fontId="96" fillId="0" borderId="69" xfId="45" applyFont="1" applyFill="1" applyBorder="1" applyAlignment="1" applyProtection="1">
      <alignment horizontal="right" vertical="center"/>
    </xf>
    <xf numFmtId="0" fontId="94" fillId="0" borderId="41" xfId="87" applyFont="1" applyBorder="1" applyAlignment="1">
      <alignment horizontal="left" vertical="center" wrapText="1"/>
    </xf>
    <xf numFmtId="0" fontId="94" fillId="0" borderId="19" xfId="87" applyFont="1" applyBorder="1" applyAlignment="1">
      <alignment horizontal="center" vertical="center" wrapText="1"/>
    </xf>
    <xf numFmtId="0" fontId="94" fillId="0" borderId="70" xfId="87" applyFont="1" applyBorder="1" applyAlignment="1">
      <alignment horizontal="center" vertical="center" wrapText="1"/>
    </xf>
    <xf numFmtId="0" fontId="94" fillId="25" borderId="36" xfId="87" applyFont="1" applyFill="1" applyBorder="1" applyAlignment="1">
      <alignment horizontal="center" vertical="center" wrapText="1"/>
    </xf>
    <xf numFmtId="0" fontId="94" fillId="25" borderId="67" xfId="87" applyFont="1" applyFill="1" applyBorder="1" applyAlignment="1">
      <alignment horizontal="center" vertical="center" wrapText="1"/>
    </xf>
    <xf numFmtId="0" fontId="94" fillId="0" borderId="72" xfId="114" applyFont="1" applyBorder="1" applyAlignment="1">
      <alignment vertical="center" wrapText="1"/>
    </xf>
    <xf numFmtId="0" fontId="94" fillId="0" borderId="33" xfId="87" applyFont="1" applyBorder="1" applyAlignment="1">
      <alignment horizontal="center" vertical="center"/>
    </xf>
    <xf numFmtId="0" fontId="96" fillId="0" borderId="73" xfId="87" applyFont="1" applyBorder="1" applyAlignment="1">
      <alignment horizontal="center" vertical="center"/>
    </xf>
    <xf numFmtId="0" fontId="96" fillId="0" borderId="74" xfId="87" applyFont="1" applyBorder="1" applyAlignment="1">
      <alignment horizontal="center" vertical="center"/>
    </xf>
    <xf numFmtId="0" fontId="94" fillId="0" borderId="32" xfId="114" applyFont="1" applyBorder="1" applyAlignment="1">
      <alignment vertical="center" wrapText="1"/>
    </xf>
    <xf numFmtId="0" fontId="96" fillId="0" borderId="36" xfId="87" applyFont="1" applyBorder="1" applyAlignment="1">
      <alignment horizontal="center" vertical="center" wrapText="1"/>
    </xf>
    <xf numFmtId="0" fontId="96" fillId="0" borderId="67" xfId="87" applyFont="1" applyBorder="1" applyAlignment="1">
      <alignment horizontal="center" vertical="center" wrapText="1"/>
    </xf>
    <xf numFmtId="0" fontId="96" fillId="0" borderId="73" xfId="87" applyFont="1" applyBorder="1" applyAlignment="1">
      <alignment horizontal="center" vertical="center" wrapText="1"/>
    </xf>
    <xf numFmtId="0" fontId="96" fillId="0" borderId="26" xfId="87" applyFont="1" applyBorder="1" applyAlignment="1">
      <alignment horizontal="center" vertical="center" wrapText="1"/>
    </xf>
    <xf numFmtId="0" fontId="96" fillId="0" borderId="11" xfId="87" applyFont="1" applyBorder="1" applyAlignment="1">
      <alignment horizontal="left" vertical="center" wrapText="1"/>
    </xf>
    <xf numFmtId="0" fontId="94" fillId="0" borderId="36" xfId="87" applyFont="1" applyBorder="1" applyAlignment="1">
      <alignment horizontal="center" vertical="center" wrapText="1"/>
    </xf>
    <xf numFmtId="43" fontId="96" fillId="0" borderId="34" xfId="45" applyFont="1" applyFill="1" applyBorder="1" applyAlignment="1" applyProtection="1">
      <alignment horizontal="right" vertical="center" wrapText="1"/>
    </xf>
    <xf numFmtId="43" fontId="96" fillId="25" borderId="75" xfId="45" applyFont="1" applyFill="1" applyBorder="1" applyAlignment="1" applyProtection="1">
      <alignment horizontal="right" vertical="center" wrapText="1"/>
    </xf>
    <xf numFmtId="43" fontId="96" fillId="39" borderId="34" xfId="45" applyFont="1" applyFill="1" applyBorder="1" applyAlignment="1" applyProtection="1">
      <alignment horizontal="right" vertical="center" wrapText="1"/>
    </xf>
    <xf numFmtId="0" fontId="94" fillId="0" borderId="26" xfId="87" applyFont="1" applyBorder="1" applyAlignment="1">
      <alignment horizontal="center" vertical="center" wrapText="1"/>
    </xf>
    <xf numFmtId="43" fontId="94" fillId="0" borderId="36" xfId="45" applyFont="1" applyFill="1" applyBorder="1" applyAlignment="1" applyProtection="1">
      <alignment horizontal="right" vertical="center" wrapText="1"/>
    </xf>
    <xf numFmtId="43" fontId="94" fillId="0" borderId="32" xfId="45" applyFont="1" applyFill="1" applyBorder="1" applyAlignment="1" applyProtection="1">
      <alignment horizontal="right" vertical="center" wrapText="1"/>
    </xf>
    <xf numFmtId="43" fontId="94" fillId="0" borderId="25" xfId="45" applyFont="1" applyFill="1" applyBorder="1" applyAlignment="1" applyProtection="1">
      <alignment horizontal="right" vertical="center" wrapText="1"/>
    </xf>
    <xf numFmtId="0" fontId="99" fillId="0" borderId="26" xfId="87" applyFont="1" applyBorder="1" applyAlignment="1">
      <alignment horizontal="center" vertical="center"/>
    </xf>
    <xf numFmtId="43" fontId="96" fillId="32" borderId="36" xfId="45" applyFont="1" applyFill="1" applyBorder="1" applyAlignment="1" applyProtection="1">
      <alignment horizontal="right" vertical="center"/>
    </xf>
    <xf numFmtId="43" fontId="94" fillId="0" borderId="0" xfId="45" applyFont="1" applyFill="1" applyAlignment="1">
      <alignment vertical="center"/>
    </xf>
    <xf numFmtId="43" fontId="96" fillId="35" borderId="36" xfId="45" applyFont="1" applyFill="1" applyBorder="1" applyAlignment="1" applyProtection="1">
      <alignment horizontal="right" vertical="center"/>
    </xf>
    <xf numFmtId="43" fontId="96" fillId="37" borderId="36" xfId="45" applyFont="1" applyFill="1" applyBorder="1" applyAlignment="1" applyProtection="1">
      <alignment horizontal="right" vertical="center"/>
    </xf>
    <xf numFmtId="43" fontId="96" fillId="41" borderId="36" xfId="45" applyFont="1" applyFill="1" applyBorder="1" applyAlignment="1" applyProtection="1">
      <alignment horizontal="right" vertical="center"/>
    </xf>
    <xf numFmtId="4" fontId="94" fillId="0" borderId="0" xfId="116" applyNumberFormat="1" applyFont="1" applyAlignment="1">
      <alignment vertical="center"/>
    </xf>
    <xf numFmtId="43" fontId="96" fillId="39" borderId="36" xfId="45" applyFont="1" applyFill="1" applyBorder="1" applyAlignment="1" applyProtection="1">
      <alignment horizontal="left" vertical="center" wrapText="1"/>
    </xf>
    <xf numFmtId="43" fontId="96" fillId="39" borderId="32" xfId="45" applyFont="1" applyFill="1" applyBorder="1" applyAlignment="1" applyProtection="1">
      <alignment horizontal="left" vertical="center" wrapText="1"/>
    </xf>
    <xf numFmtId="43" fontId="96" fillId="39" borderId="25" xfId="45" applyFont="1" applyFill="1" applyBorder="1" applyAlignment="1" applyProtection="1">
      <alignment horizontal="left" vertical="center" wrapText="1"/>
    </xf>
    <xf numFmtId="0" fontId="94" fillId="25" borderId="29" xfId="87" applyFont="1" applyFill="1" applyBorder="1" applyAlignment="1">
      <alignment horizontal="center" vertical="center" wrapText="1"/>
    </xf>
    <xf numFmtId="43" fontId="94" fillId="25" borderId="76" xfId="45" applyFont="1" applyFill="1" applyBorder="1" applyAlignment="1" applyProtection="1">
      <alignment horizontal="left" vertical="center" wrapText="1"/>
    </xf>
    <xf numFmtId="43" fontId="94" fillId="25" borderId="77" xfId="45" applyFont="1" applyFill="1" applyBorder="1" applyAlignment="1" applyProtection="1">
      <alignment horizontal="left" vertical="center" wrapText="1"/>
    </xf>
    <xf numFmtId="43" fontId="94" fillId="25" borderId="28" xfId="45" applyFont="1" applyFill="1" applyBorder="1" applyAlignment="1" applyProtection="1">
      <alignment horizontal="left" vertical="center" wrapText="1"/>
    </xf>
    <xf numFmtId="0" fontId="94" fillId="25" borderId="78" xfId="87" applyFont="1" applyFill="1" applyBorder="1" applyAlignment="1">
      <alignment horizontal="left" vertical="center" wrapText="1"/>
    </xf>
    <xf numFmtId="0" fontId="94" fillId="25" borderId="76" xfId="87" applyFont="1" applyFill="1" applyBorder="1" applyAlignment="1">
      <alignment horizontal="center" vertical="center" wrapText="1"/>
    </xf>
    <xf numFmtId="0" fontId="94" fillId="25" borderId="79" xfId="87" applyFont="1" applyFill="1" applyBorder="1" applyAlignment="1">
      <alignment horizontal="center" vertical="center" wrapText="1"/>
    </xf>
    <xf numFmtId="0" fontId="94" fillId="0" borderId="80" xfId="87" applyFont="1" applyBorder="1" applyAlignment="1">
      <alignment horizontal="center" vertical="center" wrapText="1"/>
    </xf>
    <xf numFmtId="43" fontId="96" fillId="0" borderId="81" xfId="45" applyFont="1" applyFill="1" applyBorder="1" applyAlignment="1" applyProtection="1">
      <alignment horizontal="right" vertical="center" wrapText="1"/>
    </xf>
    <xf numFmtId="43" fontId="96" fillId="0" borderId="22" xfId="45" applyFont="1" applyFill="1" applyBorder="1" applyAlignment="1" applyProtection="1">
      <alignment horizontal="right" vertical="center" wrapText="1"/>
    </xf>
    <xf numFmtId="43" fontId="96" fillId="0" borderId="24" xfId="45" applyFont="1" applyFill="1" applyBorder="1" applyAlignment="1" applyProtection="1">
      <alignment horizontal="right" vertical="center" wrapText="1"/>
    </xf>
    <xf numFmtId="43" fontId="96" fillId="0" borderId="82" xfId="45" applyFont="1" applyFill="1" applyBorder="1" applyAlignment="1" applyProtection="1">
      <alignment horizontal="right" vertical="center" wrapText="1"/>
    </xf>
    <xf numFmtId="0" fontId="94" fillId="0" borderId="22" xfId="87" applyFont="1" applyBorder="1" applyAlignment="1">
      <alignment horizontal="left" vertical="center" wrapText="1"/>
    </xf>
    <xf numFmtId="0" fontId="94" fillId="0" borderId="81" xfId="87" applyFont="1" applyBorder="1" applyAlignment="1">
      <alignment horizontal="center" vertical="center" wrapText="1"/>
    </xf>
    <xf numFmtId="0" fontId="94" fillId="0" borderId="83" xfId="87" applyFont="1" applyBorder="1" applyAlignment="1">
      <alignment horizontal="center" vertical="center" wrapText="1"/>
    </xf>
    <xf numFmtId="43" fontId="96" fillId="35" borderId="36" xfId="45" applyFont="1" applyFill="1" applyBorder="1" applyAlignment="1" applyProtection="1">
      <alignment horizontal="right" vertical="center" wrapText="1"/>
    </xf>
    <xf numFmtId="0" fontId="94" fillId="25" borderId="69" xfId="87" applyFont="1" applyFill="1" applyBorder="1" applyAlignment="1">
      <alignment horizontal="left" vertical="center" wrapText="1"/>
    </xf>
    <xf numFmtId="43" fontId="94" fillId="42" borderId="32" xfId="45" applyFont="1" applyFill="1" applyBorder="1" applyAlignment="1" applyProtection="1">
      <alignment horizontal="right" vertical="center" wrapText="1"/>
    </xf>
    <xf numFmtId="43" fontId="94" fillId="42" borderId="36" xfId="45" applyFont="1" applyFill="1" applyBorder="1" applyAlignment="1" applyProtection="1">
      <alignment horizontal="right" vertical="center" wrapText="1"/>
    </xf>
    <xf numFmtId="0" fontId="94" fillId="0" borderId="67" xfId="87" applyFont="1" applyBorder="1" applyAlignment="1">
      <alignment horizontal="center" vertical="center"/>
    </xf>
    <xf numFmtId="43" fontId="96" fillId="0" borderId="19" xfId="45" applyFont="1" applyFill="1" applyBorder="1" applyAlignment="1" applyProtection="1">
      <alignment horizontal="right" vertical="center" wrapText="1"/>
    </xf>
    <xf numFmtId="43" fontId="96" fillId="0" borderId="69" xfId="45" applyFont="1" applyFill="1" applyBorder="1" applyAlignment="1" applyProtection="1">
      <alignment horizontal="right" vertical="center" wrapText="1"/>
    </xf>
    <xf numFmtId="43" fontId="96" fillId="0" borderId="36" xfId="45" applyFont="1" applyFill="1" applyBorder="1" applyAlignment="1">
      <alignment horizontal="right" vertical="center"/>
    </xf>
    <xf numFmtId="43" fontId="96" fillId="0" borderId="32" xfId="45" applyFont="1" applyFill="1" applyBorder="1" applyAlignment="1">
      <alignment horizontal="right" vertical="center"/>
    </xf>
    <xf numFmtId="43" fontId="96" fillId="0" borderId="25" xfId="45" applyFont="1" applyFill="1" applyBorder="1" applyAlignment="1">
      <alignment horizontal="right" vertical="center"/>
    </xf>
    <xf numFmtId="43" fontId="96" fillId="0" borderId="34" xfId="45" applyFont="1" applyFill="1" applyBorder="1" applyAlignment="1">
      <alignment horizontal="right" vertical="center"/>
    </xf>
    <xf numFmtId="43" fontId="96" fillId="0" borderId="71" xfId="45" applyFont="1" applyFill="1" applyBorder="1" applyAlignment="1" applyProtection="1">
      <alignment horizontal="right" vertical="center" wrapText="1"/>
    </xf>
    <xf numFmtId="43" fontId="96" fillId="0" borderId="75" xfId="45" applyFont="1" applyFill="1" applyBorder="1" applyAlignment="1" applyProtection="1">
      <alignment horizontal="right" vertical="center" wrapText="1"/>
    </xf>
    <xf numFmtId="0" fontId="96" fillId="0" borderId="41" xfId="87" applyFont="1" applyBorder="1" applyAlignment="1">
      <alignment horizontal="left" vertical="center" wrapText="1"/>
    </xf>
    <xf numFmtId="0" fontId="94" fillId="0" borderId="73" xfId="87" applyFont="1" applyBorder="1" applyAlignment="1">
      <alignment horizontal="center" vertical="center" wrapText="1"/>
    </xf>
    <xf numFmtId="43" fontId="96" fillId="0" borderId="71" xfId="45" applyFont="1" applyFill="1" applyBorder="1" applyAlignment="1" applyProtection="1">
      <alignment horizontal="right" vertical="center"/>
    </xf>
    <xf numFmtId="43" fontId="96" fillId="0" borderId="75" xfId="45" applyFont="1" applyFill="1" applyBorder="1" applyAlignment="1" applyProtection="1">
      <alignment horizontal="right" vertical="center"/>
    </xf>
    <xf numFmtId="0" fontId="94" fillId="0" borderId="84" xfId="87" applyFont="1" applyBorder="1" applyAlignment="1">
      <alignment horizontal="left" vertical="center" wrapText="1"/>
    </xf>
    <xf numFmtId="0" fontId="94" fillId="0" borderId="69" xfId="87" applyFont="1" applyBorder="1" applyAlignment="1">
      <alignment horizontal="left" vertical="center" wrapText="1"/>
    </xf>
    <xf numFmtId="0" fontId="94" fillId="0" borderId="32" xfId="87" applyFont="1" applyBorder="1" applyAlignment="1">
      <alignment horizontal="left" vertical="center"/>
    </xf>
    <xf numFmtId="0" fontId="94" fillId="0" borderId="25" xfId="87" applyFont="1" applyBorder="1" applyAlignment="1">
      <alignment horizontal="left" vertical="center"/>
    </xf>
    <xf numFmtId="0" fontId="96" fillId="0" borderId="32" xfId="87" applyFont="1" applyBorder="1" applyAlignment="1">
      <alignment horizontal="left" vertical="center"/>
    </xf>
    <xf numFmtId="43" fontId="61" fillId="0" borderId="36" xfId="45" applyFont="1" applyBorder="1" applyAlignment="1">
      <alignment horizontal="right" vertical="center" wrapText="1"/>
    </xf>
    <xf numFmtId="43" fontId="96" fillId="43" borderId="36" xfId="45" applyFont="1" applyFill="1" applyBorder="1" applyAlignment="1" applyProtection="1">
      <alignment horizontal="right" vertical="center"/>
    </xf>
    <xf numFmtId="43" fontId="61" fillId="0" borderId="36" xfId="45" applyFont="1" applyBorder="1" applyAlignment="1">
      <alignment horizontal="right" vertical="center"/>
    </xf>
    <xf numFmtId="43" fontId="61" fillId="25" borderId="36" xfId="45" applyFont="1" applyFill="1" applyBorder="1" applyAlignment="1">
      <alignment horizontal="right" vertical="center"/>
    </xf>
    <xf numFmtId="43" fontId="61" fillId="25" borderId="36" xfId="45" applyFont="1" applyFill="1" applyBorder="1" applyAlignment="1">
      <alignment horizontal="right" vertical="center" wrapText="1"/>
    </xf>
    <xf numFmtId="43" fontId="61" fillId="25" borderId="19" xfId="45" applyFont="1" applyFill="1" applyBorder="1" applyAlignment="1">
      <alignment horizontal="right" vertical="center" wrapText="1"/>
    </xf>
    <xf numFmtId="43" fontId="96" fillId="32" borderId="36" xfId="45" applyFont="1" applyFill="1" applyBorder="1" applyAlignment="1" applyProtection="1">
      <alignment horizontal="right" vertical="center" wrapText="1"/>
    </xf>
    <xf numFmtId="43" fontId="96" fillId="32" borderId="32" xfId="45" applyFont="1" applyFill="1" applyBorder="1" applyAlignment="1" applyProtection="1">
      <alignment horizontal="right" vertical="center" wrapText="1"/>
    </xf>
    <xf numFmtId="43" fontId="62" fillId="0" borderId="36" xfId="45" applyFont="1" applyBorder="1" applyAlignment="1">
      <alignment horizontal="right" vertical="center"/>
    </xf>
    <xf numFmtId="43" fontId="62" fillId="25" borderId="36" xfId="45" applyFont="1" applyFill="1" applyBorder="1" applyAlignment="1">
      <alignment horizontal="right" vertical="center"/>
    </xf>
    <xf numFmtId="43" fontId="62" fillId="25" borderId="36" xfId="45" applyFont="1" applyFill="1" applyBorder="1" applyAlignment="1">
      <alignment horizontal="right" vertical="center" wrapText="1"/>
    </xf>
    <xf numFmtId="0" fontId="94" fillId="25" borderId="75" xfId="87" applyFont="1" applyFill="1" applyBorder="1" applyAlignment="1">
      <alignment horizontal="center" vertical="center" wrapText="1"/>
    </xf>
    <xf numFmtId="39" fontId="96" fillId="0" borderId="26" xfId="87" applyNumberFormat="1" applyFont="1" applyBorder="1" applyAlignment="1">
      <alignment horizontal="center" vertical="center" wrapText="1"/>
    </xf>
    <xf numFmtId="176" fontId="96" fillId="0" borderId="36" xfId="45" applyNumberFormat="1" applyFont="1" applyFill="1" applyBorder="1" applyAlignment="1" applyProtection="1">
      <alignment horizontal="right" vertical="center" wrapText="1"/>
    </xf>
    <xf numFmtId="0" fontId="96" fillId="0" borderId="19" xfId="87" applyFont="1" applyBorder="1" applyAlignment="1">
      <alignment horizontal="center" vertical="center" wrapText="1"/>
    </xf>
    <xf numFmtId="0" fontId="96" fillId="0" borderId="68" xfId="87" applyFont="1" applyBorder="1" applyAlignment="1">
      <alignment horizontal="center" vertical="center" wrapText="1"/>
    </xf>
    <xf numFmtId="0" fontId="96" fillId="0" borderId="69" xfId="87" applyFont="1" applyBorder="1" applyAlignment="1">
      <alignment horizontal="left" vertical="center" wrapText="1"/>
    </xf>
    <xf numFmtId="4" fontId="96" fillId="0" borderId="0" xfId="116" applyNumberFormat="1" applyFont="1" applyAlignment="1">
      <alignment vertical="center"/>
    </xf>
    <xf numFmtId="0" fontId="94" fillId="44" borderId="32" xfId="87" applyFont="1" applyFill="1" applyBorder="1" applyAlignment="1">
      <alignment horizontal="left" vertical="center" wrapText="1"/>
    </xf>
    <xf numFmtId="0" fontId="94" fillId="44" borderId="36" xfId="87" applyFont="1" applyFill="1" applyBorder="1" applyAlignment="1">
      <alignment horizontal="center" vertical="center" wrapText="1"/>
    </xf>
    <xf numFmtId="0" fontId="94" fillId="44" borderId="67" xfId="87" applyFont="1" applyFill="1" applyBorder="1" applyAlignment="1">
      <alignment horizontal="center" vertical="center" wrapText="1"/>
    </xf>
    <xf numFmtId="0" fontId="100" fillId="0" borderId="0" xfId="116" applyFont="1" applyAlignment="1">
      <alignment vertical="center"/>
    </xf>
    <xf numFmtId="176" fontId="100" fillId="0" borderId="0" xfId="45" applyNumberFormat="1" applyFont="1" applyAlignment="1">
      <alignment vertical="center"/>
    </xf>
    <xf numFmtId="0" fontId="101" fillId="0" borderId="0" xfId="116" applyFont="1" applyAlignment="1">
      <alignment vertical="center"/>
    </xf>
    <xf numFmtId="0" fontId="99" fillId="0" borderId="26" xfId="87" applyFont="1" applyBorder="1" applyAlignment="1">
      <alignment horizontal="center" vertical="center" wrapText="1"/>
    </xf>
    <xf numFmtId="43" fontId="96" fillId="45" borderId="36" xfId="45" applyFont="1" applyFill="1" applyBorder="1" applyAlignment="1" applyProtection="1">
      <alignment horizontal="right" vertical="center" wrapText="1"/>
    </xf>
    <xf numFmtId="43" fontId="94" fillId="25" borderId="19" xfId="45" applyFont="1" applyFill="1" applyBorder="1" applyAlignment="1" applyProtection="1">
      <alignment horizontal="right" vertical="center" wrapText="1"/>
    </xf>
    <xf numFmtId="43" fontId="94" fillId="25" borderId="69" xfId="45" applyFont="1" applyFill="1" applyBorder="1" applyAlignment="1" applyProtection="1">
      <alignment horizontal="right" vertical="center" wrapText="1"/>
    </xf>
    <xf numFmtId="43" fontId="94" fillId="25" borderId="71" xfId="45" applyFont="1" applyFill="1" applyBorder="1" applyAlignment="1" applyProtection="1">
      <alignment horizontal="right" vertical="center" wrapText="1"/>
    </xf>
    <xf numFmtId="43" fontId="94" fillId="25" borderId="75" xfId="45" applyFont="1" applyFill="1" applyBorder="1" applyAlignment="1" applyProtection="1">
      <alignment horizontal="right" vertical="center" wrapText="1"/>
    </xf>
    <xf numFmtId="0" fontId="96" fillId="0" borderId="39" xfId="87" applyFont="1" applyBorder="1" applyAlignment="1">
      <alignment horizontal="center" vertical="center" wrapText="1"/>
    </xf>
    <xf numFmtId="0" fontId="96" fillId="0" borderId="32" xfId="87" quotePrefix="1" applyFont="1" applyBorder="1" applyAlignment="1">
      <alignment horizontal="left" vertical="center" wrapText="1"/>
    </xf>
    <xf numFmtId="43" fontId="96" fillId="31" borderId="36" xfId="45" applyFont="1" applyFill="1" applyBorder="1" applyAlignment="1" applyProtection="1">
      <alignment horizontal="right" vertical="center" wrapText="1"/>
    </xf>
    <xf numFmtId="43" fontId="96" fillId="31" borderId="32" xfId="45" applyFont="1" applyFill="1" applyBorder="1" applyAlignment="1" applyProtection="1">
      <alignment horizontal="right" vertical="center" wrapText="1"/>
    </xf>
    <xf numFmtId="43" fontId="96" fillId="31" borderId="25" xfId="45" applyFont="1" applyFill="1" applyBorder="1" applyAlignment="1" applyProtection="1">
      <alignment horizontal="right" vertical="center" wrapText="1"/>
    </xf>
    <xf numFmtId="43" fontId="96" fillId="31" borderId="34" xfId="45" applyFont="1" applyFill="1" applyBorder="1" applyAlignment="1" applyProtection="1">
      <alignment horizontal="right" vertical="center" wrapText="1"/>
    </xf>
    <xf numFmtId="0" fontId="96" fillId="0" borderId="34" xfId="87" applyFont="1" applyBorder="1" applyAlignment="1">
      <alignment horizontal="center" vertical="center" wrapText="1"/>
    </xf>
    <xf numFmtId="0" fontId="94" fillId="0" borderId="34" xfId="87" applyFont="1" applyBorder="1" applyAlignment="1">
      <alignment horizontal="center" vertical="center" wrapText="1"/>
    </xf>
    <xf numFmtId="0" fontId="96" fillId="0" borderId="70" xfId="87" applyFont="1" applyBorder="1" applyAlignment="1">
      <alignment horizontal="center" vertical="center" wrapText="1"/>
    </xf>
    <xf numFmtId="176" fontId="96" fillId="0" borderId="0" xfId="45" applyNumberFormat="1" applyFont="1" applyFill="1" applyAlignment="1">
      <alignment vertical="center"/>
    </xf>
    <xf numFmtId="43" fontId="96" fillId="0" borderId="0" xfId="45" applyFont="1" applyAlignment="1">
      <alignment vertical="center"/>
    </xf>
    <xf numFmtId="39" fontId="96" fillId="0" borderId="68" xfId="87" applyNumberFormat="1" applyFont="1" applyBorder="1" applyAlignment="1">
      <alignment horizontal="center" vertical="center" wrapText="1"/>
    </xf>
    <xf numFmtId="43" fontId="96" fillId="39" borderId="19" xfId="45" applyFont="1" applyFill="1" applyBorder="1" applyAlignment="1" applyProtection="1">
      <alignment horizontal="right" vertical="center" wrapText="1"/>
    </xf>
    <xf numFmtId="43" fontId="96" fillId="39" borderId="70" xfId="45" applyFont="1" applyFill="1" applyBorder="1" applyAlignment="1" applyProtection="1">
      <alignment horizontal="right" vertical="center" wrapText="1"/>
    </xf>
    <xf numFmtId="43" fontId="96" fillId="39" borderId="85" xfId="45" applyFont="1" applyFill="1" applyBorder="1" applyAlignment="1" applyProtection="1">
      <alignment horizontal="right" vertical="center" wrapText="1"/>
    </xf>
    <xf numFmtId="43" fontId="96" fillId="39" borderId="84" xfId="45" applyFont="1" applyFill="1" applyBorder="1" applyAlignment="1" applyProtection="1">
      <alignment horizontal="right" vertical="center" wrapText="1"/>
    </xf>
    <xf numFmtId="43" fontId="96" fillId="39" borderId="71" xfId="45" applyFont="1" applyFill="1" applyBorder="1" applyAlignment="1" applyProtection="1">
      <alignment horizontal="right" vertical="center" wrapText="1"/>
    </xf>
    <xf numFmtId="0" fontId="96" fillId="39" borderId="32" xfId="87" applyFont="1" applyFill="1" applyBorder="1" applyAlignment="1">
      <alignment horizontal="left" vertical="center" wrapText="1"/>
    </xf>
    <xf numFmtId="0" fontId="96" fillId="39" borderId="36" xfId="87" applyFont="1" applyFill="1" applyBorder="1" applyAlignment="1">
      <alignment horizontal="center" vertical="center" wrapText="1"/>
    </xf>
    <xf numFmtId="0" fontId="96" fillId="39" borderId="19" xfId="87" applyFont="1" applyFill="1" applyBorder="1" applyAlignment="1">
      <alignment horizontal="center" vertical="center" wrapText="1"/>
    </xf>
    <xf numFmtId="0" fontId="96" fillId="39" borderId="70" xfId="87" applyFont="1" applyFill="1" applyBorder="1" applyAlignment="1">
      <alignment horizontal="center" vertical="center" wrapText="1"/>
    </xf>
    <xf numFmtId="39" fontId="96" fillId="25" borderId="68" xfId="87" applyNumberFormat="1" applyFont="1" applyFill="1" applyBorder="1" applyAlignment="1">
      <alignment horizontal="center" vertical="center" wrapText="1"/>
    </xf>
    <xf numFmtId="43" fontId="96" fillId="25" borderId="76" xfId="45" applyFont="1" applyFill="1" applyBorder="1" applyAlignment="1" applyProtection="1">
      <alignment horizontal="right" vertical="center" wrapText="1"/>
    </xf>
    <xf numFmtId="43" fontId="96" fillId="25" borderId="79" xfId="45" applyFont="1" applyFill="1" applyBorder="1" applyAlignment="1" applyProtection="1">
      <alignment horizontal="right" vertical="center" wrapText="1"/>
    </xf>
    <xf numFmtId="43" fontId="96" fillId="25" borderId="38" xfId="45" applyFont="1" applyFill="1" applyBorder="1" applyAlignment="1" applyProtection="1">
      <alignment horizontal="right" vertical="center" wrapText="1"/>
    </xf>
    <xf numFmtId="43" fontId="96" fillId="25" borderId="78" xfId="45" applyFont="1" applyFill="1" applyBorder="1" applyAlignment="1" applyProtection="1">
      <alignment horizontal="right" vertical="center" wrapText="1"/>
    </xf>
    <xf numFmtId="43" fontId="96" fillId="25" borderId="28" xfId="45" applyFont="1" applyFill="1" applyBorder="1" applyAlignment="1" applyProtection="1">
      <alignment horizontal="right" vertical="center" wrapText="1"/>
    </xf>
    <xf numFmtId="0" fontId="94" fillId="46" borderId="42" xfId="87" applyFont="1" applyFill="1" applyBorder="1" applyAlignment="1">
      <alignment horizontal="center" vertical="center" wrapText="1"/>
    </xf>
    <xf numFmtId="0" fontId="94" fillId="46" borderId="42" xfId="87" applyFont="1" applyFill="1" applyBorder="1" applyAlignment="1">
      <alignment vertical="center" wrapText="1"/>
    </xf>
    <xf numFmtId="43" fontId="63" fillId="0" borderId="86" xfId="45" applyFont="1" applyBorder="1" applyAlignment="1">
      <alignment horizontal="center" vertical="center" wrapText="1"/>
    </xf>
    <xf numFmtId="0" fontId="66" fillId="0" borderId="0" xfId="96" applyFont="1" applyAlignment="1">
      <alignment wrapText="1"/>
    </xf>
    <xf numFmtId="176" fontId="66" fillId="0" borderId="0" xfId="45" applyNumberFormat="1" applyFont="1" applyAlignment="1">
      <alignment wrapText="1"/>
    </xf>
    <xf numFmtId="43" fontId="66" fillId="0" borderId="0" xfId="45" applyFont="1" applyAlignment="1">
      <alignment wrapText="1"/>
    </xf>
    <xf numFmtId="176" fontId="62" fillId="0" borderId="0" xfId="45" applyNumberFormat="1" applyFont="1" applyFill="1" applyAlignment="1">
      <alignment vertical="center" wrapText="1"/>
    </xf>
    <xf numFmtId="0" fontId="62" fillId="21" borderId="36" xfId="96" applyFont="1" applyFill="1" applyBorder="1" applyAlignment="1">
      <alignment vertical="center" wrapText="1"/>
    </xf>
    <xf numFmtId="3" fontId="63" fillId="21" borderId="36" xfId="96" applyNumberFormat="1" applyFont="1" applyFill="1" applyBorder="1" applyAlignment="1">
      <alignment vertical="center" wrapText="1"/>
    </xf>
    <xf numFmtId="0" fontId="63" fillId="21" borderId="36" xfId="96" applyFont="1" applyFill="1" applyBorder="1" applyAlignment="1">
      <alignment horizontal="right" vertical="center" wrapText="1"/>
    </xf>
    <xf numFmtId="176" fontId="63" fillId="0" borderId="0" xfId="45" applyNumberFormat="1" applyFont="1" applyFill="1" applyAlignment="1">
      <alignment vertical="center" wrapText="1"/>
    </xf>
    <xf numFmtId="0" fontId="62" fillId="0" borderId="0" xfId="96" applyFont="1" applyAlignment="1">
      <alignment vertical="center" wrapText="1"/>
    </xf>
    <xf numFmtId="0" fontId="62" fillId="0" borderId="33" xfId="96" applyFont="1" applyBorder="1" applyAlignment="1">
      <alignment horizontal="right" vertical="center" wrapText="1"/>
    </xf>
    <xf numFmtId="3" fontId="63" fillId="0" borderId="33" xfId="96" applyNumberFormat="1" applyFont="1" applyBorder="1" applyAlignment="1">
      <alignment vertical="center" wrapText="1"/>
    </xf>
    <xf numFmtId="0" fontId="63" fillId="0" borderId="33" xfId="96" applyFont="1" applyBorder="1" applyAlignment="1">
      <alignment vertical="center" wrapText="1"/>
    </xf>
    <xf numFmtId="0" fontId="62" fillId="0" borderId="87" xfId="96" applyFont="1" applyBorder="1" applyAlignment="1">
      <alignment horizontal="right" vertical="center" wrapText="1"/>
    </xf>
    <xf numFmtId="3" fontId="62" fillId="0" borderId="87" xfId="96" applyNumberFormat="1" applyFont="1" applyBorder="1" applyAlignment="1">
      <alignment vertical="center" wrapText="1"/>
    </xf>
    <xf numFmtId="0" fontId="62" fillId="0" borderId="0" xfId="96" applyFont="1" applyAlignment="1">
      <alignment horizontal="right" vertical="center" wrapText="1"/>
    </xf>
    <xf numFmtId="0" fontId="62" fillId="0" borderId="88" xfId="96" applyFont="1" applyBorder="1" applyAlignment="1">
      <alignment horizontal="right" vertical="center" wrapText="1"/>
    </xf>
    <xf numFmtId="0" fontId="62" fillId="0" borderId="33" xfId="96" applyFont="1" applyBorder="1" applyAlignment="1">
      <alignment vertical="center" wrapText="1"/>
    </xf>
    <xf numFmtId="176" fontId="62" fillId="0" borderId="0" xfId="45" applyNumberFormat="1" applyFont="1" applyAlignment="1">
      <alignment vertical="center" wrapText="1"/>
    </xf>
    <xf numFmtId="0" fontId="63" fillId="0" borderId="0" xfId="96" applyFont="1" applyAlignment="1">
      <alignment horizontal="center" vertical="center" wrapText="1"/>
    </xf>
    <xf numFmtId="0" fontId="63" fillId="21" borderId="36" xfId="96" applyFont="1" applyFill="1" applyBorder="1" applyAlignment="1">
      <alignment horizontal="center" vertical="center" wrapText="1"/>
    </xf>
    <xf numFmtId="0" fontId="63" fillId="0" borderId="0" xfId="96" applyFont="1" applyAlignment="1">
      <alignment vertical="center" wrapText="1"/>
    </xf>
    <xf numFmtId="3" fontId="62" fillId="0" borderId="87" xfId="96" applyNumberFormat="1" applyFont="1" applyBorder="1" applyAlignment="1">
      <alignment horizontal="right" vertical="center" wrapText="1"/>
    </xf>
    <xf numFmtId="0" fontId="62" fillId="0" borderId="87" xfId="96" applyFont="1" applyBorder="1" applyAlignment="1">
      <alignment vertical="center" wrapText="1"/>
    </xf>
    <xf numFmtId="176" fontId="63" fillId="0" borderId="0" xfId="45" applyNumberFormat="1" applyFont="1" applyAlignment="1">
      <alignment vertical="center" wrapText="1"/>
    </xf>
    <xf numFmtId="0" fontId="62" fillId="0" borderId="89" xfId="96" applyFont="1" applyBorder="1" applyAlignment="1">
      <alignment vertical="center" wrapText="1"/>
    </xf>
    <xf numFmtId="0" fontId="62" fillId="0" borderId="88" xfId="96" applyFont="1" applyBorder="1" applyAlignment="1">
      <alignment vertical="center" wrapText="1"/>
    </xf>
    <xf numFmtId="3" fontId="62" fillId="0" borderId="0" xfId="96" applyNumberFormat="1" applyFont="1" applyAlignment="1">
      <alignment vertical="center" wrapText="1"/>
    </xf>
    <xf numFmtId="3" fontId="62" fillId="0" borderId="90" xfId="96" applyNumberFormat="1" applyFont="1" applyBorder="1" applyAlignment="1">
      <alignment horizontal="right" vertical="center" wrapText="1"/>
    </xf>
    <xf numFmtId="0" fontId="62" fillId="0" borderId="90" xfId="96" applyFont="1" applyBorder="1" applyAlignment="1">
      <alignment vertical="center" wrapText="1"/>
    </xf>
    <xf numFmtId="3" fontId="62" fillId="0" borderId="33" xfId="96" applyNumberFormat="1" applyFont="1" applyBorder="1" applyAlignment="1">
      <alignment vertical="center" wrapText="1"/>
    </xf>
    <xf numFmtId="176" fontId="62" fillId="0" borderId="0" xfId="45" applyNumberFormat="1" applyFont="1" applyBorder="1" applyAlignment="1">
      <alignment vertical="center" wrapText="1"/>
    </xf>
    <xf numFmtId="43" fontId="62" fillId="0" borderId="0" xfId="96" applyNumberFormat="1" applyFont="1" applyAlignment="1">
      <alignment vertical="center" wrapText="1"/>
    </xf>
    <xf numFmtId="43" fontId="96" fillId="0" borderId="26" xfId="45" applyFont="1" applyFill="1" applyBorder="1" applyAlignment="1" applyProtection="1">
      <alignment horizontal="right" vertical="center"/>
    </xf>
    <xf numFmtId="43" fontId="96" fillId="39" borderId="26" xfId="45" applyFont="1" applyFill="1" applyBorder="1" applyAlignment="1" applyProtection="1">
      <alignment horizontal="right" vertical="center" wrapText="1"/>
    </xf>
    <xf numFmtId="0" fontId="62" fillId="0" borderId="0" xfId="96" applyFont="1" applyAlignment="1">
      <alignment wrapText="1"/>
    </xf>
    <xf numFmtId="176" fontId="62" fillId="0" borderId="0" xfId="45" applyNumberFormat="1" applyFont="1" applyAlignment="1">
      <alignment wrapText="1"/>
    </xf>
    <xf numFmtId="0" fontId="67" fillId="0" borderId="0" xfId="96" applyFont="1"/>
    <xf numFmtId="0" fontId="62" fillId="0" borderId="0" xfId="96" applyFont="1"/>
    <xf numFmtId="43" fontId="62" fillId="0" borderId="0" xfId="45" applyFont="1"/>
    <xf numFmtId="0" fontId="62" fillId="0" borderId="0" xfId="96" applyFont="1" applyAlignment="1">
      <alignment horizontal="center" vertical="center" wrapText="1"/>
    </xf>
    <xf numFmtId="0" fontId="63" fillId="0" borderId="0" xfId="96" applyFont="1"/>
    <xf numFmtId="43" fontId="63" fillId="0" borderId="0" xfId="45" applyFont="1"/>
    <xf numFmtId="0" fontId="63" fillId="0" borderId="0" xfId="96" applyFont="1" applyAlignment="1">
      <alignment horizontal="center"/>
    </xf>
    <xf numFmtId="176" fontId="62" fillId="0" borderId="0" xfId="45" applyNumberFormat="1" applyFont="1"/>
    <xf numFmtId="43" fontId="62" fillId="0" borderId="0" xfId="96" applyNumberFormat="1" applyFont="1"/>
    <xf numFmtId="176" fontId="62" fillId="0" borderId="0" xfId="45" applyNumberFormat="1" applyFont="1" applyFill="1"/>
    <xf numFmtId="176" fontId="63" fillId="0" borderId="0" xfId="45" applyNumberFormat="1" applyFont="1" applyFill="1"/>
    <xf numFmtId="43" fontId="63" fillId="0" borderId="91" xfId="45" applyFont="1" applyBorder="1" applyAlignment="1">
      <alignment horizontal="center" vertical="center" wrapText="1"/>
    </xf>
    <xf numFmtId="43" fontId="63" fillId="0" borderId="92" xfId="45" applyFont="1" applyBorder="1" applyAlignment="1">
      <alignment horizontal="center" vertical="center" wrapText="1"/>
    </xf>
    <xf numFmtId="43" fontId="63" fillId="0" borderId="37" xfId="45" applyFont="1" applyBorder="1" applyAlignment="1">
      <alignment horizontal="center" vertical="center" wrapText="1"/>
    </xf>
    <xf numFmtId="43" fontId="63" fillId="0" borderId="93" xfId="45" applyFont="1" applyBorder="1" applyAlignment="1">
      <alignment horizontal="center" vertical="center" wrapText="1"/>
    </xf>
    <xf numFmtId="43" fontId="96" fillId="36" borderId="36" xfId="45" applyFont="1" applyFill="1" applyBorder="1" applyAlignment="1" applyProtection="1">
      <alignment horizontal="right" vertical="center" wrapText="1"/>
    </xf>
    <xf numFmtId="43" fontId="96" fillId="36" borderId="34" xfId="45" applyFont="1" applyFill="1" applyBorder="1" applyAlignment="1" applyProtection="1">
      <alignment horizontal="right" vertical="center" wrapText="1"/>
    </xf>
    <xf numFmtId="43" fontId="96" fillId="36" borderId="32" xfId="45" applyFont="1" applyFill="1" applyBorder="1" applyAlignment="1" applyProtection="1">
      <alignment horizontal="right" vertical="center" wrapText="1"/>
    </xf>
    <xf numFmtId="43" fontId="96" fillId="36" borderId="19" xfId="45" applyFont="1" applyFill="1" applyBorder="1" applyAlignment="1" applyProtection="1">
      <alignment horizontal="right" vertical="center" wrapText="1"/>
    </xf>
    <xf numFmtId="43" fontId="96" fillId="36" borderId="75" xfId="45" applyFont="1" applyFill="1" applyBorder="1" applyAlignment="1" applyProtection="1">
      <alignment horizontal="right" vertical="center" wrapText="1"/>
    </xf>
    <xf numFmtId="43" fontId="96" fillId="36" borderId="69" xfId="45" applyFont="1" applyFill="1" applyBorder="1" applyAlignment="1" applyProtection="1">
      <alignment horizontal="right" vertical="center" wrapText="1"/>
    </xf>
    <xf numFmtId="43" fontId="96" fillId="30" borderId="25" xfId="45" applyFont="1" applyFill="1" applyBorder="1" applyAlignment="1" applyProtection="1">
      <alignment horizontal="right" vertical="center" wrapText="1"/>
    </xf>
    <xf numFmtId="43" fontId="96" fillId="39" borderId="67" xfId="45" applyFont="1" applyFill="1" applyBorder="1" applyAlignment="1" applyProtection="1">
      <alignment horizontal="right" vertical="center" wrapText="1"/>
    </xf>
    <xf numFmtId="43" fontId="61" fillId="25" borderId="67" xfId="45" applyFont="1" applyFill="1" applyBorder="1" applyAlignment="1">
      <alignment horizontal="right" vertical="center"/>
    </xf>
    <xf numFmtId="43" fontId="96" fillId="43" borderId="67" xfId="45" applyFont="1" applyFill="1" applyBorder="1" applyAlignment="1" applyProtection="1">
      <alignment horizontal="right" vertical="center"/>
    </xf>
    <xf numFmtId="43" fontId="62" fillId="0" borderId="67" xfId="45" applyFont="1" applyBorder="1" applyAlignment="1">
      <alignment horizontal="right" vertical="center"/>
    </xf>
    <xf numFmtId="43" fontId="62" fillId="25" borderId="67" xfId="45" applyFont="1" applyFill="1" applyBorder="1" applyAlignment="1">
      <alignment horizontal="right" vertical="center" wrapText="1"/>
    </xf>
    <xf numFmtId="43" fontId="62" fillId="25" borderId="67" xfId="45" applyFont="1" applyFill="1" applyBorder="1" applyAlignment="1">
      <alignment horizontal="right" vertical="center"/>
    </xf>
    <xf numFmtId="43" fontId="61" fillId="0" borderId="67" xfId="45" applyFont="1" applyBorder="1" applyAlignment="1">
      <alignment horizontal="right" vertical="center" wrapText="1"/>
    </xf>
    <xf numFmtId="43" fontId="61" fillId="25" borderId="67" xfId="45" applyFont="1" applyFill="1" applyBorder="1" applyAlignment="1">
      <alignment horizontal="right" vertical="center" wrapText="1"/>
    </xf>
    <xf numFmtId="43" fontId="61" fillId="0" borderId="67" xfId="45" applyFont="1" applyBorder="1" applyAlignment="1">
      <alignment horizontal="right" vertical="center"/>
    </xf>
    <xf numFmtId="43" fontId="61" fillId="25" borderId="70" xfId="45" applyFont="1" applyFill="1" applyBorder="1" applyAlignment="1">
      <alignment horizontal="right" vertical="center" wrapText="1"/>
    </xf>
    <xf numFmtId="43" fontId="62" fillId="0" borderId="0" xfId="45" applyFont="1" applyFill="1"/>
    <xf numFmtId="0" fontId="63" fillId="0" borderId="11" xfId="96" applyFont="1" applyBorder="1"/>
    <xf numFmtId="0" fontId="63" fillId="0" borderId="12" xfId="96" applyFont="1" applyBorder="1"/>
    <xf numFmtId="43" fontId="63" fillId="0" borderId="36" xfId="45" applyFont="1" applyFill="1" applyBorder="1" applyAlignment="1">
      <alignment horizontal="center"/>
    </xf>
    <xf numFmtId="0" fontId="63" fillId="0" borderId="36" xfId="96" applyFont="1" applyBorder="1" applyAlignment="1">
      <alignment horizontal="center"/>
    </xf>
    <xf numFmtId="0" fontId="63" fillId="0" borderId="36" xfId="96" applyFont="1" applyBorder="1"/>
    <xf numFmtId="176" fontId="62" fillId="0" borderId="36" xfId="45" applyNumberFormat="1" applyFont="1" applyFill="1" applyBorder="1"/>
    <xf numFmtId="176" fontId="62" fillId="41" borderId="36" xfId="45" applyNumberFormat="1" applyFont="1" applyFill="1" applyBorder="1"/>
    <xf numFmtId="176" fontId="62" fillId="0" borderId="36" xfId="45" applyNumberFormat="1" applyFont="1" applyFill="1" applyBorder="1" applyAlignment="1">
      <alignment horizontal="center"/>
    </xf>
    <xf numFmtId="43" fontId="62" fillId="0" borderId="94" xfId="45" applyFont="1" applyFill="1" applyBorder="1"/>
    <xf numFmtId="43" fontId="62" fillId="0" borderId="0" xfId="45" applyFont="1" applyFill="1" applyBorder="1"/>
    <xf numFmtId="43" fontId="62" fillId="0" borderId="13" xfId="45" applyFont="1" applyFill="1" applyBorder="1"/>
    <xf numFmtId="0" fontId="62" fillId="0" borderId="94" xfId="96" applyFont="1" applyBorder="1"/>
    <xf numFmtId="43" fontId="63" fillId="0" borderId="0" xfId="45" applyFont="1" applyFill="1" applyBorder="1" applyAlignment="1" applyProtection="1">
      <alignment horizontal="right" vertical="center" wrapText="1"/>
    </xf>
    <xf numFmtId="43" fontId="62" fillId="0" borderId="0" xfId="45" applyFont="1" applyFill="1" applyBorder="1" applyAlignment="1" applyProtection="1">
      <alignment horizontal="right" vertical="center" wrapText="1"/>
    </xf>
    <xf numFmtId="43" fontId="62" fillId="0" borderId="13" xfId="45" applyFont="1" applyBorder="1"/>
    <xf numFmtId="43" fontId="62" fillId="0" borderId="94" xfId="45" applyFont="1" applyBorder="1"/>
    <xf numFmtId="43" fontId="62" fillId="0" borderId="0" xfId="45" applyFont="1" applyBorder="1"/>
    <xf numFmtId="43" fontId="62" fillId="0" borderId="69" xfId="45" applyFont="1" applyFill="1" applyBorder="1"/>
    <xf numFmtId="43" fontId="62" fillId="0" borderId="75" xfId="45" applyFont="1" applyFill="1" applyBorder="1"/>
    <xf numFmtId="43" fontId="63" fillId="0" borderId="0" xfId="45" applyFont="1" applyFill="1" applyBorder="1"/>
    <xf numFmtId="43" fontId="63" fillId="0" borderId="13" xfId="45" applyFont="1" applyFill="1" applyBorder="1"/>
    <xf numFmtId="43" fontId="63" fillId="0" borderId="0" xfId="45" applyFont="1" applyBorder="1"/>
    <xf numFmtId="43" fontId="62" fillId="0" borderId="84" xfId="45" applyFont="1" applyBorder="1"/>
    <xf numFmtId="9" fontId="62" fillId="0" borderId="69" xfId="123" applyFont="1" applyBorder="1"/>
    <xf numFmtId="43" fontId="62" fillId="0" borderId="69" xfId="45" applyFont="1" applyBorder="1"/>
    <xf numFmtId="43" fontId="63" fillId="0" borderId="75" xfId="45" applyFont="1" applyBorder="1"/>
    <xf numFmtId="176" fontId="62" fillId="0" borderId="0" xfId="45" applyNumberFormat="1" applyFont="1" applyFill="1" applyBorder="1" applyAlignment="1">
      <alignment horizontal="right"/>
    </xf>
    <xf numFmtId="176" fontId="63" fillId="0" borderId="0" xfId="45" applyNumberFormat="1" applyFont="1"/>
    <xf numFmtId="176" fontId="62" fillId="0" borderId="36" xfId="45" applyNumberFormat="1" applyFont="1" applyBorder="1"/>
    <xf numFmtId="176" fontId="63" fillId="0" borderId="36" xfId="45" applyNumberFormat="1" applyFont="1" applyBorder="1"/>
    <xf numFmtId="3" fontId="63" fillId="0" borderId="0" xfId="96" applyNumberFormat="1" applyFont="1" applyAlignment="1">
      <alignment horizontal="left"/>
    </xf>
    <xf numFmtId="0" fontId="62" fillId="0" borderId="36" xfId="96" applyFont="1" applyBorder="1"/>
    <xf numFmtId="176" fontId="62" fillId="0" borderId="0" xfId="96" applyNumberFormat="1" applyFont="1"/>
    <xf numFmtId="0" fontId="62" fillId="0" borderId="36" xfId="96" applyFont="1" applyBorder="1" applyAlignment="1">
      <alignment horizontal="center" vertical="center" wrapText="1"/>
    </xf>
    <xf numFmtId="0" fontId="62" fillId="0" borderId="36" xfId="96" applyFont="1" applyBorder="1" applyAlignment="1">
      <alignment horizontal="center" vertical="center"/>
    </xf>
    <xf numFmtId="0" fontId="63" fillId="0" borderId="36" xfId="96" applyFont="1" applyBorder="1" applyAlignment="1">
      <alignment horizontal="center" wrapText="1"/>
    </xf>
    <xf numFmtId="0" fontId="62" fillId="0" borderId="36" xfId="96" applyFont="1" applyBorder="1" applyAlignment="1">
      <alignment wrapText="1"/>
    </xf>
    <xf numFmtId="176" fontId="62" fillId="0" borderId="36" xfId="45" applyNumberFormat="1" applyFont="1" applyBorder="1" applyAlignment="1">
      <alignment horizontal="right"/>
    </xf>
    <xf numFmtId="176" fontId="62" fillId="0" borderId="36" xfId="45" applyNumberFormat="1" applyFont="1" applyFill="1" applyBorder="1" applyAlignment="1">
      <alignment horizontal="right"/>
    </xf>
    <xf numFmtId="176" fontId="62" fillId="0" borderId="41" xfId="45" applyNumberFormat="1" applyFont="1" applyBorder="1"/>
    <xf numFmtId="176" fontId="62" fillId="0" borderId="34" xfId="45" applyNumberFormat="1" applyFont="1" applyBorder="1"/>
    <xf numFmtId="176" fontId="62" fillId="0" borderId="41" xfId="45" applyNumberFormat="1" applyFont="1" applyBorder="1" applyAlignment="1">
      <alignment horizontal="right"/>
    </xf>
    <xf numFmtId="176" fontId="62" fillId="0" borderId="41" xfId="45" applyNumberFormat="1" applyFont="1" applyFill="1" applyBorder="1"/>
    <xf numFmtId="176" fontId="62" fillId="0" borderId="34" xfId="45" applyNumberFormat="1" applyFont="1" applyFill="1" applyBorder="1"/>
    <xf numFmtId="176" fontId="63" fillId="0" borderId="36" xfId="45" applyNumberFormat="1" applyFont="1" applyFill="1" applyBorder="1"/>
    <xf numFmtId="176" fontId="62" fillId="0" borderId="36" xfId="96" applyNumberFormat="1" applyFont="1" applyBorder="1"/>
    <xf numFmtId="176" fontId="63" fillId="0" borderId="0" xfId="96" applyNumberFormat="1" applyFont="1"/>
    <xf numFmtId="10" fontId="62" fillId="0" borderId="0" xfId="96" applyNumberFormat="1" applyFont="1"/>
    <xf numFmtId="9" fontId="62" fillId="0" borderId="0" xfId="96" applyNumberFormat="1" applyFont="1"/>
    <xf numFmtId="43" fontId="62" fillId="23" borderId="0" xfId="45" applyFont="1" applyFill="1"/>
    <xf numFmtId="0" fontId="68" fillId="0" borderId="0" xfId="87" applyFont="1" applyAlignment="1">
      <alignment horizontal="right" vertical="center" wrapText="1"/>
    </xf>
    <xf numFmtId="0" fontId="69" fillId="0" borderId="0" xfId="87" applyFont="1" applyAlignment="1">
      <alignment horizontal="right" vertical="center" wrapText="1"/>
    </xf>
    <xf numFmtId="0" fontId="62" fillId="0" borderId="0" xfId="87" applyFont="1" applyAlignment="1">
      <alignment horizontal="right" vertical="center" wrapText="1"/>
    </xf>
    <xf numFmtId="0" fontId="69" fillId="0" borderId="0" xfId="87" applyFont="1" applyAlignment="1">
      <alignment horizontal="right" vertical="center"/>
    </xf>
    <xf numFmtId="176" fontId="62" fillId="0" borderId="69" xfId="45" applyNumberFormat="1" applyFont="1" applyFill="1" applyBorder="1"/>
    <xf numFmtId="10" fontId="62" fillId="0" borderId="0" xfId="123" applyNumberFormat="1" applyFont="1"/>
    <xf numFmtId="43" fontId="62" fillId="22" borderId="0" xfId="45" applyFont="1" applyFill="1"/>
    <xf numFmtId="43" fontId="63" fillId="0" borderId="0" xfId="45" applyFont="1" applyFill="1"/>
    <xf numFmtId="165" fontId="62" fillId="0" borderId="0" xfId="96" applyNumberFormat="1" applyFont="1"/>
    <xf numFmtId="0" fontId="62" fillId="0" borderId="0" xfId="99" applyFont="1"/>
    <xf numFmtId="0" fontId="63" fillId="0" borderId="0" xfId="99" applyFont="1"/>
    <xf numFmtId="0" fontId="63" fillId="0" borderId="0" xfId="99" applyFont="1" applyAlignment="1">
      <alignment horizontal="center"/>
    </xf>
    <xf numFmtId="4" fontId="62" fillId="0" borderId="0" xfId="99" applyNumberFormat="1" applyFont="1"/>
    <xf numFmtId="4" fontId="62" fillId="0" borderId="69" xfId="99" applyNumberFormat="1" applyFont="1" applyBorder="1"/>
    <xf numFmtId="4" fontId="63" fillId="0" borderId="0" xfId="99" applyNumberFormat="1" applyFont="1"/>
    <xf numFmtId="43" fontId="96" fillId="0" borderId="26" xfId="45" applyFont="1" applyFill="1" applyBorder="1" applyAlignment="1" applyProtection="1">
      <alignment horizontal="right" vertical="center" wrapText="1"/>
    </xf>
    <xf numFmtId="43" fontId="96" fillId="25" borderId="68" xfId="45" applyFont="1" applyFill="1" applyBorder="1" applyAlignment="1" applyProtection="1">
      <alignment horizontal="right" vertical="center" wrapText="1"/>
    </xf>
    <xf numFmtId="43" fontId="96" fillId="0" borderId="68" xfId="45" applyFont="1" applyFill="1" applyBorder="1" applyAlignment="1" applyProtection="1">
      <alignment horizontal="right" vertical="center" wrapText="1"/>
    </xf>
    <xf numFmtId="43" fontId="96" fillId="25" borderId="95" xfId="45" applyFont="1" applyFill="1" applyBorder="1" applyAlignment="1" applyProtection="1">
      <alignment horizontal="right" vertical="center" wrapText="1"/>
    </xf>
    <xf numFmtId="43" fontId="94" fillId="25" borderId="68" xfId="45" applyFont="1" applyFill="1" applyBorder="1" applyAlignment="1" applyProtection="1">
      <alignment horizontal="right" vertical="center" wrapText="1"/>
    </xf>
    <xf numFmtId="43" fontId="96" fillId="0" borderId="26" xfId="45" applyFont="1" applyFill="1" applyBorder="1" applyAlignment="1">
      <alignment horizontal="right" vertical="center"/>
    </xf>
    <xf numFmtId="43" fontId="96" fillId="25" borderId="26" xfId="45" applyFont="1" applyFill="1" applyBorder="1" applyAlignment="1" applyProtection="1">
      <alignment horizontal="right" vertical="center" wrapText="1"/>
    </xf>
    <xf numFmtId="43" fontId="96" fillId="0" borderId="68" xfId="45" applyFont="1" applyFill="1" applyBorder="1" applyAlignment="1" applyProtection="1">
      <alignment horizontal="right" vertical="center"/>
    </xf>
    <xf numFmtId="43" fontId="96" fillId="0" borderId="80" xfId="45" applyFont="1" applyFill="1" applyBorder="1" applyAlignment="1" applyProtection="1">
      <alignment horizontal="right" vertical="center" wrapText="1"/>
    </xf>
    <xf numFmtId="43" fontId="96" fillId="35" borderId="25" xfId="45" applyFont="1" applyFill="1" applyBorder="1" applyAlignment="1" applyProtection="1">
      <alignment horizontal="right" vertical="center"/>
    </xf>
    <xf numFmtId="43" fontId="96" fillId="0" borderId="41" xfId="45" applyFont="1" applyFill="1" applyBorder="1" applyAlignment="1" applyProtection="1">
      <alignment horizontal="right" vertical="center"/>
    </xf>
    <xf numFmtId="43" fontId="96" fillId="39" borderId="41" xfId="45" applyFont="1" applyFill="1" applyBorder="1" applyAlignment="1" applyProtection="1">
      <alignment horizontal="right" vertical="center" wrapText="1"/>
    </xf>
    <xf numFmtId="43" fontId="96" fillId="0" borderId="41" xfId="45" applyFont="1" applyFill="1" applyBorder="1" applyAlignment="1" applyProtection="1">
      <alignment horizontal="right" vertical="center" wrapText="1"/>
    </xf>
    <xf numFmtId="43" fontId="96" fillId="0" borderId="96" xfId="45" applyFont="1" applyFill="1" applyBorder="1" applyAlignment="1" applyProtection="1">
      <alignment horizontal="right" vertical="center"/>
    </xf>
    <xf numFmtId="43" fontId="96" fillId="39" borderId="68" xfId="45" applyFont="1" applyFill="1" applyBorder="1" applyAlignment="1" applyProtection="1">
      <alignment horizontal="right" vertical="center" wrapText="1"/>
    </xf>
    <xf numFmtId="43" fontId="96" fillId="0" borderId="0" xfId="45" applyFont="1" applyFill="1" applyBorder="1" applyAlignment="1">
      <alignment horizontal="right" vertical="center"/>
    </xf>
    <xf numFmtId="43" fontId="94" fillId="25" borderId="68" xfId="45" applyFont="1" applyFill="1" applyBorder="1" applyAlignment="1" applyProtection="1">
      <alignment horizontal="left" vertical="center" wrapText="1"/>
    </xf>
    <xf numFmtId="43" fontId="96" fillId="39" borderId="26" xfId="45" applyFont="1" applyFill="1" applyBorder="1" applyAlignment="1" applyProtection="1">
      <alignment horizontal="left" vertical="center" wrapText="1"/>
    </xf>
    <xf numFmtId="43" fontId="94" fillId="0" borderId="26" xfId="45" applyFont="1" applyFill="1" applyBorder="1" applyAlignment="1" applyProtection="1">
      <alignment horizontal="right" vertical="center" wrapText="1"/>
    </xf>
    <xf numFmtId="43" fontId="96" fillId="0" borderId="31" xfId="45" applyFont="1" applyFill="1" applyBorder="1" applyAlignment="1" applyProtection="1">
      <alignment horizontal="right" vertical="center"/>
    </xf>
    <xf numFmtId="43" fontId="96" fillId="0" borderId="0" xfId="45" applyFont="1" applyFill="1" applyBorder="1" applyAlignment="1">
      <alignment vertical="center"/>
    </xf>
    <xf numFmtId="43" fontId="96" fillId="0" borderId="0" xfId="45" applyFont="1" applyFill="1" applyAlignment="1">
      <alignment vertical="center"/>
    </xf>
    <xf numFmtId="1" fontId="102" fillId="46" borderId="64" xfId="116" applyNumberFormat="1" applyFont="1" applyFill="1" applyBorder="1" applyAlignment="1">
      <alignment horizontal="center" vertical="center"/>
    </xf>
    <xf numFmtId="1" fontId="102" fillId="46" borderId="92" xfId="116" applyNumberFormat="1" applyFont="1" applyFill="1" applyBorder="1" applyAlignment="1">
      <alignment horizontal="center" vertical="center"/>
    </xf>
    <xf numFmtId="1" fontId="102" fillId="46" borderId="93" xfId="116" applyNumberFormat="1" applyFont="1" applyFill="1" applyBorder="1" applyAlignment="1">
      <alignment horizontal="center" vertical="center"/>
    </xf>
    <xf numFmtId="0" fontId="102" fillId="46" borderId="42" xfId="87" applyFont="1" applyFill="1" applyBorder="1" applyAlignment="1" applyProtection="1">
      <alignment horizontal="center" vertical="center"/>
    </xf>
    <xf numFmtId="0" fontId="102" fillId="25" borderId="70" xfId="87" applyFont="1" applyFill="1" applyBorder="1" applyAlignment="1" applyProtection="1">
      <alignment horizontal="center" vertical="center" wrapText="1"/>
    </xf>
    <xf numFmtId="0" fontId="102" fillId="25" borderId="19" xfId="87" applyFont="1" applyFill="1" applyBorder="1" applyAlignment="1" applyProtection="1">
      <alignment horizontal="center" vertical="center" wrapText="1"/>
    </xf>
    <xf numFmtId="0" fontId="94" fillId="25" borderId="84" xfId="87" applyFont="1" applyFill="1" applyBorder="1" applyAlignment="1" applyProtection="1">
      <alignment horizontal="left" vertical="center" wrapText="1"/>
    </xf>
    <xf numFmtId="0" fontId="94" fillId="25" borderId="68" xfId="87" applyFont="1" applyFill="1" applyBorder="1" applyAlignment="1" applyProtection="1">
      <alignment horizontal="center" vertical="center" wrapText="1"/>
    </xf>
    <xf numFmtId="0" fontId="103" fillId="0" borderId="67" xfId="87" applyFont="1" applyFill="1" applyBorder="1" applyAlignment="1" applyProtection="1">
      <alignment horizontal="center" vertical="center" wrapText="1"/>
    </xf>
    <xf numFmtId="0" fontId="103" fillId="0" borderId="36" xfId="87" applyFont="1" applyFill="1" applyBorder="1" applyAlignment="1" applyProtection="1">
      <alignment horizontal="center" vertical="center" wrapText="1"/>
    </xf>
    <xf numFmtId="0" fontId="96" fillId="0" borderId="32" xfId="87" applyFont="1" applyFill="1" applyBorder="1" applyAlignment="1" applyProtection="1">
      <alignment horizontal="left" vertical="center" wrapText="1"/>
    </xf>
    <xf numFmtId="0" fontId="96" fillId="0" borderId="26" xfId="87" applyFont="1" applyFill="1" applyBorder="1" applyAlignment="1" applyProtection="1">
      <alignment horizontal="center" vertical="center" wrapText="1"/>
    </xf>
    <xf numFmtId="0" fontId="102" fillId="0" borderId="36" xfId="87" applyFont="1" applyFill="1" applyBorder="1" applyAlignment="1" applyProtection="1">
      <alignment horizontal="center" vertical="center"/>
    </xf>
    <xf numFmtId="0" fontId="96" fillId="0" borderId="26" xfId="87" applyFont="1" applyFill="1" applyBorder="1" applyAlignment="1" applyProtection="1">
      <alignment horizontal="center" vertical="center"/>
    </xf>
    <xf numFmtId="0" fontId="99" fillId="0" borderId="26" xfId="87" applyFont="1" applyFill="1" applyBorder="1" applyAlignment="1" applyProtection="1">
      <alignment horizontal="center" vertical="center"/>
    </xf>
    <xf numFmtId="0" fontId="102" fillId="0" borderId="36" xfId="87" applyFont="1" applyFill="1" applyBorder="1" applyAlignment="1" applyProtection="1">
      <alignment horizontal="center" vertical="center" wrapText="1"/>
    </xf>
    <xf numFmtId="0" fontId="94" fillId="0" borderId="26" xfId="87" applyFont="1" applyFill="1" applyBorder="1" applyAlignment="1" applyProtection="1">
      <alignment horizontal="center" vertical="center" wrapText="1"/>
    </xf>
    <xf numFmtId="0" fontId="102" fillId="0" borderId="34" xfId="87" applyFont="1" applyFill="1" applyBorder="1" applyAlignment="1" applyProtection="1">
      <alignment horizontal="center" vertical="center"/>
    </xf>
    <xf numFmtId="0" fontId="94" fillId="25" borderId="41" xfId="87" applyFont="1" applyFill="1" applyBorder="1" applyAlignment="1" applyProtection="1">
      <alignment horizontal="left" vertical="center" wrapText="1"/>
    </xf>
    <xf numFmtId="0" fontId="94" fillId="25" borderId="19" xfId="87" applyFont="1" applyFill="1" applyBorder="1" applyAlignment="1" applyProtection="1">
      <alignment horizontal="center" vertical="center" wrapText="1"/>
    </xf>
    <xf numFmtId="0" fontId="94" fillId="0" borderId="68" xfId="87" applyFont="1" applyFill="1" applyBorder="1" applyAlignment="1" applyProtection="1">
      <alignment horizontal="center" vertical="center" wrapText="1"/>
    </xf>
    <xf numFmtId="0" fontId="103" fillId="0" borderId="36" xfId="87" applyFont="1" applyFill="1" applyBorder="1" applyAlignment="1" applyProtection="1">
      <alignment horizontal="center" vertical="center"/>
    </xf>
    <xf numFmtId="0" fontId="102" fillId="0" borderId="70" xfId="87" applyFont="1" applyFill="1" applyBorder="1" applyAlignment="1" applyProtection="1">
      <alignment horizontal="center" vertical="center" wrapText="1"/>
    </xf>
    <xf numFmtId="0" fontId="102" fillId="0" borderId="19" xfId="87" applyFont="1" applyFill="1" applyBorder="1" applyAlignment="1" applyProtection="1">
      <alignment horizontal="center" vertical="center" wrapText="1"/>
    </xf>
    <xf numFmtId="0" fontId="94" fillId="0" borderId="41" xfId="87" applyFont="1" applyFill="1" applyBorder="1" applyAlignment="1" applyProtection="1">
      <alignment horizontal="left" vertical="center" wrapText="1"/>
    </xf>
    <xf numFmtId="0" fontId="103" fillId="0" borderId="73" xfId="87" applyFont="1" applyFill="1" applyBorder="1" applyAlignment="1" applyProtection="1">
      <alignment horizontal="center" vertical="center" wrapText="1"/>
    </xf>
    <xf numFmtId="0" fontId="96" fillId="0" borderId="11" xfId="87" applyFont="1" applyFill="1" applyBorder="1" applyAlignment="1" applyProtection="1">
      <alignment horizontal="left" vertical="center" wrapText="1"/>
    </xf>
    <xf numFmtId="0" fontId="103" fillId="0" borderId="67" xfId="87" applyFont="1" applyFill="1" applyBorder="1" applyAlignment="1" applyProtection="1">
      <alignment horizontal="center" vertical="center"/>
    </xf>
    <xf numFmtId="0" fontId="94" fillId="0" borderId="32" xfId="114" applyFont="1" applyFill="1" applyBorder="1" applyAlignment="1">
      <alignment vertical="center" wrapText="1"/>
    </xf>
    <xf numFmtId="0" fontId="102" fillId="0" borderId="33" xfId="87" applyFont="1" applyFill="1" applyBorder="1" applyAlignment="1" applyProtection="1">
      <alignment horizontal="center" vertical="center"/>
    </xf>
    <xf numFmtId="0" fontId="94" fillId="0" borderId="72" xfId="114" applyFont="1" applyFill="1" applyBorder="1" applyAlignment="1">
      <alignment vertical="center" wrapText="1"/>
    </xf>
    <xf numFmtId="0" fontId="103" fillId="0" borderId="74" xfId="87" applyFont="1" applyFill="1" applyBorder="1" applyAlignment="1" applyProtection="1">
      <alignment horizontal="center" vertical="center"/>
    </xf>
    <xf numFmtId="0" fontId="103" fillId="0" borderId="73" xfId="87" applyFont="1" applyFill="1" applyBorder="1" applyAlignment="1" applyProtection="1">
      <alignment horizontal="center" vertical="center"/>
    </xf>
    <xf numFmtId="0" fontId="102" fillId="25" borderId="67" xfId="87" applyFont="1" applyFill="1" applyBorder="1" applyAlignment="1" applyProtection="1">
      <alignment horizontal="center" vertical="center" wrapText="1"/>
    </xf>
    <xf numFmtId="0" fontId="102" fillId="25" borderId="36" xfId="87" applyFont="1" applyFill="1" applyBorder="1" applyAlignment="1" applyProtection="1">
      <alignment horizontal="center" vertical="center" wrapText="1"/>
    </xf>
    <xf numFmtId="0" fontId="96" fillId="0" borderId="0" xfId="116" applyFont="1" applyFill="1" applyAlignment="1">
      <alignment vertical="center"/>
    </xf>
    <xf numFmtId="0" fontId="103" fillId="0" borderId="34" xfId="87" applyFont="1" applyFill="1" applyBorder="1" applyAlignment="1" applyProtection="1">
      <alignment horizontal="center" vertical="center"/>
    </xf>
    <xf numFmtId="0" fontId="103" fillId="0" borderId="66" xfId="87" applyFont="1" applyFill="1" applyBorder="1" applyAlignment="1" applyProtection="1">
      <alignment horizontal="center" vertical="center"/>
    </xf>
    <xf numFmtId="0" fontId="103" fillId="0" borderId="65" xfId="87" applyFont="1" applyFill="1" applyBorder="1" applyAlignment="1" applyProtection="1">
      <alignment horizontal="center" vertical="center"/>
    </xf>
    <xf numFmtId="0" fontId="102" fillId="0" borderId="65" xfId="87" applyFont="1" applyFill="1" applyBorder="1" applyAlignment="1" applyProtection="1">
      <alignment horizontal="center" vertical="center"/>
    </xf>
    <xf numFmtId="0" fontId="94" fillId="0" borderId="14" xfId="87" applyFont="1" applyFill="1" applyBorder="1" applyAlignment="1" applyProtection="1">
      <alignment horizontal="left" vertical="center" wrapText="1"/>
    </xf>
    <xf numFmtId="0" fontId="96" fillId="0" borderId="31" xfId="87" applyFont="1" applyFill="1" applyBorder="1" applyAlignment="1" applyProtection="1">
      <alignment horizontal="center" vertical="center"/>
    </xf>
    <xf numFmtId="0" fontId="103" fillId="0" borderId="0" xfId="116" applyFont="1" applyFill="1" applyAlignment="1">
      <alignment horizontal="center" vertical="center"/>
    </xf>
    <xf numFmtId="0" fontId="96" fillId="0" borderId="0" xfId="116" applyFont="1" applyFill="1" applyBorder="1" applyAlignment="1">
      <alignment vertical="center" wrapText="1"/>
    </xf>
    <xf numFmtId="0" fontId="96" fillId="0" borderId="0" xfId="116" applyFont="1" applyFill="1" applyAlignment="1">
      <alignment horizontal="center" vertical="center"/>
    </xf>
    <xf numFmtId="0" fontId="96" fillId="0" borderId="0" xfId="116" applyFont="1" applyFill="1" applyAlignment="1">
      <alignment vertical="center" wrapText="1"/>
    </xf>
    <xf numFmtId="0" fontId="103" fillId="0" borderId="0" xfId="0" applyFont="1"/>
    <xf numFmtId="0" fontId="94" fillId="25" borderId="69" xfId="87" applyFont="1" applyFill="1" applyBorder="1" applyAlignment="1" applyProtection="1">
      <alignment horizontal="left" vertical="center" wrapText="1"/>
    </xf>
    <xf numFmtId="0" fontId="96" fillId="0" borderId="41" xfId="87" applyFont="1" applyFill="1" applyBorder="1" applyAlignment="1" applyProtection="1">
      <alignment horizontal="left" vertical="center" wrapText="1"/>
    </xf>
    <xf numFmtId="0" fontId="94" fillId="0" borderId="97" xfId="87" applyFont="1" applyFill="1" applyBorder="1" applyAlignment="1" applyProtection="1">
      <alignment horizontal="left" vertical="center" wrapText="1"/>
    </xf>
    <xf numFmtId="0" fontId="94" fillId="0" borderId="39" xfId="87" applyFont="1" applyFill="1" applyBorder="1" applyAlignment="1" applyProtection="1">
      <alignment horizontal="left" vertical="center" wrapText="1"/>
    </xf>
    <xf numFmtId="0" fontId="96" fillId="0" borderId="69" xfId="87" applyFont="1" applyFill="1" applyBorder="1" applyAlignment="1" applyProtection="1">
      <alignment horizontal="left" vertical="center" wrapText="1"/>
    </xf>
    <xf numFmtId="0" fontId="96" fillId="0" borderId="32" xfId="87" quotePrefix="1" applyFont="1" applyFill="1" applyBorder="1" applyAlignment="1" applyProtection="1">
      <alignment horizontal="left" vertical="center" wrapText="1"/>
    </xf>
    <xf numFmtId="0" fontId="96" fillId="0" borderId="0" xfId="0" applyFont="1" applyFill="1"/>
    <xf numFmtId="0" fontId="94" fillId="0" borderId="69" xfId="87" applyFont="1" applyFill="1" applyBorder="1" applyAlignment="1" applyProtection="1">
      <alignment horizontal="left" vertical="center" wrapText="1"/>
    </xf>
    <xf numFmtId="0" fontId="94" fillId="25" borderId="75" xfId="87" applyFont="1" applyFill="1" applyBorder="1" applyAlignment="1" applyProtection="1">
      <alignment horizontal="center" vertical="center" wrapText="1"/>
    </xf>
    <xf numFmtId="0" fontId="94" fillId="0" borderId="32" xfId="87" applyFont="1" applyFill="1" applyBorder="1" applyAlignment="1" applyProtection="1">
      <alignment horizontal="left" vertical="center"/>
    </xf>
    <xf numFmtId="0" fontId="96" fillId="0" borderId="32" xfId="87" applyFont="1" applyFill="1" applyBorder="1" applyAlignment="1" applyProtection="1">
      <alignment horizontal="left" vertical="center"/>
    </xf>
    <xf numFmtId="0" fontId="94" fillId="0" borderId="25" xfId="87" applyFont="1" applyFill="1" applyBorder="1" applyAlignment="1" applyProtection="1">
      <alignment horizontal="left" vertical="center"/>
    </xf>
    <xf numFmtId="0" fontId="94" fillId="0" borderId="84" xfId="87" applyFont="1" applyFill="1" applyBorder="1" applyAlignment="1" applyProtection="1">
      <alignment horizontal="left" vertical="center" wrapText="1"/>
    </xf>
    <xf numFmtId="0" fontId="96" fillId="0" borderId="39" xfId="87" applyFont="1" applyFill="1" applyBorder="1" applyAlignment="1" applyProtection="1">
      <alignment horizontal="left" vertical="center" wrapText="1"/>
    </xf>
    <xf numFmtId="0" fontId="96" fillId="0" borderId="36" xfId="87" applyFont="1" applyFill="1" applyBorder="1" applyAlignment="1" applyProtection="1">
      <alignment horizontal="center" vertical="center"/>
    </xf>
    <xf numFmtId="0" fontId="94" fillId="0" borderId="36" xfId="87" applyFont="1" applyFill="1" applyBorder="1" applyAlignment="1" applyProtection="1">
      <alignment horizontal="center" vertical="center" wrapText="1"/>
    </xf>
    <xf numFmtId="0" fontId="94" fillId="0" borderId="22" xfId="87" applyFont="1" applyFill="1" applyBorder="1" applyAlignment="1" applyProtection="1">
      <alignment horizontal="left" vertical="center" wrapText="1"/>
    </xf>
    <xf numFmtId="0" fontId="104" fillId="0" borderId="0" xfId="116" applyFont="1" applyFill="1" applyBorder="1" applyAlignment="1">
      <alignment vertical="center" wrapText="1"/>
    </xf>
    <xf numFmtId="0" fontId="102" fillId="46" borderId="64" xfId="87" applyFont="1" applyFill="1" applyBorder="1" applyAlignment="1" applyProtection="1">
      <alignment horizontal="center" vertical="center"/>
    </xf>
    <xf numFmtId="0" fontId="94" fillId="25" borderId="71" xfId="87" applyFont="1" applyFill="1" applyBorder="1" applyAlignment="1" applyProtection="1">
      <alignment horizontal="center" vertical="center" wrapText="1"/>
    </xf>
    <xf numFmtId="0" fontId="96" fillId="0" borderId="71" xfId="87" applyFont="1" applyFill="1" applyBorder="1" applyAlignment="1" applyProtection="1">
      <alignment horizontal="center" vertical="center" wrapText="1"/>
    </xf>
    <xf numFmtId="0" fontId="96" fillId="0" borderId="25" xfId="87" applyFont="1" applyFill="1" applyBorder="1" applyAlignment="1" applyProtection="1">
      <alignment horizontal="center" vertical="center" wrapText="1"/>
    </xf>
    <xf numFmtId="0" fontId="94" fillId="0" borderId="71" xfId="87" applyFont="1" applyFill="1" applyBorder="1" applyAlignment="1" applyProtection="1">
      <alignment horizontal="center" vertical="center" wrapText="1"/>
    </xf>
    <xf numFmtId="0" fontId="96" fillId="0" borderId="25" xfId="87" applyFont="1" applyFill="1" applyBorder="1" applyAlignment="1" applyProtection="1">
      <alignment horizontal="center" vertical="center"/>
    </xf>
    <xf numFmtId="0" fontId="96" fillId="0" borderId="25" xfId="87" applyFont="1" applyFill="1" applyBorder="1" applyAlignment="1">
      <alignment horizontal="center" vertical="center"/>
    </xf>
    <xf numFmtId="0" fontId="96" fillId="0" borderId="41" xfId="87" applyFont="1" applyFill="1" applyBorder="1" applyAlignment="1" applyProtection="1">
      <alignment horizontal="center" vertical="center"/>
    </xf>
    <xf numFmtId="0" fontId="94" fillId="0" borderId="41" xfId="87" applyFont="1" applyFill="1" applyBorder="1" applyAlignment="1" applyProtection="1">
      <alignment horizontal="center" vertical="center" wrapText="1"/>
    </xf>
    <xf numFmtId="0" fontId="94" fillId="0" borderId="25" xfId="87" applyFont="1" applyFill="1" applyBorder="1" applyAlignment="1" applyProtection="1">
      <alignment horizontal="center" vertical="center"/>
    </xf>
    <xf numFmtId="0" fontId="94" fillId="0" borderId="24" xfId="87" applyFont="1" applyFill="1" applyBorder="1" applyAlignment="1" applyProtection="1">
      <alignment horizontal="center" vertical="center" wrapText="1"/>
    </xf>
    <xf numFmtId="1" fontId="102" fillId="46" borderId="98" xfId="116" applyNumberFormat="1" applyFont="1" applyFill="1" applyBorder="1" applyAlignment="1">
      <alignment horizontal="center" vertical="center"/>
    </xf>
    <xf numFmtId="0" fontId="96" fillId="0" borderId="19" xfId="87" applyFont="1" applyFill="1" applyBorder="1" applyAlignment="1" applyProtection="1">
      <alignment horizontal="center" vertical="center" wrapText="1"/>
    </xf>
    <xf numFmtId="0" fontId="96" fillId="0" borderId="36" xfId="87" applyFont="1" applyFill="1" applyBorder="1" applyAlignment="1" applyProtection="1">
      <alignment horizontal="center" vertical="center" wrapText="1"/>
    </xf>
    <xf numFmtId="0" fontId="94" fillId="0" borderId="19" xfId="87" applyFont="1" applyFill="1" applyBorder="1" applyAlignment="1" applyProtection="1">
      <alignment horizontal="center" vertical="center" wrapText="1"/>
    </xf>
    <xf numFmtId="0" fontId="96" fillId="0" borderId="36" xfId="87" applyFont="1" applyFill="1" applyBorder="1" applyAlignment="1">
      <alignment horizontal="center" vertical="center"/>
    </xf>
    <xf numFmtId="0" fontId="94" fillId="0" borderId="36" xfId="87" applyFont="1" applyFill="1" applyBorder="1" applyAlignment="1" applyProtection="1">
      <alignment horizontal="center" vertical="center"/>
    </xf>
    <xf numFmtId="0" fontId="94" fillId="0" borderId="81" xfId="87" applyFont="1" applyFill="1" applyBorder="1" applyAlignment="1" applyProtection="1">
      <alignment horizontal="center" vertical="center" wrapText="1"/>
    </xf>
    <xf numFmtId="0" fontId="96" fillId="0" borderId="0" xfId="0" applyFont="1" applyBorder="1"/>
    <xf numFmtId="0" fontId="102" fillId="46" borderId="93" xfId="87" applyFont="1" applyFill="1" applyBorder="1" applyAlignment="1" applyProtection="1">
      <alignment horizontal="center" vertical="center"/>
    </xf>
    <xf numFmtId="0" fontId="96" fillId="0" borderId="75" xfId="87" applyFont="1" applyFill="1" applyBorder="1" applyAlignment="1" applyProtection="1">
      <alignment horizontal="center" vertical="center" wrapText="1"/>
    </xf>
    <xf numFmtId="0" fontId="96" fillId="0" borderId="34" xfId="87" applyFont="1" applyFill="1" applyBorder="1" applyAlignment="1" applyProtection="1">
      <alignment horizontal="center" vertical="center" wrapText="1"/>
    </xf>
    <xf numFmtId="0" fontId="94" fillId="0" borderId="75" xfId="87" applyFont="1" applyFill="1" applyBorder="1" applyAlignment="1" applyProtection="1">
      <alignment horizontal="center" vertical="center" wrapText="1"/>
    </xf>
    <xf numFmtId="0" fontId="96" fillId="0" borderId="34" xfId="87" applyFont="1" applyFill="1" applyBorder="1" applyAlignment="1" applyProtection="1">
      <alignment horizontal="center" vertical="center"/>
    </xf>
    <xf numFmtId="0" fontId="96" fillId="0" borderId="34" xfId="87" applyFont="1" applyFill="1" applyBorder="1" applyAlignment="1">
      <alignment horizontal="center" vertical="center"/>
    </xf>
    <xf numFmtId="0" fontId="94" fillId="0" borderId="34" xfId="87" applyFont="1" applyFill="1" applyBorder="1" applyAlignment="1" applyProtection="1">
      <alignment horizontal="center" vertical="center" wrapText="1"/>
    </xf>
    <xf numFmtId="0" fontId="94" fillId="0" borderId="34" xfId="87" applyFont="1" applyFill="1" applyBorder="1" applyAlignment="1" applyProtection="1">
      <alignment horizontal="center" vertical="center"/>
    </xf>
    <xf numFmtId="0" fontId="94" fillId="0" borderId="82" xfId="87" applyFont="1" applyFill="1" applyBorder="1" applyAlignment="1" applyProtection="1">
      <alignment horizontal="center" vertical="center" wrapText="1"/>
    </xf>
    <xf numFmtId="1" fontId="102" fillId="46" borderId="35" xfId="116" applyNumberFormat="1" applyFont="1" applyFill="1" applyBorder="1" applyAlignment="1">
      <alignment horizontal="center" vertical="center"/>
    </xf>
    <xf numFmtId="0" fontId="102" fillId="46" borderId="35" xfId="87" applyFont="1" applyFill="1" applyBorder="1" applyAlignment="1" applyProtection="1">
      <alignment horizontal="center" vertical="center"/>
    </xf>
    <xf numFmtId="0" fontId="102" fillId="46" borderId="98" xfId="87" applyFont="1" applyFill="1" applyBorder="1" applyAlignment="1" applyProtection="1">
      <alignment horizontal="center" vertical="center"/>
    </xf>
    <xf numFmtId="0" fontId="94" fillId="25" borderId="84" xfId="87" applyFont="1" applyFill="1" applyBorder="1" applyAlignment="1" applyProtection="1">
      <alignment horizontal="center" vertical="center" wrapText="1"/>
    </xf>
    <xf numFmtId="0" fontId="96" fillId="0" borderId="84" xfId="87" applyFont="1" applyFill="1" applyBorder="1" applyAlignment="1" applyProtection="1">
      <alignment horizontal="center" vertical="center" wrapText="1"/>
    </xf>
    <xf numFmtId="0" fontId="96" fillId="0" borderId="41" xfId="87" applyFont="1" applyFill="1" applyBorder="1" applyAlignment="1" applyProtection="1">
      <alignment horizontal="center" vertical="center" wrapText="1"/>
    </xf>
    <xf numFmtId="0" fontId="94" fillId="0" borderId="84" xfId="87" applyFont="1" applyFill="1" applyBorder="1" applyAlignment="1" applyProtection="1">
      <alignment horizontal="center" vertical="center" wrapText="1"/>
    </xf>
    <xf numFmtId="0" fontId="96" fillId="0" borderId="41" xfId="87" applyFont="1" applyFill="1" applyBorder="1" applyAlignment="1">
      <alignment horizontal="center" vertical="center"/>
    </xf>
    <xf numFmtId="0" fontId="94" fillId="0" borderId="41" xfId="87" applyFont="1" applyFill="1" applyBorder="1" applyAlignment="1" applyProtection="1">
      <alignment horizontal="center" vertical="center"/>
    </xf>
    <xf numFmtId="0" fontId="94" fillId="0" borderId="99" xfId="87" applyFont="1" applyFill="1" applyBorder="1" applyAlignment="1" applyProtection="1">
      <alignment horizontal="center" vertical="center" wrapText="1"/>
    </xf>
    <xf numFmtId="1" fontId="102" fillId="46" borderId="37" xfId="116" applyNumberFormat="1" applyFont="1" applyFill="1" applyBorder="1" applyAlignment="1">
      <alignment horizontal="center" vertical="center"/>
    </xf>
    <xf numFmtId="0" fontId="102" fillId="46" borderId="37" xfId="87" applyFont="1" applyFill="1" applyBorder="1" applyAlignment="1" applyProtection="1">
      <alignment horizontal="center" vertical="center"/>
    </xf>
    <xf numFmtId="0" fontId="96" fillId="0" borderId="15" xfId="0" applyFont="1" applyBorder="1"/>
    <xf numFmtId="0" fontId="94" fillId="0" borderId="0" xfId="0" applyFont="1" applyBorder="1"/>
    <xf numFmtId="176" fontId="96" fillId="0" borderId="0" xfId="45" applyNumberFormat="1" applyFont="1" applyBorder="1"/>
    <xf numFmtId="0" fontId="96" fillId="0" borderId="67" xfId="87" applyFont="1" applyFill="1" applyBorder="1" applyAlignment="1">
      <alignment horizontal="center" vertical="center" wrapText="1"/>
    </xf>
    <xf numFmtId="0" fontId="94" fillId="0" borderId="36" xfId="87" applyFont="1" applyFill="1" applyBorder="1" applyAlignment="1">
      <alignment horizontal="center" vertical="center" wrapText="1"/>
    </xf>
    <xf numFmtId="0" fontId="94" fillId="0" borderId="32" xfId="87" applyFont="1" applyFill="1" applyBorder="1" applyAlignment="1">
      <alignment horizontal="left" vertical="center" wrapText="1"/>
    </xf>
    <xf numFmtId="0" fontId="96" fillId="0" borderId="26" xfId="87" applyFont="1" applyFill="1" applyBorder="1" applyAlignment="1">
      <alignment horizontal="center" vertical="center" wrapText="1"/>
    </xf>
    <xf numFmtId="0" fontId="94" fillId="0" borderId="0" xfId="116" applyFont="1" applyFill="1" applyAlignment="1">
      <alignment vertical="center"/>
    </xf>
    <xf numFmtId="176" fontId="94" fillId="0" borderId="0" xfId="45" applyNumberFormat="1" applyFont="1" applyFill="1" applyAlignment="1">
      <alignment vertical="center"/>
    </xf>
    <xf numFmtId="165" fontId="96" fillId="0" borderId="0" xfId="116" applyNumberFormat="1" applyFont="1" applyAlignment="1">
      <alignment vertical="center"/>
    </xf>
    <xf numFmtId="43" fontId="7" fillId="0" borderId="0" xfId="45" applyFont="1" applyFill="1" applyBorder="1" applyAlignment="1" applyProtection="1">
      <alignment horizontal="right" vertical="center"/>
    </xf>
    <xf numFmtId="43" fontId="94" fillId="0" borderId="0" xfId="45" applyFont="1" applyAlignment="1">
      <alignment vertical="center"/>
    </xf>
    <xf numFmtId="43" fontId="101" fillId="0" borderId="0" xfId="45" applyFont="1" applyAlignment="1">
      <alignment vertical="center"/>
    </xf>
    <xf numFmtId="43" fontId="94" fillId="0" borderId="0" xfId="45" applyFont="1" applyBorder="1"/>
    <xf numFmtId="43" fontId="94" fillId="0" borderId="0" xfId="45" applyFont="1"/>
    <xf numFmtId="165" fontId="0" fillId="0" borderId="0" xfId="0" applyNumberFormat="1"/>
    <xf numFmtId="0" fontId="63" fillId="0" borderId="36" xfId="96" applyFont="1" applyBorder="1" applyAlignment="1">
      <alignment wrapText="1"/>
    </xf>
    <xf numFmtId="0" fontId="1" fillId="0" borderId="0" xfId="92" applyFont="1" applyAlignment="1">
      <alignment vertical="center"/>
    </xf>
    <xf numFmtId="0" fontId="105" fillId="0" borderId="0" xfId="92" applyFont="1"/>
    <xf numFmtId="4" fontId="105" fillId="0" borderId="0" xfId="92" applyNumberFormat="1" applyFont="1"/>
    <xf numFmtId="0" fontId="106" fillId="0" borderId="0" xfId="92" applyFont="1"/>
    <xf numFmtId="0" fontId="107" fillId="29" borderId="36" xfId="92" applyFont="1" applyFill="1" applyBorder="1"/>
    <xf numFmtId="4" fontId="107" fillId="29" borderId="36" xfId="92" applyNumberFormat="1" applyFont="1" applyFill="1" applyBorder="1" applyAlignment="1">
      <alignment horizontal="center"/>
    </xf>
    <xf numFmtId="4" fontId="106" fillId="0" borderId="0" xfId="92" applyNumberFormat="1" applyFont="1"/>
    <xf numFmtId="0" fontId="106" fillId="0" borderId="41" xfId="92" applyFont="1" applyBorder="1" applyAlignment="1">
      <alignment horizontal="center" vertical="center"/>
    </xf>
    <xf numFmtId="49" fontId="70" fillId="0" borderId="36" xfId="92" applyNumberFormat="1" applyFont="1" applyBorder="1" applyAlignment="1">
      <alignment horizontal="left"/>
    </xf>
    <xf numFmtId="4" fontId="106" fillId="0" borderId="36" xfId="92" applyNumberFormat="1" applyFont="1" applyBorder="1"/>
    <xf numFmtId="49" fontId="70" fillId="0" borderId="0" xfId="92" applyNumberFormat="1" applyFont="1" applyAlignment="1">
      <alignment horizontal="right"/>
    </xf>
    <xf numFmtId="49" fontId="70" fillId="29" borderId="36" xfId="92" applyNumberFormat="1" applyFont="1" applyFill="1" applyBorder="1" applyAlignment="1">
      <alignment horizontal="right"/>
    </xf>
    <xf numFmtId="4" fontId="106" fillId="29" borderId="36" xfId="92" applyNumberFormat="1" applyFont="1" applyFill="1" applyBorder="1"/>
    <xf numFmtId="49" fontId="70" fillId="0" borderId="36" xfId="92" applyNumberFormat="1" applyFont="1" applyBorder="1" applyAlignment="1">
      <alignment horizontal="right"/>
    </xf>
    <xf numFmtId="0" fontId="107" fillId="41" borderId="36" xfId="92" applyFont="1" applyFill="1" applyBorder="1"/>
    <xf numFmtId="4" fontId="107" fillId="41" borderId="36" xfId="92" applyNumberFormat="1" applyFont="1" applyFill="1" applyBorder="1" applyAlignment="1">
      <alignment horizontal="center" vertical="center"/>
    </xf>
    <xf numFmtId="0" fontId="106" fillId="0" borderId="36" xfId="92" applyFont="1" applyBorder="1" applyAlignment="1">
      <alignment horizontal="center" vertical="center"/>
    </xf>
    <xf numFmtId="49" fontId="70" fillId="41" borderId="36" xfId="92" applyNumberFormat="1" applyFont="1" applyFill="1" applyBorder="1" applyAlignment="1">
      <alignment horizontal="right"/>
    </xf>
    <xf numFmtId="4" fontId="106" fillId="41" borderId="36" xfId="92" applyNumberFormat="1" applyFont="1" applyFill="1" applyBorder="1"/>
    <xf numFmtId="49" fontId="108" fillId="0" borderId="0" xfId="92" applyNumberFormat="1" applyFont="1" applyAlignment="1">
      <alignment horizontal="left"/>
    </xf>
    <xf numFmtId="0" fontId="1" fillId="29" borderId="0" xfId="94" applyFont="1" applyFill="1" applyAlignment="1">
      <alignment vertical="center"/>
    </xf>
    <xf numFmtId="0" fontId="105" fillId="29" borderId="0" xfId="94" applyFont="1" applyFill="1"/>
    <xf numFmtId="0" fontId="86" fillId="0" borderId="0" xfId="94"/>
    <xf numFmtId="0" fontId="88" fillId="0" borderId="0" xfId="94" applyFont="1"/>
    <xf numFmtId="0" fontId="86" fillId="47" borderId="36" xfId="94" applyFill="1" applyBorder="1" applyAlignment="1">
      <alignment horizontal="center" vertical="center"/>
    </xf>
    <xf numFmtId="0" fontId="86" fillId="47" borderId="36" xfId="94" applyFill="1" applyBorder="1" applyAlignment="1">
      <alignment horizontal="center" wrapText="1"/>
    </xf>
    <xf numFmtId="0" fontId="86" fillId="47" borderId="36" xfId="94" applyFill="1" applyBorder="1" applyAlignment="1">
      <alignment horizontal="center" vertical="center" wrapText="1"/>
    </xf>
    <xf numFmtId="0" fontId="86" fillId="0" borderId="36" xfId="94" applyBorder="1" applyAlignment="1">
      <alignment horizontal="center"/>
    </xf>
    <xf numFmtId="0" fontId="86" fillId="0" borderId="36" xfId="94" applyBorder="1"/>
    <xf numFmtId="0" fontId="86" fillId="0" borderId="36" xfId="94" applyBorder="1" applyAlignment="1">
      <alignment wrapText="1"/>
    </xf>
    <xf numFmtId="43" fontId="0" fillId="0" borderId="36" xfId="65" applyFont="1" applyBorder="1"/>
    <xf numFmtId="0" fontId="88" fillId="0" borderId="0" xfId="94" applyFont="1" applyAlignment="1">
      <alignment horizontal="right"/>
    </xf>
    <xf numFmtId="43" fontId="88" fillId="0" borderId="36" xfId="65" applyFont="1" applyBorder="1"/>
    <xf numFmtId="14" fontId="86" fillId="0" borderId="36" xfId="94" applyNumberFormat="1" applyBorder="1"/>
    <xf numFmtId="43" fontId="86" fillId="0" borderId="0" xfId="94" applyNumberFormat="1"/>
    <xf numFmtId="43" fontId="88" fillId="0" borderId="0" xfId="94" applyNumberFormat="1" applyFont="1"/>
    <xf numFmtId="0" fontId="109" fillId="0" borderId="0" xfId="94" applyFont="1"/>
    <xf numFmtId="0" fontId="109" fillId="0" borderId="0" xfId="94" applyFont="1" applyAlignment="1">
      <alignment horizontal="right"/>
    </xf>
    <xf numFmtId="43" fontId="109" fillId="0" borderId="36" xfId="65" applyFont="1" applyBorder="1"/>
    <xf numFmtId="0" fontId="110" fillId="0" borderId="0" xfId="94" applyFont="1"/>
    <xf numFmtId="43" fontId="110" fillId="0" borderId="0" xfId="94" applyNumberFormat="1" applyFont="1"/>
    <xf numFmtId="0" fontId="110" fillId="47" borderId="36" xfId="94" applyFont="1" applyFill="1" applyBorder="1" applyAlignment="1">
      <alignment horizontal="center" vertical="center"/>
    </xf>
    <xf numFmtId="0" fontId="110" fillId="0" borderId="36" xfId="94" applyFont="1" applyBorder="1"/>
    <xf numFmtId="43" fontId="110" fillId="0" borderId="36" xfId="65" applyFont="1" applyBorder="1"/>
    <xf numFmtId="0" fontId="110" fillId="29" borderId="0" xfId="94" applyFont="1" applyFill="1"/>
    <xf numFmtId="43" fontId="110" fillId="29" borderId="42" xfId="65" applyFont="1" applyFill="1" applyBorder="1"/>
    <xf numFmtId="0" fontId="86" fillId="0" borderId="0" xfId="94" applyAlignment="1">
      <alignment horizontal="center"/>
    </xf>
    <xf numFmtId="0" fontId="87" fillId="0" borderId="0" xfId="94" applyFont="1"/>
    <xf numFmtId="43" fontId="96" fillId="0" borderId="70" xfId="45" applyFont="1" applyFill="1" applyBorder="1" applyAlignment="1" applyProtection="1">
      <alignment horizontal="right" vertical="center" wrapText="1"/>
    </xf>
    <xf numFmtId="43" fontId="96" fillId="31" borderId="67" xfId="45" applyFont="1" applyFill="1" applyBorder="1" applyAlignment="1" applyProtection="1">
      <alignment horizontal="right" vertical="center" wrapText="1"/>
    </xf>
    <xf numFmtId="43" fontId="94" fillId="25" borderId="70" xfId="45" applyFont="1" applyFill="1" applyBorder="1" applyAlignment="1" applyProtection="1">
      <alignment horizontal="right" vertical="center" wrapText="1"/>
    </xf>
    <xf numFmtId="43" fontId="96" fillId="0" borderId="67" xfId="45" applyFont="1" applyFill="1" applyBorder="1" applyAlignment="1">
      <alignment horizontal="right" vertical="center"/>
    </xf>
    <xf numFmtId="43" fontId="96" fillId="32" borderId="67" xfId="45" applyFont="1" applyFill="1" applyBorder="1" applyAlignment="1" applyProtection="1">
      <alignment horizontal="right" vertical="center" wrapText="1"/>
    </xf>
    <xf numFmtId="43" fontId="94" fillId="42" borderId="67" xfId="45" applyFont="1" applyFill="1" applyBorder="1" applyAlignment="1" applyProtection="1">
      <alignment horizontal="right" vertical="center" wrapText="1"/>
    </xf>
    <xf numFmtId="0" fontId="94" fillId="46" borderId="80" xfId="87" applyFont="1" applyFill="1" applyBorder="1" applyAlignment="1">
      <alignment horizontal="center" vertical="center"/>
    </xf>
    <xf numFmtId="0" fontId="94" fillId="46" borderId="24" xfId="87" applyFont="1" applyFill="1" applyBorder="1" applyAlignment="1">
      <alignment horizontal="center" vertical="center" wrapText="1"/>
    </xf>
    <xf numFmtId="1" fontId="94" fillId="46" borderId="64" xfId="116" applyNumberFormat="1" applyFont="1" applyFill="1" applyBorder="1" applyAlignment="1">
      <alignment vertical="center"/>
    </xf>
    <xf numFmtId="1" fontId="94" fillId="46" borderId="92" xfId="116" applyNumberFormat="1" applyFont="1" applyFill="1" applyBorder="1" applyAlignment="1">
      <alignment vertical="center"/>
    </xf>
    <xf numFmtId="1" fontId="94" fillId="46" borderId="93" xfId="116" applyNumberFormat="1" applyFont="1" applyFill="1" applyBorder="1" applyAlignment="1">
      <alignment vertical="center"/>
    </xf>
    <xf numFmtId="0" fontId="94" fillId="46" borderId="64" xfId="87" applyFont="1" applyFill="1" applyBorder="1" applyAlignment="1">
      <alignment vertical="center" wrapText="1"/>
    </xf>
    <xf numFmtId="43" fontId="63" fillId="0" borderId="100" xfId="45" applyFont="1" applyBorder="1" applyAlignment="1">
      <alignment horizontal="center" vertical="center" wrapText="1"/>
    </xf>
    <xf numFmtId="43" fontId="63" fillId="0" borderId="98" xfId="45" applyFont="1" applyBorder="1" applyAlignment="1">
      <alignment horizontal="center" vertical="center" wrapText="1"/>
    </xf>
    <xf numFmtId="43" fontId="63" fillId="0" borderId="65" xfId="45" applyFont="1" applyBorder="1" applyAlignment="1">
      <alignment horizontal="center" vertical="center" wrapText="1"/>
    </xf>
    <xf numFmtId="43" fontId="96" fillId="0" borderId="70" xfId="45" applyFont="1" applyFill="1" applyBorder="1" applyAlignment="1" applyProtection="1">
      <alignment horizontal="right" vertical="center"/>
    </xf>
    <xf numFmtId="43" fontId="96" fillId="0" borderId="83" xfId="45" applyFont="1" applyFill="1" applyBorder="1" applyAlignment="1" applyProtection="1">
      <alignment horizontal="right" vertical="center" wrapText="1"/>
    </xf>
    <xf numFmtId="43" fontId="96" fillId="36" borderId="67" xfId="45" applyFont="1" applyFill="1" applyBorder="1" applyAlignment="1" applyProtection="1">
      <alignment horizontal="right" vertical="center" wrapText="1"/>
    </xf>
    <xf numFmtId="43" fontId="96" fillId="36" borderId="70" xfId="45" applyFont="1" applyFill="1" applyBorder="1" applyAlignment="1" applyProtection="1">
      <alignment horizontal="right" vertical="center" wrapText="1"/>
    </xf>
    <xf numFmtId="43" fontId="96" fillId="35" borderId="67" xfId="45" applyFont="1" applyFill="1" applyBorder="1" applyAlignment="1" applyProtection="1">
      <alignment horizontal="right" vertical="center"/>
    </xf>
    <xf numFmtId="43" fontId="96" fillId="32" borderId="67" xfId="45" applyFont="1" applyFill="1" applyBorder="1" applyAlignment="1" applyProtection="1">
      <alignment horizontal="right" vertical="center"/>
    </xf>
    <xf numFmtId="0" fontId="96" fillId="0" borderId="36" xfId="87" applyFont="1" applyFill="1" applyBorder="1" applyAlignment="1">
      <alignment horizontal="center" vertical="center" wrapText="1"/>
    </xf>
    <xf numFmtId="0" fontId="94" fillId="0" borderId="41" xfId="87" applyFont="1" applyFill="1" applyBorder="1" applyAlignment="1">
      <alignment horizontal="left" vertical="center" wrapText="1"/>
    </xf>
    <xf numFmtId="43" fontId="96" fillId="41" borderId="67" xfId="45" applyFont="1" applyFill="1" applyBorder="1" applyAlignment="1" applyProtection="1">
      <alignment horizontal="right" vertical="center"/>
    </xf>
    <xf numFmtId="3" fontId="62" fillId="0" borderId="88" xfId="96" applyNumberFormat="1" applyFont="1" applyBorder="1" applyAlignment="1">
      <alignment vertical="center" wrapText="1"/>
    </xf>
    <xf numFmtId="3" fontId="63" fillId="0" borderId="88" xfId="96" applyNumberFormat="1" applyFont="1" applyBorder="1" applyAlignment="1">
      <alignment vertical="center" wrapText="1"/>
    </xf>
    <xf numFmtId="3" fontId="62" fillId="0" borderId="89" xfId="96" applyNumberFormat="1" applyFont="1" applyBorder="1" applyAlignment="1">
      <alignment vertical="center" wrapText="1"/>
    </xf>
    <xf numFmtId="3" fontId="62" fillId="0" borderId="33" xfId="96" applyNumberFormat="1" applyFont="1" applyBorder="1" applyAlignment="1">
      <alignment horizontal="right" vertical="center" wrapText="1"/>
    </xf>
    <xf numFmtId="165" fontId="4" fillId="0" borderId="0" xfId="0" applyNumberFormat="1" applyFont="1" applyFill="1" applyAlignment="1">
      <alignment vertical="center" wrapText="1"/>
    </xf>
    <xf numFmtId="43" fontId="62" fillId="0" borderId="0" xfId="45" applyFont="1" applyAlignment="1">
      <alignment vertical="center" wrapText="1"/>
    </xf>
    <xf numFmtId="165" fontId="96" fillId="0" borderId="15" xfId="0" applyNumberFormat="1" applyFont="1" applyBorder="1"/>
    <xf numFmtId="176" fontId="62" fillId="0" borderId="0" xfId="96" applyNumberFormat="1" applyFont="1" applyAlignment="1">
      <alignment vertical="center" wrapText="1"/>
    </xf>
    <xf numFmtId="165" fontId="62" fillId="0" borderId="0" xfId="96" applyNumberFormat="1" applyFont="1" applyAlignment="1">
      <alignment horizontal="right" vertical="center" wrapText="1"/>
    </xf>
    <xf numFmtId="43" fontId="0" fillId="0" borderId="0" xfId="0" applyNumberFormat="1"/>
    <xf numFmtId="43" fontId="96" fillId="29" borderId="36" xfId="45" applyFont="1" applyFill="1" applyBorder="1" applyAlignment="1" applyProtection="1">
      <alignment horizontal="right" vertical="center" wrapText="1"/>
    </xf>
    <xf numFmtId="43" fontId="96" fillId="29" borderId="36" xfId="45" applyFont="1" applyFill="1" applyBorder="1" applyAlignment="1">
      <alignment horizontal="right" vertical="center"/>
    </xf>
    <xf numFmtId="43" fontId="96" fillId="29" borderId="36" xfId="45" applyFont="1" applyFill="1" applyBorder="1" applyAlignment="1" applyProtection="1">
      <alignment horizontal="right" vertical="center"/>
    </xf>
    <xf numFmtId="0" fontId="96" fillId="0" borderId="0" xfId="0" applyFont="1" applyAlignment="1">
      <alignment horizontal="right"/>
    </xf>
    <xf numFmtId="43" fontId="94" fillId="29" borderId="0" xfId="45" applyFont="1" applyFill="1" applyAlignment="1">
      <alignment vertical="center"/>
    </xf>
    <xf numFmtId="43" fontId="94" fillId="29" borderId="0" xfId="45" applyFont="1" applyFill="1" applyBorder="1" applyAlignment="1">
      <alignment horizontal="center" vertical="center" wrapText="1"/>
    </xf>
    <xf numFmtId="43" fontId="96" fillId="29" borderId="0" xfId="45" applyFont="1" applyFill="1" applyBorder="1" applyAlignment="1">
      <alignment horizontal="center" vertical="center" wrapText="1"/>
    </xf>
    <xf numFmtId="43" fontId="96" fillId="29" borderId="0" xfId="45" applyFont="1" applyFill="1" applyAlignment="1">
      <alignment vertical="center"/>
    </xf>
    <xf numFmtId="43" fontId="99" fillId="29" borderId="0" xfId="45" applyFont="1" applyFill="1" applyBorder="1" applyAlignment="1">
      <alignment horizontal="center" vertical="center" wrapText="1"/>
    </xf>
    <xf numFmtId="43" fontId="96" fillId="29" borderId="0" xfId="45" applyFont="1" applyFill="1" applyBorder="1" applyAlignment="1">
      <alignment horizontal="center" vertical="center"/>
    </xf>
    <xf numFmtId="43" fontId="96" fillId="29" borderId="0" xfId="45" applyFont="1" applyFill="1" applyBorder="1"/>
    <xf numFmtId="43" fontId="99" fillId="29" borderId="0" xfId="45" applyFont="1" applyFill="1" applyBorder="1" applyAlignment="1">
      <alignment horizontal="center" vertical="center"/>
    </xf>
    <xf numFmtId="43" fontId="96" fillId="0" borderId="0" xfId="45" applyFont="1" applyAlignment="1">
      <alignment horizontal="right"/>
    </xf>
    <xf numFmtId="176" fontId="62" fillId="48" borderId="18" xfId="45" applyNumberFormat="1" applyFont="1" applyFill="1" applyBorder="1" applyAlignment="1">
      <alignment vertical="center" wrapText="1"/>
    </xf>
    <xf numFmtId="0" fontId="62" fillId="48" borderId="17" xfId="96" applyFont="1" applyFill="1" applyBorder="1" applyAlignment="1">
      <alignment vertical="center" wrapText="1"/>
    </xf>
    <xf numFmtId="176" fontId="62" fillId="48" borderId="21" xfId="45" applyNumberFormat="1" applyFont="1" applyFill="1" applyBorder="1" applyAlignment="1">
      <alignment vertical="center" wrapText="1"/>
    </xf>
    <xf numFmtId="0" fontId="62" fillId="48" borderId="20" xfId="96" applyFont="1" applyFill="1" applyBorder="1" applyAlignment="1">
      <alignment vertical="center" wrapText="1"/>
    </xf>
    <xf numFmtId="176" fontId="62" fillId="48" borderId="24" xfId="45" applyNumberFormat="1" applyFont="1" applyFill="1" applyBorder="1" applyAlignment="1">
      <alignment vertical="center" wrapText="1"/>
    </xf>
    <xf numFmtId="0" fontId="62" fillId="48" borderId="23" xfId="96" applyFont="1" applyFill="1" applyBorder="1" applyAlignment="1">
      <alignment vertical="center" wrapText="1"/>
    </xf>
    <xf numFmtId="0" fontId="4" fillId="0" borderId="0" xfId="96" applyFont="1" applyAlignment="1">
      <alignment vertical="center"/>
    </xf>
    <xf numFmtId="20" fontId="4" fillId="0" borderId="0" xfId="96" applyNumberFormat="1" applyFont="1" applyAlignment="1">
      <alignment horizontal="center" vertical="center"/>
    </xf>
    <xf numFmtId="0" fontId="2" fillId="0" borderId="0" xfId="96" applyFont="1" applyAlignment="1">
      <alignment vertical="center"/>
    </xf>
    <xf numFmtId="0" fontId="6" fillId="0" borderId="0" xfId="96" applyFont="1" applyAlignment="1">
      <alignment horizontal="right" vertical="center"/>
    </xf>
    <xf numFmtId="43" fontId="6" fillId="0" borderId="0" xfId="45" applyFont="1" applyBorder="1" applyAlignment="1">
      <alignment horizontal="right" vertical="center"/>
    </xf>
    <xf numFmtId="43" fontId="6" fillId="0" borderId="0" xfId="45" applyFont="1" applyBorder="1" applyAlignment="1">
      <alignment horizontal="center" vertical="center"/>
    </xf>
    <xf numFmtId="43" fontId="7" fillId="0" borderId="0" xfId="45" applyFont="1" applyBorder="1" applyAlignment="1">
      <alignment horizontal="center" vertical="center"/>
    </xf>
    <xf numFmtId="3" fontId="7" fillId="0" borderId="0" xfId="96" applyNumberFormat="1" applyFont="1" applyAlignment="1">
      <alignment horizontal="center" vertical="center"/>
    </xf>
    <xf numFmtId="3" fontId="6" fillId="0" borderId="39" xfId="48" quotePrefix="1" applyNumberFormat="1" applyFont="1" applyFill="1" applyBorder="1" applyAlignment="1" applyProtection="1">
      <alignment horizontal="center" vertical="center" wrapText="1"/>
    </xf>
    <xf numFmtId="0" fontId="2" fillId="0" borderId="21" xfId="96" applyFont="1" applyBorder="1" applyAlignment="1">
      <alignment horizontal="center" vertical="center" wrapText="1"/>
    </xf>
    <xf numFmtId="0" fontId="2" fillId="0" borderId="0" xfId="96" applyFont="1" applyAlignment="1">
      <alignment horizontal="center" vertical="center" wrapText="1"/>
    </xf>
    <xf numFmtId="174" fontId="2" fillId="0" borderId="11" xfId="138" applyFont="1" applyBorder="1" applyAlignment="1">
      <alignment horizontal="left" vertical="center"/>
    </xf>
    <xf numFmtId="166" fontId="6" fillId="0" borderId="11" xfId="96" applyNumberFormat="1" applyFont="1" applyBorder="1" applyAlignment="1">
      <alignment horizontal="right" vertical="center" wrapText="1"/>
    </xf>
    <xf numFmtId="166" fontId="6" fillId="0" borderId="0" xfId="96" applyNumberFormat="1" applyFont="1" applyAlignment="1">
      <alignment horizontal="right" vertical="center" wrapText="1"/>
    </xf>
    <xf numFmtId="43" fontId="6" fillId="0" borderId="73" xfId="45" applyFont="1" applyBorder="1" applyAlignment="1" applyProtection="1">
      <alignment horizontal="right" vertical="center" wrapText="1"/>
    </xf>
    <xf numFmtId="10" fontId="6" fillId="0" borderId="101" xfId="123" applyNumberFormat="1" applyFont="1" applyBorder="1" applyAlignment="1" applyProtection="1">
      <alignment horizontal="right" vertical="center" wrapText="1"/>
    </xf>
    <xf numFmtId="43" fontId="7" fillId="0" borderId="21" xfId="45" applyFont="1" applyBorder="1" applyAlignment="1" applyProtection="1">
      <alignment horizontal="center" vertical="center"/>
    </xf>
    <xf numFmtId="43" fontId="7" fillId="0" borderId="13" xfId="45" applyFont="1" applyBorder="1" applyAlignment="1" applyProtection="1">
      <alignment horizontal="left" vertical="center"/>
    </xf>
    <xf numFmtId="43" fontId="7" fillId="0" borderId="0" xfId="45" applyFont="1" applyBorder="1" applyAlignment="1" applyProtection="1">
      <alignment horizontal="center" vertical="center"/>
    </xf>
    <xf numFmtId="43" fontId="7" fillId="0" borderId="0" xfId="45" applyFont="1" applyBorder="1" applyAlignment="1">
      <alignment vertical="center"/>
    </xf>
    <xf numFmtId="43" fontId="7" fillId="0" borderId="0" xfId="45" applyFont="1" applyBorder="1" applyAlignment="1" applyProtection="1">
      <alignment horizontal="right" vertical="center"/>
    </xf>
    <xf numFmtId="43" fontId="11" fillId="0" borderId="33" xfId="45" applyFont="1" applyFill="1" applyBorder="1" applyAlignment="1" applyProtection="1">
      <alignment horizontal="right" vertical="center"/>
    </xf>
    <xf numFmtId="43" fontId="11" fillId="0" borderId="33" xfId="45" applyFont="1" applyBorder="1" applyAlignment="1" applyProtection="1">
      <alignment horizontal="right" vertical="center"/>
    </xf>
    <xf numFmtId="10" fontId="11" fillId="0" borderId="102" xfId="123" applyNumberFormat="1" applyFont="1" applyBorder="1" applyAlignment="1" applyProtection="1">
      <alignment horizontal="right" vertical="center"/>
    </xf>
    <xf numFmtId="0" fontId="7" fillId="0" borderId="0" xfId="96" applyFont="1" applyAlignment="1">
      <alignment vertical="center"/>
    </xf>
    <xf numFmtId="43" fontId="7" fillId="0" borderId="21" xfId="45" applyFont="1" applyBorder="1" applyAlignment="1">
      <alignment vertical="center"/>
    </xf>
    <xf numFmtId="43" fontId="11" fillId="0" borderId="0" xfId="45" applyFont="1" applyFill="1" applyBorder="1" applyAlignment="1" applyProtection="1">
      <alignment horizontal="left" vertical="center"/>
    </xf>
    <xf numFmtId="43" fontId="6" fillId="0" borderId="0" xfId="45" applyFont="1" applyBorder="1" applyAlignment="1" applyProtection="1">
      <alignment horizontal="center" vertical="center"/>
    </xf>
    <xf numFmtId="43" fontId="9" fillId="0" borderId="0" xfId="45" applyFont="1" applyFill="1" applyBorder="1" applyAlignment="1" applyProtection="1">
      <alignment horizontal="left" vertical="center"/>
    </xf>
    <xf numFmtId="43" fontId="6" fillId="0" borderId="0" xfId="45" applyFont="1" applyBorder="1" applyAlignment="1" applyProtection="1">
      <alignment horizontal="right" vertical="center"/>
    </xf>
    <xf numFmtId="43" fontId="9" fillId="0" borderId="33" xfId="45" applyFont="1" applyFill="1" applyBorder="1" applyAlignment="1" applyProtection="1">
      <alignment horizontal="right" vertical="center"/>
    </xf>
    <xf numFmtId="10" fontId="9" fillId="0" borderId="102" xfId="123" applyNumberFormat="1" applyFont="1" applyBorder="1" applyAlignment="1" applyProtection="1">
      <alignment horizontal="right" vertical="center"/>
    </xf>
    <xf numFmtId="0" fontId="6" fillId="0" borderId="0" xfId="96" applyFont="1" applyAlignment="1">
      <alignment vertical="center"/>
    </xf>
    <xf numFmtId="43" fontId="6" fillId="0" borderId="21" xfId="45" applyFont="1" applyBorder="1" applyAlignment="1">
      <alignment vertical="center"/>
    </xf>
    <xf numFmtId="43" fontId="6" fillId="0" borderId="0" xfId="45" applyFont="1" applyBorder="1" applyAlignment="1">
      <alignment vertical="center"/>
    </xf>
    <xf numFmtId="166" fontId="6" fillId="0" borderId="0" xfId="96" applyNumberFormat="1" applyFont="1" applyAlignment="1">
      <alignment vertical="center"/>
    </xf>
    <xf numFmtId="43" fontId="11" fillId="0" borderId="0" xfId="45" quotePrefix="1" applyFont="1" applyFill="1" applyBorder="1" applyAlignment="1" applyProtection="1">
      <alignment horizontal="left" vertical="center"/>
    </xf>
    <xf numFmtId="166" fontId="7" fillId="0" borderId="0" xfId="96" applyNumberFormat="1" applyFont="1" applyAlignment="1">
      <alignment vertical="center"/>
    </xf>
    <xf numFmtId="43" fontId="9" fillId="0" borderId="0" xfId="45" quotePrefix="1" applyFont="1" applyFill="1" applyBorder="1" applyAlignment="1" applyProtection="1">
      <alignment horizontal="left" vertical="center"/>
    </xf>
    <xf numFmtId="43" fontId="11" fillId="0" borderId="21" xfId="45" applyFont="1" applyBorder="1" applyAlignment="1" applyProtection="1">
      <alignment horizontal="center" vertical="center"/>
    </xf>
    <xf numFmtId="43" fontId="11" fillId="0" borderId="0" xfId="45" applyFont="1" applyBorder="1" applyAlignment="1" applyProtection="1">
      <alignment horizontal="center" vertical="center"/>
    </xf>
    <xf numFmtId="43" fontId="9" fillId="0" borderId="0" xfId="45" applyFont="1" applyBorder="1" applyAlignment="1" applyProtection="1">
      <alignment horizontal="center" vertical="center"/>
    </xf>
    <xf numFmtId="43" fontId="9" fillId="0" borderId="0" xfId="45" applyFont="1" applyBorder="1" applyAlignment="1" applyProtection="1">
      <alignment horizontal="left" vertical="center"/>
    </xf>
    <xf numFmtId="43" fontId="9" fillId="0" borderId="0" xfId="45" applyFont="1" applyBorder="1" applyAlignment="1">
      <alignment vertical="center"/>
    </xf>
    <xf numFmtId="43" fontId="9" fillId="0" borderId="0" xfId="45" applyFont="1" applyBorder="1" applyAlignment="1" applyProtection="1">
      <alignment horizontal="right" vertical="center"/>
    </xf>
    <xf numFmtId="0" fontId="9" fillId="0" borderId="0" xfId="96" applyFont="1" applyAlignment="1">
      <alignment vertical="center"/>
    </xf>
    <xf numFmtId="166" fontId="9" fillId="0" borderId="0" xfId="96" applyNumberFormat="1" applyFont="1" applyAlignment="1">
      <alignment vertical="center"/>
    </xf>
    <xf numFmtId="43" fontId="6" fillId="0" borderId="13" xfId="45" applyFont="1" applyFill="1" applyBorder="1" applyAlignment="1">
      <alignment vertical="center"/>
    </xf>
    <xf numFmtId="43" fontId="9" fillId="0" borderId="36" xfId="45" applyFont="1" applyBorder="1" applyAlignment="1" applyProtection="1">
      <alignment horizontal="center" vertical="center"/>
    </xf>
    <xf numFmtId="43" fontId="9" fillId="0" borderId="41" xfId="45" applyFont="1" applyBorder="1" applyAlignment="1" applyProtection="1">
      <alignment horizontal="center" vertical="center"/>
    </xf>
    <xf numFmtId="43" fontId="7" fillId="0" borderId="73" xfId="45" applyFont="1" applyBorder="1" applyAlignment="1">
      <alignment vertical="center"/>
    </xf>
    <xf numFmtId="43" fontId="6" fillId="0" borderId="0" xfId="45" quotePrefix="1" applyFont="1" applyFill="1" applyBorder="1" applyAlignment="1" applyProtection="1">
      <alignment horizontal="left" vertical="center"/>
    </xf>
    <xf numFmtId="43" fontId="6" fillId="0" borderId="33" xfId="45" applyFont="1" applyBorder="1" applyAlignment="1">
      <alignment vertical="center"/>
    </xf>
    <xf numFmtId="43" fontId="6" fillId="0" borderId="33" xfId="45" applyFont="1" applyBorder="1" applyAlignment="1" applyProtection="1">
      <alignment horizontal="right" vertical="center"/>
    </xf>
    <xf numFmtId="43" fontId="9" fillId="0" borderId="13" xfId="45" quotePrefix="1" applyFont="1" applyFill="1" applyBorder="1" applyAlignment="1" applyProtection="1">
      <alignment horizontal="left" vertical="center"/>
    </xf>
    <xf numFmtId="43" fontId="6" fillId="0" borderId="19" xfId="45" applyFont="1" applyBorder="1" applyAlignment="1" applyProtection="1">
      <alignment horizontal="right" vertical="center"/>
    </xf>
    <xf numFmtId="43" fontId="6" fillId="0" borderId="11" xfId="45" applyFont="1" applyBorder="1" applyAlignment="1" applyProtection="1">
      <alignment horizontal="right" vertical="center"/>
    </xf>
    <xf numFmtId="43" fontId="6" fillId="0" borderId="69" xfId="45" applyFont="1" applyBorder="1" applyAlignment="1" applyProtection="1">
      <alignment horizontal="right" vertical="center"/>
    </xf>
    <xf numFmtId="43" fontId="6" fillId="0" borderId="19" xfId="45" applyFont="1" applyFill="1" applyBorder="1" applyAlignment="1" applyProtection="1">
      <alignment horizontal="right" vertical="center"/>
    </xf>
    <xf numFmtId="43" fontId="7" fillId="0" borderId="0" xfId="45" applyFont="1" applyFill="1" applyBorder="1" applyAlignment="1" applyProtection="1">
      <alignment horizontal="left" vertical="center"/>
    </xf>
    <xf numFmtId="43" fontId="7" fillId="0" borderId="73" xfId="45" applyFont="1" applyBorder="1" applyAlignment="1" applyProtection="1">
      <alignment horizontal="right" vertical="center"/>
    </xf>
    <xf numFmtId="10" fontId="7" fillId="0" borderId="101" xfId="123" applyNumberFormat="1" applyFont="1" applyBorder="1" applyAlignment="1" applyProtection="1">
      <alignment horizontal="right" vertical="center"/>
    </xf>
    <xf numFmtId="43" fontId="7" fillId="0" borderId="21" xfId="45" applyFont="1" applyBorder="1" applyAlignment="1" applyProtection="1">
      <alignment vertical="center"/>
    </xf>
    <xf numFmtId="43" fontId="7" fillId="0" borderId="13" xfId="45" applyFont="1" applyFill="1" applyBorder="1" applyAlignment="1" applyProtection="1">
      <alignment vertical="center"/>
    </xf>
    <xf numFmtId="43" fontId="7" fillId="0" borderId="0" xfId="45" applyFont="1" applyBorder="1" applyAlignment="1" applyProtection="1">
      <alignment vertical="center"/>
    </xf>
    <xf numFmtId="43" fontId="11" fillId="0" borderId="13" xfId="45" applyFont="1" applyFill="1" applyBorder="1" applyAlignment="1" applyProtection="1">
      <alignment vertical="center"/>
    </xf>
    <xf numFmtId="43" fontId="6" fillId="0" borderId="0" xfId="45" applyFont="1" applyBorder="1" applyAlignment="1" applyProtection="1">
      <alignment vertical="center"/>
    </xf>
    <xf numFmtId="43" fontId="6" fillId="0" borderId="0" xfId="45" applyFont="1" applyFill="1" applyBorder="1" applyAlignment="1">
      <alignment horizontal="left" vertical="center"/>
    </xf>
    <xf numFmtId="43" fontId="6" fillId="0" borderId="0" xfId="45" applyFont="1" applyFill="1" applyBorder="1" applyAlignment="1">
      <alignment vertical="center"/>
    </xf>
    <xf numFmtId="43" fontId="6" fillId="0" borderId="94" xfId="45" applyFont="1" applyBorder="1" applyAlignment="1" applyProtection="1">
      <alignment vertical="center"/>
    </xf>
    <xf numFmtId="43" fontId="9" fillId="0" borderId="0" xfId="45" applyFont="1" applyBorder="1" applyAlignment="1" applyProtection="1">
      <alignment vertical="center"/>
    </xf>
    <xf numFmtId="43" fontId="6" fillId="0" borderId="0" xfId="45" applyFont="1" applyFill="1" applyBorder="1" applyAlignment="1" applyProtection="1">
      <alignment vertical="center"/>
    </xf>
    <xf numFmtId="43" fontId="9" fillId="0" borderId="0" xfId="45" applyFont="1" applyFill="1" applyBorder="1" applyAlignment="1" applyProtection="1">
      <alignment vertical="center" wrapText="1"/>
    </xf>
    <xf numFmtId="43" fontId="9" fillId="0" borderId="0" xfId="45" applyFont="1" applyFill="1" applyBorder="1" applyAlignment="1" applyProtection="1">
      <alignment vertical="center"/>
    </xf>
    <xf numFmtId="43" fontId="6" fillId="0" borderId="33" xfId="45" applyFont="1" applyBorder="1" applyAlignment="1" applyProtection="1">
      <alignment vertical="center"/>
    </xf>
    <xf numFmtId="43" fontId="6" fillId="0" borderId="0" xfId="45" applyFont="1" applyFill="1" applyBorder="1" applyAlignment="1" applyProtection="1">
      <alignment vertical="center" wrapText="1"/>
    </xf>
    <xf numFmtId="43" fontId="6" fillId="0" borderId="84" xfId="45" applyFont="1" applyBorder="1" applyAlignment="1" applyProtection="1">
      <alignment vertical="center"/>
    </xf>
    <xf numFmtId="43" fontId="7" fillId="0" borderId="0" xfId="45" applyFont="1" applyFill="1" applyBorder="1" applyAlignment="1" applyProtection="1">
      <alignment vertical="center"/>
    </xf>
    <xf numFmtId="43" fontId="7" fillId="0" borderId="33" xfId="45" applyFont="1" applyBorder="1" applyAlignment="1">
      <alignment horizontal="right" vertical="center"/>
    </xf>
    <xf numFmtId="10" fontId="11" fillId="29" borderId="39" xfId="123" applyNumberFormat="1" applyFont="1" applyFill="1" applyBorder="1" applyAlignment="1" applyProtection="1">
      <alignment horizontal="right" vertical="center"/>
    </xf>
    <xf numFmtId="43" fontId="7" fillId="0" borderId="11" xfId="45" applyFont="1" applyBorder="1" applyAlignment="1" applyProtection="1">
      <alignment vertical="center"/>
    </xf>
    <xf numFmtId="43" fontId="7" fillId="0" borderId="13" xfId="45" applyFont="1" applyBorder="1" applyAlignment="1" applyProtection="1">
      <alignment vertical="center"/>
    </xf>
    <xf numFmtId="43" fontId="7" fillId="0" borderId="69" xfId="45" applyFont="1" applyBorder="1" applyAlignment="1" applyProtection="1">
      <alignment vertical="center"/>
    </xf>
    <xf numFmtId="43" fontId="7" fillId="0" borderId="21" xfId="45" applyFont="1" applyFill="1" applyBorder="1" applyAlignment="1" applyProtection="1">
      <alignment vertical="center"/>
    </xf>
    <xf numFmtId="10" fontId="11" fillId="29" borderId="100" xfId="123" applyNumberFormat="1" applyFont="1" applyFill="1" applyBorder="1" applyAlignment="1" applyProtection="1">
      <alignment horizontal="right" vertical="center"/>
    </xf>
    <xf numFmtId="43" fontId="6" fillId="0" borderId="13" xfId="45" applyFont="1" applyFill="1" applyBorder="1" applyAlignment="1" applyProtection="1">
      <alignment vertical="center"/>
    </xf>
    <xf numFmtId="43" fontId="7" fillId="21" borderId="65" xfId="45" applyFont="1" applyFill="1" applyBorder="1" applyAlignment="1" applyProtection="1">
      <alignment horizontal="right" vertical="center"/>
    </xf>
    <xf numFmtId="10" fontId="11" fillId="29" borderId="40" xfId="123" applyNumberFormat="1" applyFont="1" applyFill="1" applyBorder="1" applyAlignment="1" applyProtection="1">
      <alignment horizontal="right" vertical="center"/>
    </xf>
    <xf numFmtId="3" fontId="6" fillId="0" borderId="0" xfId="48" applyNumberFormat="1" applyFont="1" applyFill="1" applyBorder="1" applyAlignment="1" applyProtection="1">
      <alignment horizontal="right" vertical="center"/>
    </xf>
    <xf numFmtId="3" fontId="6" fillId="0" borderId="0" xfId="96" applyNumberFormat="1" applyFont="1" applyAlignment="1">
      <alignment horizontal="right" vertical="center"/>
    </xf>
    <xf numFmtId="43" fontId="4" fillId="0" borderId="0" xfId="45" applyFont="1" applyBorder="1" applyAlignment="1">
      <alignment horizontal="center" vertical="center"/>
    </xf>
    <xf numFmtId="43" fontId="2" fillId="0" borderId="0" xfId="45" applyFont="1" applyBorder="1" applyAlignment="1">
      <alignment vertical="center"/>
    </xf>
    <xf numFmtId="43" fontId="7" fillId="0" borderId="21" xfId="45" applyFont="1" applyBorder="1" applyAlignment="1" applyProtection="1">
      <alignment horizontal="center" vertical="center" wrapText="1"/>
    </xf>
    <xf numFmtId="43" fontId="7" fillId="0" borderId="0" xfId="45" applyFont="1" applyBorder="1" applyAlignment="1" applyProtection="1">
      <alignment horizontal="center" vertical="center" wrapText="1"/>
    </xf>
    <xf numFmtId="43" fontId="7" fillId="0" borderId="0" xfId="45" applyFont="1" applyFill="1" applyBorder="1" applyAlignment="1">
      <alignment horizontal="left" vertical="center"/>
    </xf>
    <xf numFmtId="43" fontId="6" fillId="0" borderId="11" xfId="45" applyFont="1" applyBorder="1" applyAlignment="1" applyProtection="1">
      <alignment horizontal="right" vertical="center" wrapText="1"/>
    </xf>
    <xf numFmtId="43" fontId="6" fillId="0" borderId="13" xfId="45" applyFont="1" applyBorder="1" applyAlignment="1" applyProtection="1">
      <alignment horizontal="right" vertical="center" wrapText="1"/>
    </xf>
    <xf numFmtId="43" fontId="6" fillId="0" borderId="33" xfId="45" applyFont="1" applyBorder="1" applyAlignment="1" applyProtection="1">
      <alignment horizontal="right" vertical="center" wrapText="1"/>
    </xf>
    <xf numFmtId="3" fontId="6" fillId="0" borderId="102" xfId="96" applyNumberFormat="1" applyFont="1" applyBorder="1" applyAlignment="1">
      <alignment horizontal="right" vertical="center" wrapText="1"/>
    </xf>
    <xf numFmtId="3" fontId="7" fillId="0" borderId="102" xfId="96" applyNumberFormat="1" applyFont="1" applyBorder="1" applyAlignment="1">
      <alignment horizontal="right" vertical="center"/>
    </xf>
    <xf numFmtId="43" fontId="7" fillId="0" borderId="0" xfId="96" applyNumberFormat="1" applyFont="1" applyAlignment="1">
      <alignment vertical="center"/>
    </xf>
    <xf numFmtId="43" fontId="7" fillId="0" borderId="0" xfId="45" applyFont="1" applyBorder="1" applyAlignment="1" applyProtection="1">
      <alignment horizontal="left" vertical="center"/>
    </xf>
    <xf numFmtId="43" fontId="6" fillId="0" borderId="0" xfId="45" applyFont="1" applyBorder="1" applyAlignment="1" applyProtection="1">
      <alignment horizontal="left" vertical="center"/>
    </xf>
    <xf numFmtId="43" fontId="7" fillId="0" borderId="21" xfId="45" applyFont="1" applyBorder="1" applyAlignment="1" applyProtection="1">
      <alignment horizontal="left" vertical="center"/>
    </xf>
    <xf numFmtId="43" fontId="7" fillId="0" borderId="11" xfId="45" applyFont="1" applyBorder="1" applyAlignment="1" applyProtection="1">
      <alignment horizontal="right" vertical="center"/>
    </xf>
    <xf numFmtId="10" fontId="7" fillId="0" borderId="102" xfId="123" applyNumberFormat="1" applyFont="1" applyBorder="1" applyAlignment="1" applyProtection="1">
      <alignment horizontal="right" vertical="center"/>
    </xf>
    <xf numFmtId="43" fontId="7" fillId="0" borderId="69" xfId="45" applyFont="1" applyBorder="1" applyAlignment="1" applyProtection="1">
      <alignment horizontal="right" vertical="center"/>
    </xf>
    <xf numFmtId="43" fontId="7" fillId="0" borderId="21" xfId="45" quotePrefix="1" applyFont="1" applyBorder="1" applyAlignment="1" applyProtection="1">
      <alignment horizontal="left" vertical="center"/>
    </xf>
    <xf numFmtId="43" fontId="7" fillId="0" borderId="0" xfId="45" quotePrefix="1" applyFont="1" applyBorder="1" applyAlignment="1" applyProtection="1">
      <alignment horizontal="center" vertical="center"/>
    </xf>
    <xf numFmtId="43" fontId="11" fillId="0" borderId="36" xfId="45" quotePrefix="1" applyFont="1" applyBorder="1" applyAlignment="1" applyProtection="1">
      <alignment horizontal="center" vertical="center"/>
    </xf>
    <xf numFmtId="43" fontId="11" fillId="0" borderId="34" xfId="45" applyFont="1" applyBorder="1" applyAlignment="1" applyProtection="1">
      <alignment horizontal="center" vertical="center"/>
    </xf>
    <xf numFmtId="43" fontId="11" fillId="0" borderId="13" xfId="45" applyFont="1" applyBorder="1" applyAlignment="1" applyProtection="1">
      <alignment horizontal="center" vertical="center"/>
    </xf>
    <xf numFmtId="43" fontId="7" fillId="0" borderId="13" xfId="45" applyFont="1" applyFill="1" applyBorder="1" applyAlignment="1">
      <alignment horizontal="left" vertical="center"/>
    </xf>
    <xf numFmtId="43" fontId="6" fillId="0" borderId="13" xfId="45" applyFont="1" applyBorder="1" applyAlignment="1">
      <alignment horizontal="right" vertical="center"/>
    </xf>
    <xf numFmtId="43" fontId="11" fillId="0" borderId="13" xfId="45" applyFont="1" applyFill="1" applyBorder="1" applyAlignment="1" applyProtection="1">
      <alignment horizontal="left" vertical="center"/>
    </xf>
    <xf numFmtId="43" fontId="7" fillId="0" borderId="21" xfId="45" applyFont="1" applyBorder="1" applyAlignment="1">
      <alignment horizontal="center" vertical="center"/>
    </xf>
    <xf numFmtId="43" fontId="7" fillId="0" borderId="0" xfId="45" applyFont="1" applyBorder="1" applyAlignment="1">
      <alignment horizontal="left" vertical="center"/>
    </xf>
    <xf numFmtId="43" fontId="7" fillId="0" borderId="19" xfId="45" applyFont="1" applyBorder="1" applyAlignment="1" applyProtection="1">
      <alignment horizontal="right" vertical="center"/>
    </xf>
    <xf numFmtId="0" fontId="6" fillId="0" borderId="0" xfId="96" applyFont="1" applyAlignment="1">
      <alignment horizontal="center" vertical="center"/>
    </xf>
    <xf numFmtId="43" fontId="6" fillId="0" borderId="0" xfId="45" applyFont="1" applyAlignment="1">
      <alignment vertical="center"/>
    </xf>
    <xf numFmtId="3" fontId="6" fillId="0" borderId="0" xfId="96" applyNumberFormat="1" applyFont="1" applyAlignment="1">
      <alignment vertical="center"/>
    </xf>
    <xf numFmtId="0" fontId="4" fillId="0" borderId="0" xfId="96" applyFont="1" applyAlignment="1">
      <alignment horizontal="center" vertical="center"/>
    </xf>
    <xf numFmtId="0" fontId="43" fillId="20" borderId="0" xfId="116" applyFont="1" applyFill="1" applyAlignment="1">
      <alignment vertical="center"/>
    </xf>
    <xf numFmtId="177" fontId="40" fillId="20" borderId="0" xfId="74" applyNumberFormat="1" applyFont="1" applyFill="1" applyAlignment="1">
      <alignment horizontal="center" vertical="center"/>
    </xf>
    <xf numFmtId="0" fontId="90" fillId="20" borderId="0" xfId="116" applyFont="1" applyFill="1" applyAlignment="1">
      <alignment vertical="center"/>
    </xf>
    <xf numFmtId="0" fontId="43" fillId="25" borderId="18" xfId="116" applyFont="1" applyFill="1" applyBorder="1" applyAlignment="1">
      <alignment horizontal="center" vertical="center"/>
    </xf>
    <xf numFmtId="0" fontId="43" fillId="25" borderId="15" xfId="116" applyFont="1" applyFill="1" applyBorder="1" applyAlignment="1">
      <alignment horizontal="center" vertical="center"/>
    </xf>
    <xf numFmtId="0" fontId="43" fillId="25" borderId="17" xfId="116" applyFont="1" applyFill="1" applyBorder="1" applyAlignment="1">
      <alignment horizontal="center" vertical="center"/>
    </xf>
    <xf numFmtId="0" fontId="111" fillId="0" borderId="0" xfId="116" applyFont="1" applyAlignment="1">
      <alignment vertical="center"/>
    </xf>
    <xf numFmtId="0" fontId="43" fillId="25" borderId="24" xfId="116" applyFont="1" applyFill="1" applyBorder="1" applyAlignment="1">
      <alignment horizontal="center" vertical="center"/>
    </xf>
    <xf numFmtId="0" fontId="43" fillId="25" borderId="22" xfId="116" applyFont="1" applyFill="1" applyBorder="1" applyAlignment="1">
      <alignment horizontal="center" vertical="center"/>
    </xf>
    <xf numFmtId="0" fontId="43" fillId="25" borderId="23" xfId="116" applyFont="1" applyFill="1" applyBorder="1" applyAlignment="1">
      <alignment horizontal="center" vertical="center"/>
    </xf>
    <xf numFmtId="0" fontId="43" fillId="20" borderId="0" xfId="116" applyFont="1" applyFill="1" applyAlignment="1">
      <alignment horizontal="left" vertical="center"/>
    </xf>
    <xf numFmtId="0" fontId="43" fillId="20" borderId="0" xfId="116" applyFont="1" applyFill="1" applyAlignment="1">
      <alignment horizontal="center" vertical="center"/>
    </xf>
    <xf numFmtId="177" fontId="43" fillId="20" borderId="0" xfId="74" applyNumberFormat="1" applyFont="1" applyFill="1" applyAlignment="1">
      <alignment horizontal="center" vertical="center"/>
    </xf>
    <xf numFmtId="0" fontId="112" fillId="20" borderId="0" xfId="116" applyFont="1" applyFill="1" applyAlignment="1">
      <alignment horizontal="center" vertical="center"/>
    </xf>
    <xf numFmtId="0" fontId="43" fillId="20" borderId="0" xfId="116" applyFont="1" applyFill="1" applyAlignment="1">
      <alignment horizontal="center" vertical="center" wrapText="1"/>
    </xf>
    <xf numFmtId="0" fontId="90" fillId="20" borderId="0" xfId="116" applyFont="1" applyFill="1" applyAlignment="1">
      <alignment horizontal="center" vertical="center"/>
    </xf>
    <xf numFmtId="0" fontId="43" fillId="25" borderId="64" xfId="116" applyFont="1" applyFill="1" applyBorder="1" applyAlignment="1">
      <alignment vertical="center"/>
    </xf>
    <xf numFmtId="0" fontId="43" fillId="25" borderId="92" xfId="116" applyFont="1" applyFill="1" applyBorder="1" applyAlignment="1">
      <alignment horizontal="center" vertical="center"/>
    </xf>
    <xf numFmtId="0" fontId="43" fillId="25" borderId="93" xfId="116" applyFont="1" applyFill="1" applyBorder="1" applyAlignment="1">
      <alignment horizontal="center" vertical="center"/>
    </xf>
    <xf numFmtId="0" fontId="40" fillId="20" borderId="18" xfId="116" applyFont="1" applyFill="1" applyBorder="1" applyAlignment="1">
      <alignment vertical="center"/>
    </xf>
    <xf numFmtId="177" fontId="40" fillId="20" borderId="15" xfId="74" applyNumberFormat="1" applyFont="1" applyFill="1" applyBorder="1" applyAlignment="1">
      <alignment horizontal="center" vertical="center"/>
    </xf>
    <xf numFmtId="0" fontId="90" fillId="20" borderId="15" xfId="116" applyFont="1" applyFill="1" applyBorder="1" applyAlignment="1">
      <alignment horizontal="center" vertical="center"/>
    </xf>
    <xf numFmtId="177" fontId="40" fillId="20" borderId="0" xfId="74" applyNumberFormat="1" applyFont="1" applyFill="1" applyBorder="1" applyAlignment="1">
      <alignment horizontal="center" vertical="center"/>
    </xf>
    <xf numFmtId="0" fontId="90" fillId="20" borderId="19" xfId="116" applyFont="1" applyFill="1" applyBorder="1" applyAlignment="1">
      <alignment horizontal="center" vertical="center"/>
    </xf>
    <xf numFmtId="0" fontId="40" fillId="20" borderId="21" xfId="117" applyFont="1" applyFill="1" applyBorder="1" applyAlignment="1">
      <alignment horizontal="left" vertical="center"/>
    </xf>
    <xf numFmtId="0" fontId="40" fillId="20" borderId="0" xfId="117" applyFont="1" applyFill="1" applyAlignment="1">
      <alignment horizontal="left" vertical="center"/>
    </xf>
    <xf numFmtId="0" fontId="40" fillId="20" borderId="0" xfId="117" applyFont="1" applyFill="1" applyAlignment="1">
      <alignment horizontal="center" vertical="center"/>
    </xf>
    <xf numFmtId="0" fontId="40" fillId="20" borderId="19" xfId="117" applyFont="1" applyFill="1" applyBorder="1" applyAlignment="1">
      <alignment horizontal="center" vertical="center"/>
    </xf>
    <xf numFmtId="0" fontId="40" fillId="20" borderId="20" xfId="117" applyFont="1" applyFill="1" applyBorder="1" applyAlignment="1">
      <alignment horizontal="center" vertical="center"/>
    </xf>
    <xf numFmtId="0" fontId="40" fillId="20" borderId="21" xfId="116" applyFont="1" applyFill="1" applyBorder="1" applyAlignment="1">
      <alignment vertical="center"/>
    </xf>
    <xf numFmtId="0" fontId="40" fillId="20" borderId="0" xfId="116" applyFont="1" applyFill="1" applyAlignment="1">
      <alignment horizontal="left" vertical="center"/>
    </xf>
    <xf numFmtId="0" fontId="40" fillId="20" borderId="0" xfId="116" applyFont="1" applyFill="1" applyAlignment="1">
      <alignment horizontal="right" vertical="center"/>
    </xf>
    <xf numFmtId="0" fontId="40" fillId="20" borderId="13" xfId="116" applyFont="1" applyFill="1" applyBorder="1" applyAlignment="1">
      <alignment horizontal="right" vertical="center"/>
    </xf>
    <xf numFmtId="0" fontId="40" fillId="20" borderId="24" xfId="116" applyFont="1" applyFill="1" applyBorder="1" applyAlignment="1">
      <alignment vertical="center"/>
    </xf>
    <xf numFmtId="177" fontId="40" fillId="20" borderId="22" xfId="74" applyNumberFormat="1" applyFont="1" applyFill="1" applyBorder="1" applyAlignment="1">
      <alignment horizontal="center" vertical="center"/>
    </xf>
    <xf numFmtId="0" fontId="90" fillId="20" borderId="22" xfId="116" applyFont="1" applyFill="1" applyBorder="1" applyAlignment="1">
      <alignment horizontal="center" vertical="center"/>
    </xf>
    <xf numFmtId="0" fontId="43" fillId="20" borderId="18" xfId="116" applyFont="1" applyFill="1" applyBorder="1" applyAlignment="1">
      <alignment vertical="center"/>
    </xf>
    <xf numFmtId="0" fontId="43" fillId="20" borderId="15" xfId="116" applyFont="1" applyFill="1" applyBorder="1" applyAlignment="1">
      <alignment vertical="center"/>
    </xf>
    <xf numFmtId="0" fontId="43" fillId="20" borderId="15" xfId="116" applyFont="1" applyFill="1" applyBorder="1" applyAlignment="1">
      <alignment horizontal="center" vertical="center"/>
    </xf>
    <xf numFmtId="177" fontId="43" fillId="20" borderId="15" xfId="74" applyNumberFormat="1" applyFont="1" applyFill="1" applyBorder="1" applyAlignment="1">
      <alignment horizontal="center" vertical="center"/>
    </xf>
    <xf numFmtId="0" fontId="112" fillId="20" borderId="15" xfId="116" applyFont="1" applyFill="1" applyBorder="1" applyAlignment="1">
      <alignment horizontal="center" vertical="center"/>
    </xf>
    <xf numFmtId="0" fontId="43" fillId="20" borderId="20" xfId="116" applyFont="1" applyFill="1" applyBorder="1" applyAlignment="1">
      <alignment horizontal="center" vertical="center"/>
    </xf>
    <xf numFmtId="0" fontId="43" fillId="27" borderId="100" xfId="87" applyFont="1" applyFill="1" applyBorder="1" applyAlignment="1">
      <alignment horizontal="center" vertical="center"/>
    </xf>
    <xf numFmtId="0" fontId="43" fillId="20" borderId="18" xfId="87" applyFont="1" applyFill="1" applyBorder="1" applyAlignment="1">
      <alignment horizontal="center" vertical="center"/>
    </xf>
    <xf numFmtId="0" fontId="43" fillId="20" borderId="64" xfId="87" applyFont="1" applyFill="1" applyBorder="1" applyAlignment="1">
      <alignment vertical="center" wrapText="1"/>
    </xf>
    <xf numFmtId="165" fontId="43" fillId="27" borderId="42" xfId="80" applyFont="1" applyFill="1" applyBorder="1" applyAlignment="1" applyProtection="1">
      <alignment horizontal="center" vertical="center" wrapText="1"/>
    </xf>
    <xf numFmtId="0" fontId="112" fillId="20" borderId="0" xfId="87" applyFont="1" applyFill="1" applyAlignment="1">
      <alignment vertical="center" wrapText="1"/>
    </xf>
    <xf numFmtId="0" fontId="90" fillId="27" borderId="0" xfId="117" applyFont="1" applyFill="1" applyAlignment="1">
      <alignment vertical="center"/>
    </xf>
    <xf numFmtId="0" fontId="43" fillId="20" borderId="0" xfId="87" applyFont="1" applyFill="1" applyAlignment="1">
      <alignment vertical="center" wrapText="1"/>
    </xf>
    <xf numFmtId="0" fontId="40" fillId="41" borderId="85" xfId="87" applyFont="1" applyFill="1" applyBorder="1" applyAlignment="1">
      <alignment horizontal="center" vertical="center" wrapText="1"/>
    </xf>
    <xf numFmtId="0" fontId="43" fillId="41" borderId="28" xfId="85" applyFont="1" applyFill="1" applyBorder="1" applyAlignment="1">
      <alignment horizontal="center" vertical="center" wrapText="1"/>
    </xf>
    <xf numFmtId="0" fontId="43" fillId="41" borderId="28" xfId="85" applyFont="1" applyFill="1" applyBorder="1" applyAlignment="1">
      <alignment horizontal="left" vertical="center" wrapText="1"/>
    </xf>
    <xf numFmtId="165" fontId="94" fillId="41" borderId="29" xfId="74" applyFont="1" applyFill="1" applyBorder="1" applyAlignment="1" applyProtection="1">
      <alignment horizontal="center" vertical="center" wrapText="1"/>
    </xf>
    <xf numFmtId="0" fontId="112" fillId="0" borderId="0" xfId="116" applyFont="1" applyAlignment="1">
      <alignment vertical="center" wrapText="1"/>
    </xf>
    <xf numFmtId="49" fontId="112" fillId="0" borderId="0" xfId="116" applyNumberFormat="1" applyFont="1" applyAlignment="1">
      <alignment vertical="center" wrapText="1"/>
    </xf>
    <xf numFmtId="0" fontId="43" fillId="0" borderId="0" xfId="116" applyFont="1" applyAlignment="1">
      <alignment vertical="center" wrapText="1"/>
    </xf>
    <xf numFmtId="0" fontId="40" fillId="29" borderId="39" xfId="87" applyFont="1" applyFill="1" applyBorder="1" applyAlignment="1">
      <alignment horizontal="center" vertical="center" wrapText="1"/>
    </xf>
    <xf numFmtId="0" fontId="43" fillId="29" borderId="25" xfId="85" applyFont="1" applyFill="1" applyBorder="1" applyAlignment="1">
      <alignment horizontal="center" vertical="center" wrapText="1"/>
    </xf>
    <xf numFmtId="0" fontId="43" fillId="29" borderId="25" xfId="85" applyFont="1" applyFill="1" applyBorder="1" applyAlignment="1">
      <alignment horizontal="left" vertical="center" wrapText="1"/>
    </xf>
    <xf numFmtId="165" fontId="96" fillId="29" borderId="26" xfId="74" applyFont="1" applyFill="1" applyBorder="1" applyAlignment="1">
      <alignment horizontal="center" vertical="center" wrapText="1"/>
    </xf>
    <xf numFmtId="0" fontId="112" fillId="27" borderId="0" xfId="116" applyFont="1" applyFill="1" applyAlignment="1">
      <alignment vertical="center" wrapText="1"/>
    </xf>
    <xf numFmtId="0" fontId="46" fillId="35" borderId="39" xfId="87" applyFont="1" applyFill="1" applyBorder="1" applyAlignment="1">
      <alignment horizontal="center" vertical="center" wrapText="1"/>
    </xf>
    <xf numFmtId="0" fontId="47" fillId="35" borderId="25" xfId="85" applyFont="1" applyFill="1" applyBorder="1" applyAlignment="1">
      <alignment horizontal="center" vertical="center" wrapText="1"/>
    </xf>
    <xf numFmtId="0" fontId="47" fillId="35" borderId="25" xfId="85" applyFont="1" applyFill="1" applyBorder="1" applyAlignment="1">
      <alignment horizontal="left" vertical="center" wrapText="1"/>
    </xf>
    <xf numFmtId="165" fontId="96" fillId="35" borderId="26" xfId="74" applyFont="1" applyFill="1" applyBorder="1" applyAlignment="1">
      <alignment horizontal="center" vertical="center" wrapText="1"/>
    </xf>
    <xf numFmtId="0" fontId="47" fillId="0" borderId="0" xfId="116" applyFont="1" applyAlignment="1">
      <alignment vertical="center" wrapText="1"/>
    </xf>
    <xf numFmtId="0" fontId="40" fillId="0" borderId="39" xfId="87" applyFont="1" applyBorder="1" applyAlignment="1">
      <alignment horizontal="center" vertical="center" wrapText="1"/>
    </xf>
    <xf numFmtId="0" fontId="40" fillId="0" borderId="25" xfId="85" applyFont="1" applyBorder="1" applyAlignment="1">
      <alignment horizontal="center" vertical="center" wrapText="1"/>
    </xf>
    <xf numFmtId="0" fontId="40" fillId="0" borderId="25" xfId="85" applyFont="1" applyBorder="1" applyAlignment="1">
      <alignment horizontal="left" vertical="center" wrapText="1"/>
    </xf>
    <xf numFmtId="165" fontId="96" fillId="0" borderId="26" xfId="74" applyFont="1" applyBorder="1" applyAlignment="1">
      <alignment horizontal="center" vertical="center" wrapText="1"/>
    </xf>
    <xf numFmtId="49" fontId="90" fillId="0" borderId="0" xfId="116" applyNumberFormat="1" applyFont="1" applyAlignment="1">
      <alignment vertical="center" wrapText="1"/>
    </xf>
    <xf numFmtId="0" fontId="40" fillId="0" borderId="0" xfId="116" applyFont="1" applyAlignment="1">
      <alignment vertical="center" wrapText="1"/>
    </xf>
    <xf numFmtId="0" fontId="40" fillId="35" borderId="39" xfId="87" applyFont="1" applyFill="1" applyBorder="1" applyAlignment="1">
      <alignment horizontal="center" vertical="center" wrapText="1"/>
    </xf>
    <xf numFmtId="0" fontId="47" fillId="0" borderId="25" xfId="85" applyFont="1" applyBorder="1" applyAlignment="1">
      <alignment horizontal="center" vertical="center" wrapText="1"/>
    </xf>
    <xf numFmtId="0" fontId="47" fillId="0" borderId="25" xfId="85" applyFont="1" applyBorder="1" applyAlignment="1">
      <alignment horizontal="left" vertical="center" wrapText="1"/>
    </xf>
    <xf numFmtId="0" fontId="40" fillId="0" borderId="85" xfId="87" applyFont="1" applyBorder="1" applyAlignment="1">
      <alignment horizontal="center" vertical="center" wrapText="1"/>
    </xf>
    <xf numFmtId="0" fontId="40" fillId="0" borderId="40" xfId="87" applyFont="1" applyBorder="1" applyAlignment="1">
      <alignment horizontal="center" vertical="center" wrapText="1"/>
    </xf>
    <xf numFmtId="0" fontId="40" fillId="0" borderId="30" xfId="85" applyFont="1" applyBorder="1" applyAlignment="1">
      <alignment horizontal="center" vertical="center" wrapText="1"/>
    </xf>
    <xf numFmtId="0" fontId="40" fillId="0" borderId="30" xfId="85" applyFont="1" applyBorder="1" applyAlignment="1">
      <alignment horizontal="left" vertical="center" wrapText="1"/>
    </xf>
    <xf numFmtId="0" fontId="40" fillId="29" borderId="85" xfId="87" applyFont="1" applyFill="1" applyBorder="1" applyAlignment="1">
      <alignment horizontal="center" vertical="center" wrapText="1"/>
    </xf>
    <xf numFmtId="0" fontId="43" fillId="29" borderId="28" xfId="85" applyFont="1" applyFill="1" applyBorder="1" applyAlignment="1">
      <alignment horizontal="center" vertical="center" wrapText="1"/>
    </xf>
    <xf numFmtId="0" fontId="43" fillId="29" borderId="28" xfId="85" applyFont="1" applyFill="1" applyBorder="1" applyAlignment="1">
      <alignment horizontal="left" vertical="center" wrapText="1"/>
    </xf>
    <xf numFmtId="165" fontId="96" fillId="29" borderId="29" xfId="74" applyFont="1" applyFill="1" applyBorder="1" applyAlignment="1">
      <alignment horizontal="center" vertical="center" wrapText="1"/>
    </xf>
    <xf numFmtId="165" fontId="96" fillId="41" borderId="29" xfId="74" applyFont="1" applyFill="1" applyBorder="1" applyAlignment="1">
      <alignment horizontal="center" vertical="center" wrapText="1"/>
    </xf>
    <xf numFmtId="0" fontId="40" fillId="27" borderId="25" xfId="85" applyFont="1" applyFill="1" applyBorder="1" applyAlignment="1">
      <alignment horizontal="center" vertical="center" wrapText="1"/>
    </xf>
    <xf numFmtId="0" fontId="40" fillId="27" borderId="25" xfId="85" applyFont="1" applyFill="1" applyBorder="1" applyAlignment="1">
      <alignment horizontal="left" vertical="center" wrapText="1"/>
    </xf>
    <xf numFmtId="49" fontId="90" fillId="27" borderId="0" xfId="116" applyNumberFormat="1" applyFont="1" applyFill="1" applyAlignment="1">
      <alignment vertical="center" wrapText="1"/>
    </xf>
    <xf numFmtId="49" fontId="40" fillId="27" borderId="0" xfId="116" applyNumberFormat="1" applyFont="1" applyFill="1" applyAlignment="1">
      <alignment vertical="center" wrapText="1"/>
    </xf>
    <xf numFmtId="0" fontId="48" fillId="27" borderId="39" xfId="87" applyFont="1" applyFill="1" applyBorder="1" applyAlignment="1">
      <alignment horizontal="center" vertical="center" wrapText="1"/>
    </xf>
    <xf numFmtId="0" fontId="40" fillId="49" borderId="39" xfId="87" applyFont="1" applyFill="1" applyBorder="1" applyAlignment="1">
      <alignment horizontal="center" vertical="center" wrapText="1"/>
    </xf>
    <xf numFmtId="0" fontId="40" fillId="49" borderId="25" xfId="85" applyFont="1" applyFill="1" applyBorder="1" applyAlignment="1">
      <alignment horizontal="center" vertical="center" wrapText="1"/>
    </xf>
    <xf numFmtId="0" fontId="40" fillId="49" borderId="25" xfId="85" applyFont="1" applyFill="1" applyBorder="1" applyAlignment="1">
      <alignment horizontal="left" vertical="center" wrapText="1"/>
    </xf>
    <xf numFmtId="165" fontId="96" fillId="49" borderId="26" xfId="74" applyFont="1" applyFill="1" applyBorder="1" applyAlignment="1">
      <alignment horizontal="center" vertical="center" wrapText="1"/>
    </xf>
    <xf numFmtId="0" fontId="40" fillId="27" borderId="25" xfId="85" applyFont="1" applyFill="1" applyBorder="1" applyAlignment="1">
      <alignment vertical="center" wrapText="1"/>
    </xf>
    <xf numFmtId="0" fontId="40" fillId="27" borderId="39" xfId="87" applyFont="1" applyFill="1" applyBorder="1" applyAlignment="1">
      <alignment horizontal="center" vertical="center"/>
    </xf>
    <xf numFmtId="0" fontId="48" fillId="49" borderId="39" xfId="87" applyFont="1" applyFill="1" applyBorder="1" applyAlignment="1">
      <alignment horizontal="center" vertical="center"/>
    </xf>
    <xf numFmtId="0" fontId="40" fillId="49" borderId="25" xfId="85" applyFont="1" applyFill="1" applyBorder="1" applyAlignment="1">
      <alignment vertical="center" wrapText="1"/>
    </xf>
    <xf numFmtId="0" fontId="90" fillId="0" borderId="0" xfId="116" applyFont="1" applyAlignment="1">
      <alignment vertical="center" wrapText="1"/>
    </xf>
    <xf numFmtId="49" fontId="40" fillId="0" borderId="0" xfId="116" applyNumberFormat="1" applyFont="1" applyAlignment="1">
      <alignment vertical="center" wrapText="1"/>
    </xf>
    <xf numFmtId="0" fontId="40" fillId="0" borderId="39" xfId="87" applyFont="1" applyBorder="1" applyAlignment="1">
      <alignment horizontal="center" vertical="center"/>
    </xf>
    <xf numFmtId="0" fontId="40" fillId="0" borderId="25" xfId="85" applyFont="1" applyBorder="1" applyAlignment="1">
      <alignment vertical="center" wrapText="1"/>
    </xf>
    <xf numFmtId="0" fontId="40" fillId="0" borderId="101" xfId="87" applyFont="1" applyBorder="1" applyAlignment="1">
      <alignment horizontal="center" vertical="center"/>
    </xf>
    <xf numFmtId="0" fontId="72" fillId="35" borderId="39" xfId="87" applyFont="1" applyFill="1" applyBorder="1" applyAlignment="1">
      <alignment horizontal="center" vertical="center" wrapText="1"/>
    </xf>
    <xf numFmtId="0" fontId="40" fillId="0" borderId="25" xfId="87" applyFont="1" applyBorder="1" applyAlignment="1">
      <alignment horizontal="left" vertical="center" wrapText="1"/>
    </xf>
    <xf numFmtId="0" fontId="40" fillId="0" borderId="26" xfId="85" applyFont="1" applyBorder="1" applyAlignment="1">
      <alignment horizontal="center" vertical="center" wrapText="1"/>
    </xf>
    <xf numFmtId="0" fontId="40" fillId="0" borderId="32" xfId="109" applyFont="1" applyBorder="1" applyAlignment="1">
      <alignment horizontal="left" vertical="center"/>
    </xf>
    <xf numFmtId="0" fontId="40" fillId="0" borderId="26" xfId="109" applyFont="1" applyBorder="1" applyAlignment="1">
      <alignment horizontal="center" vertical="center"/>
    </xf>
    <xf numFmtId="0" fontId="40" fillId="0" borderId="26" xfId="85" applyFont="1" applyBorder="1" applyAlignment="1">
      <alignment horizontal="left" vertical="center" wrapText="1"/>
    </xf>
    <xf numFmtId="0" fontId="40" fillId="49" borderId="26" xfId="85" applyFont="1" applyFill="1" applyBorder="1" applyAlignment="1">
      <alignment horizontal="center" vertical="center" wrapText="1"/>
    </xf>
    <xf numFmtId="0" fontId="40" fillId="49" borderId="26" xfId="85" applyFont="1" applyFill="1" applyBorder="1" applyAlignment="1">
      <alignment horizontal="left" vertical="center" wrapText="1"/>
    </xf>
    <xf numFmtId="0" fontId="43" fillId="29" borderId="71" xfId="85" applyFont="1" applyFill="1" applyBorder="1" applyAlignment="1">
      <alignment horizontal="center" vertical="center" wrapText="1"/>
    </xf>
    <xf numFmtId="0" fontId="43" fillId="29" borderId="71" xfId="85" applyFont="1" applyFill="1" applyBorder="1" applyAlignment="1">
      <alignment horizontal="left" vertical="center" wrapText="1"/>
    </xf>
    <xf numFmtId="165" fontId="96" fillId="29" borderId="68" xfId="74" applyFont="1" applyFill="1" applyBorder="1" applyAlignment="1">
      <alignment horizontal="center" vertical="center" wrapText="1"/>
    </xf>
    <xf numFmtId="0" fontId="47" fillId="0" borderId="30" xfId="85" applyFont="1" applyBorder="1" applyAlignment="1">
      <alignment horizontal="center" vertical="center" wrapText="1"/>
    </xf>
    <xf numFmtId="0" fontId="47" fillId="0" borderId="30" xfId="85" applyFont="1" applyBorder="1" applyAlignment="1">
      <alignment horizontal="left" vertical="center" wrapText="1"/>
    </xf>
    <xf numFmtId="0" fontId="43" fillId="0" borderId="39" xfId="87" applyFont="1" applyBorder="1" applyAlignment="1">
      <alignment horizontal="center" vertical="center" wrapText="1"/>
    </xf>
    <xf numFmtId="0" fontId="43" fillId="0" borderId="40" xfId="87" applyFont="1" applyBorder="1" applyAlignment="1">
      <alignment horizontal="center" vertical="center" wrapText="1"/>
    </xf>
    <xf numFmtId="0" fontId="40" fillId="50" borderId="102" xfId="87" applyFont="1" applyFill="1" applyBorder="1" applyAlignment="1">
      <alignment horizontal="center" vertical="center" wrapText="1"/>
    </xf>
    <xf numFmtId="0" fontId="43" fillId="50" borderId="64" xfId="85" applyFont="1" applyFill="1" applyBorder="1" applyAlignment="1">
      <alignment horizontal="center" vertical="center" wrapText="1"/>
    </xf>
    <xf numFmtId="0" fontId="43" fillId="50" borderId="64" xfId="85" applyFont="1" applyFill="1" applyBorder="1" applyAlignment="1">
      <alignment horizontal="left" vertical="center" wrapText="1"/>
    </xf>
    <xf numFmtId="165" fontId="96" fillId="50" borderId="42" xfId="74" applyFont="1" applyFill="1" applyBorder="1" applyAlignment="1">
      <alignment horizontal="center" vertical="center" wrapText="1"/>
    </xf>
    <xf numFmtId="0" fontId="40" fillId="41" borderId="38" xfId="87" applyFont="1" applyFill="1" applyBorder="1" applyAlignment="1">
      <alignment horizontal="center" vertical="center" wrapText="1"/>
    </xf>
    <xf numFmtId="0" fontId="43" fillId="41" borderId="71" xfId="85" applyFont="1" applyFill="1" applyBorder="1" applyAlignment="1">
      <alignment horizontal="left" vertical="center" wrapText="1"/>
    </xf>
    <xf numFmtId="165" fontId="96" fillId="41" borderId="68" xfId="74" applyFont="1" applyFill="1" applyBorder="1" applyAlignment="1">
      <alignment horizontal="center" vertical="center" wrapText="1"/>
    </xf>
    <xf numFmtId="0" fontId="43" fillId="27" borderId="25" xfId="85" applyFont="1" applyFill="1" applyBorder="1" applyAlignment="1">
      <alignment horizontal="center" vertical="center" wrapText="1"/>
    </xf>
    <xf numFmtId="0" fontId="43" fillId="27" borderId="25" xfId="85" applyFont="1" applyFill="1" applyBorder="1" applyAlignment="1">
      <alignment horizontal="left" vertical="center" wrapText="1"/>
    </xf>
    <xf numFmtId="0" fontId="40" fillId="0" borderId="101" xfId="87" applyFont="1" applyBorder="1" applyAlignment="1">
      <alignment horizontal="center" vertical="center" wrapText="1"/>
    </xf>
    <xf numFmtId="0" fontId="43" fillId="27" borderId="30" xfId="85" applyFont="1" applyFill="1" applyBorder="1" applyAlignment="1">
      <alignment horizontal="center" vertical="center" wrapText="1"/>
    </xf>
    <xf numFmtId="0" fontId="43" fillId="27" borderId="30" xfId="85" applyFont="1" applyFill="1" applyBorder="1" applyAlignment="1">
      <alignment horizontal="left" vertical="center" wrapText="1"/>
    </xf>
    <xf numFmtId="0" fontId="43" fillId="0" borderId="25" xfId="85" applyFont="1" applyBorder="1" applyAlignment="1">
      <alignment horizontal="center" vertical="center" wrapText="1"/>
    </xf>
    <xf numFmtId="0" fontId="43" fillId="0" borderId="25" xfId="85" applyFont="1" applyBorder="1" applyAlignment="1">
      <alignment horizontal="left" vertical="center" wrapText="1"/>
    </xf>
    <xf numFmtId="0" fontId="43" fillId="0" borderId="30" xfId="85" applyFont="1" applyBorder="1" applyAlignment="1">
      <alignment horizontal="center" vertical="center" wrapText="1"/>
    </xf>
    <xf numFmtId="0" fontId="43" fillId="0" borderId="30" xfId="85" applyFont="1" applyBorder="1" applyAlignment="1">
      <alignment horizontal="left" vertical="center" wrapText="1"/>
    </xf>
    <xf numFmtId="0" fontId="47" fillId="27" borderId="25" xfId="85" applyFont="1" applyFill="1" applyBorder="1" applyAlignment="1">
      <alignment horizontal="center" vertical="center" wrapText="1"/>
    </xf>
    <xf numFmtId="0" fontId="47" fillId="27" borderId="25" xfId="85" applyFont="1" applyFill="1" applyBorder="1" applyAlignment="1">
      <alignment horizontal="left" vertical="center" wrapText="1"/>
    </xf>
    <xf numFmtId="0" fontId="0" fillId="0" borderId="36" xfId="0" applyBorder="1" applyAlignment="1">
      <alignment horizontal="right"/>
    </xf>
    <xf numFmtId="43" fontId="0" fillId="0" borderId="36" xfId="45" applyFont="1" applyBorder="1" applyAlignment="1">
      <alignment horizontal="right"/>
    </xf>
    <xf numFmtId="0" fontId="0" fillId="0" borderId="0" xfId="0" applyAlignment="1">
      <alignment horizontal="right"/>
    </xf>
    <xf numFmtId="43" fontId="0" fillId="0" borderId="0" xfId="45" applyFont="1" applyAlignment="1">
      <alignment horizontal="right"/>
    </xf>
    <xf numFmtId="0" fontId="88" fillId="0" borderId="0" xfId="0" applyFont="1" applyAlignment="1">
      <alignment horizontal="right"/>
    </xf>
    <xf numFmtId="43" fontId="88" fillId="0" borderId="0" xfId="45" applyFont="1" applyAlignment="1">
      <alignment horizontal="right"/>
    </xf>
    <xf numFmtId="0" fontId="47" fillId="0" borderId="67" xfId="85" applyFont="1" applyBorder="1" applyAlignment="1">
      <alignment horizontal="center" vertical="center" wrapText="1"/>
    </xf>
    <xf numFmtId="0" fontId="47" fillId="0" borderId="25" xfId="85" applyFont="1" applyBorder="1" applyAlignment="1">
      <alignment vertical="center" wrapText="1"/>
    </xf>
    <xf numFmtId="43" fontId="40" fillId="0" borderId="0" xfId="45" applyFont="1" applyAlignment="1">
      <alignment vertical="center" wrapText="1"/>
    </xf>
    <xf numFmtId="165" fontId="40" fillId="0" borderId="0" xfId="116" applyNumberFormat="1" applyFont="1" applyAlignment="1">
      <alignment vertical="center" wrapText="1"/>
    </xf>
    <xf numFmtId="43" fontId="40" fillId="0" borderId="0" xfId="116" applyNumberFormat="1" applyFont="1" applyAlignment="1">
      <alignment vertical="center" wrapText="1"/>
    </xf>
    <xf numFmtId="0" fontId="47" fillId="0" borderId="103" xfId="85" applyFont="1" applyBorder="1" applyAlignment="1">
      <alignment horizontal="center" vertical="center" wrapText="1"/>
    </xf>
    <xf numFmtId="0" fontId="47" fillId="0" borderId="103" xfId="85" applyFont="1" applyBorder="1" applyAlignment="1">
      <alignment horizontal="left" vertical="center" wrapText="1"/>
    </xf>
    <xf numFmtId="0" fontId="47" fillId="0" borderId="26" xfId="85" applyFont="1" applyBorder="1" applyAlignment="1">
      <alignment horizontal="center" vertical="center" wrapText="1"/>
    </xf>
    <xf numFmtId="0" fontId="47" fillId="0" borderId="26" xfId="85" applyFont="1" applyBorder="1" applyAlignment="1">
      <alignment horizontal="left" vertical="center" wrapText="1"/>
    </xf>
    <xf numFmtId="0" fontId="43" fillId="41" borderId="71" xfId="85" applyFont="1" applyFill="1" applyBorder="1" applyAlignment="1">
      <alignment horizontal="center" vertical="center" wrapText="1"/>
    </xf>
    <xf numFmtId="0" fontId="40" fillId="41" borderId="39" xfId="87" applyFont="1" applyFill="1" applyBorder="1" applyAlignment="1">
      <alignment horizontal="center" vertical="center" wrapText="1"/>
    </xf>
    <xf numFmtId="0" fontId="43" fillId="41" borderId="25" xfId="85" applyFont="1" applyFill="1" applyBorder="1" applyAlignment="1">
      <alignment horizontal="center" vertical="center" wrapText="1"/>
    </xf>
    <xf numFmtId="0" fontId="43" fillId="27" borderId="39" xfId="87" applyFont="1" applyFill="1" applyBorder="1" applyAlignment="1">
      <alignment horizontal="center" vertical="center" wrapText="1"/>
    </xf>
    <xf numFmtId="0" fontId="47" fillId="27" borderId="67" xfId="85" applyFont="1" applyFill="1" applyBorder="1" applyAlignment="1">
      <alignment horizontal="center" vertical="center" wrapText="1"/>
    </xf>
    <xf numFmtId="0" fontId="47" fillId="27" borderId="25" xfId="85" applyFont="1" applyFill="1" applyBorder="1" applyAlignment="1">
      <alignment vertical="center" wrapText="1"/>
    </xf>
    <xf numFmtId="0" fontId="43" fillId="0" borderId="101" xfId="87" applyFont="1" applyBorder="1" applyAlignment="1">
      <alignment horizontal="center" vertical="center"/>
    </xf>
    <xf numFmtId="0" fontId="43" fillId="27" borderId="67" xfId="85" applyFont="1" applyFill="1" applyBorder="1" applyAlignment="1">
      <alignment horizontal="center" vertical="center" wrapText="1"/>
    </xf>
    <xf numFmtId="0" fontId="43" fillId="0" borderId="25" xfId="85" applyFont="1" applyBorder="1" applyAlignment="1">
      <alignment vertical="center" wrapText="1"/>
    </xf>
    <xf numFmtId="0" fontId="43" fillId="27" borderId="39" xfId="87" applyFont="1" applyFill="1" applyBorder="1" applyAlignment="1">
      <alignment horizontal="center" vertical="center"/>
    </xf>
    <xf numFmtId="0" fontId="40" fillId="27" borderId="67" xfId="85" applyFont="1" applyFill="1" applyBorder="1" applyAlignment="1">
      <alignment horizontal="center" vertical="center" wrapText="1"/>
    </xf>
    <xf numFmtId="0" fontId="47" fillId="0" borderId="26" xfId="109" applyFont="1" applyBorder="1" applyAlignment="1">
      <alignment vertical="center"/>
    </xf>
    <xf numFmtId="0" fontId="47" fillId="0" borderId="26" xfId="109" applyFont="1" applyBorder="1" applyAlignment="1">
      <alignment horizontal="center" vertical="center" wrapText="1"/>
    </xf>
    <xf numFmtId="0" fontId="47" fillId="0" borderId="26" xfId="109" applyFont="1" applyBorder="1" applyAlignment="1">
      <alignment vertical="center" wrapText="1"/>
    </xf>
    <xf numFmtId="0" fontId="43" fillId="0" borderId="101" xfId="87" applyFont="1" applyBorder="1" applyAlignment="1">
      <alignment horizontal="center" vertical="center" wrapText="1"/>
    </xf>
    <xf numFmtId="0" fontId="43" fillId="50" borderId="24" xfId="85" applyFont="1" applyFill="1" applyBorder="1" applyAlignment="1">
      <alignment horizontal="center" vertical="center" wrapText="1"/>
    </xf>
    <xf numFmtId="0" fontId="43" fillId="50" borderId="24" xfId="85" applyFont="1" applyFill="1" applyBorder="1" applyAlignment="1">
      <alignment horizontal="left" vertical="center" wrapText="1"/>
    </xf>
    <xf numFmtId="165" fontId="96" fillId="50" borderId="80" xfId="74" applyFont="1" applyFill="1" applyBorder="1" applyAlignment="1">
      <alignment horizontal="center" vertical="center" wrapText="1"/>
    </xf>
    <xf numFmtId="165" fontId="96" fillId="0" borderId="31" xfId="74" applyFont="1" applyBorder="1" applyAlignment="1">
      <alignment horizontal="center" vertical="center" wrapText="1"/>
    </xf>
    <xf numFmtId="0" fontId="40" fillId="27" borderId="0" xfId="87" applyFont="1" applyFill="1" applyAlignment="1">
      <alignment horizontal="center" vertical="center"/>
    </xf>
    <xf numFmtId="177" fontId="96" fillId="27" borderId="0" xfId="74" applyNumberFormat="1" applyFont="1" applyFill="1" applyAlignment="1">
      <alignment horizontal="center" vertical="center"/>
    </xf>
    <xf numFmtId="49" fontId="90" fillId="27" borderId="0" xfId="87" applyNumberFormat="1" applyFont="1" applyFill="1" applyAlignment="1">
      <alignment vertical="center"/>
    </xf>
    <xf numFmtId="0" fontId="40" fillId="0" borderId="0" xfId="117" applyFont="1" applyAlignment="1">
      <alignment vertical="center"/>
    </xf>
    <xf numFmtId="0" fontId="40" fillId="27" borderId="0" xfId="117" applyFont="1" applyFill="1" applyAlignment="1">
      <alignment horizontal="center" vertical="center"/>
    </xf>
    <xf numFmtId="177" fontId="40" fillId="27" borderId="0" xfId="74" applyNumberFormat="1" applyFont="1" applyFill="1" applyAlignment="1">
      <alignment horizontal="center" vertical="center"/>
    </xf>
    <xf numFmtId="0" fontId="40" fillId="0" borderId="0" xfId="117" applyFont="1" applyAlignment="1">
      <alignment horizontal="center" vertical="center"/>
    </xf>
    <xf numFmtId="177" fontId="40" fillId="27" borderId="0" xfId="74" applyNumberFormat="1" applyFont="1" applyFill="1" applyBorder="1" applyAlignment="1">
      <alignment horizontal="center" vertical="center"/>
    </xf>
    <xf numFmtId="0" fontId="90" fillId="27" borderId="0" xfId="117" applyFont="1" applyFill="1" applyAlignment="1">
      <alignment horizontal="center" vertical="center"/>
    </xf>
    <xf numFmtId="49" fontId="90" fillId="27" borderId="0" xfId="117" applyNumberFormat="1" applyFont="1" applyFill="1" applyAlignment="1">
      <alignment horizontal="center" vertical="center"/>
    </xf>
    <xf numFmtId="0" fontId="40" fillId="27" borderId="0" xfId="117" applyFont="1" applyFill="1" applyAlignment="1">
      <alignment horizontal="left" vertical="center"/>
    </xf>
    <xf numFmtId="0" fontId="40" fillId="27" borderId="0" xfId="117" applyFont="1" applyFill="1" applyAlignment="1">
      <alignment vertical="center"/>
    </xf>
    <xf numFmtId="49" fontId="90" fillId="27" borderId="0" xfId="117" applyNumberFormat="1" applyFont="1" applyFill="1" applyAlignment="1">
      <alignment vertical="center"/>
    </xf>
    <xf numFmtId="0" fontId="111" fillId="27" borderId="0" xfId="117" applyFont="1" applyFill="1" applyAlignment="1">
      <alignment vertical="center"/>
    </xf>
    <xf numFmtId="49" fontId="90" fillId="20" borderId="0" xfId="116" applyNumberFormat="1" applyFont="1" applyFill="1" applyAlignment="1">
      <alignment vertical="center"/>
    </xf>
    <xf numFmtId="0" fontId="40" fillId="27" borderId="0" xfId="116" applyFont="1" applyFill="1" applyAlignment="1">
      <alignment vertical="center"/>
    </xf>
    <xf numFmtId="0" fontId="4" fillId="0" borderId="0" xfId="95" applyFont="1"/>
    <xf numFmtId="0" fontId="7" fillId="46" borderId="42" xfId="87" applyFont="1" applyFill="1" applyBorder="1" applyAlignment="1">
      <alignment horizontal="center" vertical="center"/>
    </xf>
    <xf numFmtId="0" fontId="4" fillId="0" borderId="0" xfId="116" applyFont="1" applyAlignment="1">
      <alignment vertical="center"/>
    </xf>
    <xf numFmtId="1" fontId="2" fillId="39" borderId="104" xfId="87" applyNumberFormat="1" applyFont="1" applyFill="1" applyBorder="1" applyAlignment="1">
      <alignment vertical="center" wrapText="1"/>
    </xf>
    <xf numFmtId="1" fontId="2" fillId="39" borderId="33" xfId="87" applyNumberFormat="1" applyFont="1" applyFill="1" applyBorder="1" applyAlignment="1">
      <alignment vertical="center" wrapText="1"/>
    </xf>
    <xf numFmtId="1" fontId="2" fillId="39" borderId="13" xfId="87" applyNumberFormat="1" applyFont="1" applyFill="1" applyBorder="1" applyAlignment="1">
      <alignment vertical="center" wrapText="1"/>
    </xf>
    <xf numFmtId="4" fontId="2" fillId="39" borderId="21" xfId="87" applyNumberFormat="1" applyFont="1" applyFill="1" applyBorder="1" applyAlignment="1">
      <alignment horizontal="left" vertical="center" wrapText="1"/>
    </xf>
    <xf numFmtId="43" fontId="2" fillId="39" borderId="105" xfId="45" applyFont="1" applyFill="1" applyBorder="1" applyAlignment="1" applyProtection="1">
      <alignment horizontal="center" vertical="center" wrapText="1"/>
    </xf>
    <xf numFmtId="0" fontId="2" fillId="39" borderId="105" xfId="87" applyFont="1" applyFill="1" applyBorder="1" applyAlignment="1">
      <alignment horizontal="center" vertical="center" wrapText="1"/>
    </xf>
    <xf numFmtId="0" fontId="2" fillId="0" borderId="0" xfId="116" applyFont="1" applyAlignment="1">
      <alignment vertical="center"/>
    </xf>
    <xf numFmtId="1" fontId="4" fillId="0" borderId="67" xfId="87" applyNumberFormat="1" applyFont="1" applyBorder="1" applyAlignment="1">
      <alignment horizontal="right" vertical="center"/>
    </xf>
    <xf numFmtId="1" fontId="2" fillId="0" borderId="36" xfId="87" applyNumberFormat="1" applyFont="1" applyBorder="1" applyAlignment="1">
      <alignment horizontal="right" vertical="center"/>
    </xf>
    <xf numFmtId="1" fontId="2" fillId="0" borderId="97" xfId="87" applyNumberFormat="1" applyFont="1" applyBorder="1" applyAlignment="1">
      <alignment horizontal="right" vertical="center"/>
    </xf>
    <xf numFmtId="0" fontId="2" fillId="0" borderId="25" xfId="85" applyFont="1" applyBorder="1" applyAlignment="1">
      <alignment vertical="center" wrapText="1"/>
    </xf>
    <xf numFmtId="43" fontId="4" fillId="0" borderId="26" xfId="45" applyFont="1" applyFill="1" applyBorder="1" applyAlignment="1" applyProtection="1">
      <alignment horizontal="center" vertical="center" wrapText="1"/>
    </xf>
    <xf numFmtId="0" fontId="4" fillId="0" borderId="26" xfId="85" applyFont="1" applyBorder="1" applyAlignment="1">
      <alignment horizontal="center" vertical="center" wrapText="1"/>
    </xf>
    <xf numFmtId="1" fontId="4" fillId="0" borderId="36" xfId="87" applyNumberFormat="1" applyFont="1" applyBorder="1" applyAlignment="1">
      <alignment horizontal="right" vertical="center"/>
    </xf>
    <xf numFmtId="1" fontId="4" fillId="0" borderId="97" xfId="87" applyNumberFormat="1" applyFont="1" applyBorder="1" applyAlignment="1">
      <alignment horizontal="right" vertical="center"/>
    </xf>
    <xf numFmtId="0" fontId="4" fillId="0" borderId="25" xfId="85" applyFont="1" applyBorder="1" applyAlignment="1">
      <alignment vertical="center" wrapText="1"/>
    </xf>
    <xf numFmtId="43" fontId="4" fillId="39" borderId="26" xfId="45" applyFont="1" applyFill="1" applyBorder="1" applyAlignment="1" applyProtection="1">
      <alignment horizontal="center" vertical="center" wrapText="1"/>
    </xf>
    <xf numFmtId="1" fontId="2" fillId="39" borderId="70" xfId="87" applyNumberFormat="1" applyFont="1" applyFill="1" applyBorder="1" applyAlignment="1">
      <alignment horizontal="right" vertical="center" wrapText="1"/>
    </xf>
    <xf numFmtId="1" fontId="2" fillId="39" borderId="19" xfId="87" applyNumberFormat="1" applyFont="1" applyFill="1" applyBorder="1" applyAlignment="1">
      <alignment horizontal="right" vertical="center" wrapText="1"/>
    </xf>
    <xf numFmtId="1" fontId="2" fillId="39" borderId="75" xfId="87" applyNumberFormat="1" applyFont="1" applyFill="1" applyBorder="1" applyAlignment="1">
      <alignment vertical="center" wrapText="1"/>
    </xf>
    <xf numFmtId="0" fontId="2" fillId="39" borderId="84" xfId="87" applyFont="1" applyFill="1" applyBorder="1" applyAlignment="1">
      <alignment horizontal="left" vertical="center" wrapText="1"/>
    </xf>
    <xf numFmtId="43" fontId="2" fillId="39" borderId="68" xfId="45" applyFont="1" applyFill="1" applyBorder="1" applyAlignment="1" applyProtection="1">
      <alignment horizontal="center" vertical="center" wrapText="1"/>
    </xf>
    <xf numFmtId="0" fontId="2" fillId="39" borderId="68" xfId="87" applyFont="1" applyFill="1" applyBorder="1" applyAlignment="1">
      <alignment horizontal="center" vertical="center" wrapText="1"/>
    </xf>
    <xf numFmtId="1" fontId="4" fillId="0" borderId="73" xfId="87" applyNumberFormat="1" applyFont="1" applyBorder="1" applyAlignment="1">
      <alignment horizontal="right" vertical="center"/>
    </xf>
    <xf numFmtId="1" fontId="4" fillId="0" borderId="106" xfId="87" applyNumberFormat="1" applyFont="1" applyBorder="1" applyAlignment="1">
      <alignment horizontal="right" vertical="center"/>
    </xf>
    <xf numFmtId="1" fontId="2" fillId="0" borderId="73" xfId="87" applyNumberFormat="1" applyFont="1" applyBorder="1" applyAlignment="1">
      <alignment horizontal="right" vertical="center"/>
    </xf>
    <xf numFmtId="1" fontId="2" fillId="0" borderId="106" xfId="87" applyNumberFormat="1" applyFont="1" applyBorder="1" applyAlignment="1">
      <alignment horizontal="right" vertical="center"/>
    </xf>
    <xf numFmtId="1" fontId="4" fillId="0" borderId="74" xfId="87" applyNumberFormat="1" applyFont="1" applyBorder="1" applyAlignment="1">
      <alignment horizontal="right" vertical="center"/>
    </xf>
    <xf numFmtId="0" fontId="2" fillId="0" borderId="103" xfId="85" applyFont="1" applyBorder="1" applyAlignment="1">
      <alignment vertical="center" wrapText="1"/>
    </xf>
    <xf numFmtId="43" fontId="4" fillId="0" borderId="107" xfId="45" applyFont="1" applyFill="1" applyBorder="1" applyAlignment="1" applyProtection="1">
      <alignment horizontal="center" vertical="center" wrapText="1"/>
    </xf>
    <xf numFmtId="0" fontId="4" fillId="0" borderId="107" xfId="85" applyFont="1" applyBorder="1" applyAlignment="1">
      <alignment horizontal="center" vertical="center" wrapText="1"/>
    </xf>
    <xf numFmtId="1" fontId="2" fillId="39" borderId="67" xfId="87" applyNumberFormat="1" applyFont="1" applyFill="1" applyBorder="1" applyAlignment="1">
      <alignment horizontal="right" vertical="center" wrapText="1"/>
    </xf>
    <xf numFmtId="1" fontId="2" fillId="39" borderId="36" xfId="87" applyNumberFormat="1" applyFont="1" applyFill="1" applyBorder="1" applyAlignment="1">
      <alignment horizontal="right" vertical="center" wrapText="1"/>
    </xf>
    <xf numFmtId="1" fontId="2" fillId="39" borderId="34" xfId="87" applyNumberFormat="1" applyFont="1" applyFill="1" applyBorder="1" applyAlignment="1">
      <alignment vertical="center" wrapText="1"/>
    </xf>
    <xf numFmtId="0" fontId="2" fillId="39" borderId="41" xfId="87" applyFont="1" applyFill="1" applyBorder="1" applyAlignment="1">
      <alignment horizontal="left" vertical="center" wrapText="1"/>
    </xf>
    <xf numFmtId="43" fontId="2" fillId="39" borderId="26" xfId="45" applyFont="1" applyFill="1" applyBorder="1" applyAlignment="1" applyProtection="1">
      <alignment horizontal="center" vertical="center" wrapText="1"/>
    </xf>
    <xf numFmtId="0" fontId="2" fillId="39" borderId="26" xfId="87" applyFont="1" applyFill="1" applyBorder="1" applyAlignment="1">
      <alignment horizontal="center" vertical="center" wrapText="1"/>
    </xf>
    <xf numFmtId="0" fontId="2" fillId="0" borderId="25" xfId="87" applyFont="1" applyBorder="1" applyAlignment="1">
      <alignment horizontal="left" vertical="center"/>
    </xf>
    <xf numFmtId="0" fontId="2" fillId="0" borderId="25" xfId="87" applyFont="1" applyBorder="1" applyAlignment="1">
      <alignment horizontal="left" vertical="center" wrapText="1"/>
    </xf>
    <xf numFmtId="1" fontId="2" fillId="39" borderId="75" xfId="87" applyNumberFormat="1" applyFont="1" applyFill="1" applyBorder="1" applyAlignment="1">
      <alignment horizontal="right" vertical="center" wrapText="1"/>
    </xf>
    <xf numFmtId="43" fontId="4" fillId="39" borderId="68" xfId="45" applyFont="1" applyFill="1" applyBorder="1" applyAlignment="1" applyProtection="1">
      <alignment horizontal="center" vertical="center" wrapText="1"/>
    </xf>
    <xf numFmtId="0" fontId="4" fillId="0" borderId="68" xfId="87" applyFont="1" applyBorder="1" applyAlignment="1">
      <alignment horizontal="center" vertical="center" wrapText="1"/>
    </xf>
    <xf numFmtId="1" fontId="2" fillId="0" borderId="36" xfId="85" applyNumberFormat="1" applyFont="1" applyBorder="1" applyAlignment="1">
      <alignment horizontal="right" vertical="center" wrapText="1"/>
    </xf>
    <xf numFmtId="1" fontId="2" fillId="0" borderId="97" xfId="85" applyNumberFormat="1" applyFont="1" applyBorder="1" applyAlignment="1">
      <alignment horizontal="right" vertical="center" wrapText="1"/>
    </xf>
    <xf numFmtId="1" fontId="4" fillId="0" borderId="19" xfId="87" applyNumberFormat="1" applyFont="1" applyBorder="1" applyAlignment="1">
      <alignment horizontal="right" vertical="center"/>
    </xf>
    <xf numFmtId="43" fontId="4" fillId="0" borderId="26" xfId="45" applyFont="1" applyFill="1" applyBorder="1" applyAlignment="1" applyProtection="1">
      <alignment horizontal="center" vertical="center"/>
    </xf>
    <xf numFmtId="43" fontId="4" fillId="39" borderId="26" xfId="45" applyFont="1" applyFill="1" applyBorder="1" applyAlignment="1" applyProtection="1">
      <alignment horizontal="center" vertical="center"/>
    </xf>
    <xf numFmtId="43" fontId="4" fillId="39" borderId="68" xfId="45" applyFont="1" applyFill="1" applyBorder="1" applyAlignment="1" applyProtection="1">
      <alignment horizontal="center" vertical="center"/>
    </xf>
    <xf numFmtId="0" fontId="4" fillId="0" borderId="68" xfId="85" applyFont="1" applyBorder="1" applyAlignment="1">
      <alignment horizontal="center" vertical="center" wrapText="1"/>
    </xf>
    <xf numFmtId="43" fontId="4" fillId="39" borderId="26" xfId="45" applyFont="1" applyFill="1" applyBorder="1" applyAlignment="1">
      <alignment horizontal="center" vertical="center"/>
    </xf>
    <xf numFmtId="43" fontId="4" fillId="0" borderId="26" xfId="45" applyFont="1" applyFill="1" applyBorder="1" applyAlignment="1">
      <alignment horizontal="center" vertical="center"/>
    </xf>
    <xf numFmtId="1" fontId="2" fillId="0" borderId="32" xfId="87" applyNumberFormat="1" applyFont="1" applyBorder="1" applyAlignment="1">
      <alignment horizontal="right" vertical="center"/>
    </xf>
    <xf numFmtId="0" fontId="2" fillId="0" borderId="26" xfId="85" applyFont="1" applyBorder="1" applyAlignment="1">
      <alignment vertical="center" wrapText="1"/>
    </xf>
    <xf numFmtId="1" fontId="4" fillId="0" borderId="69" xfId="87" applyNumberFormat="1" applyFont="1" applyBorder="1" applyAlignment="1">
      <alignment horizontal="right" vertical="center"/>
    </xf>
    <xf numFmtId="0" fontId="4" fillId="0" borderId="68" xfId="85" applyFont="1" applyBorder="1" applyAlignment="1">
      <alignment vertical="center" wrapText="1"/>
    </xf>
    <xf numFmtId="1" fontId="2" fillId="0" borderId="19" xfId="87" applyNumberFormat="1" applyFont="1" applyBorder="1" applyAlignment="1">
      <alignment horizontal="right" vertical="center"/>
    </xf>
    <xf numFmtId="1" fontId="2" fillId="0" borderId="69" xfId="87" applyNumberFormat="1" applyFont="1" applyBorder="1" applyAlignment="1">
      <alignment horizontal="right" vertical="center"/>
    </xf>
    <xf numFmtId="0" fontId="2" fillId="0" borderId="68" xfId="85" applyFont="1" applyBorder="1" applyAlignment="1">
      <alignment vertical="center" wrapText="1"/>
    </xf>
    <xf numFmtId="0" fontId="4" fillId="39" borderId="68" xfId="87" applyFont="1" applyFill="1" applyBorder="1" applyAlignment="1">
      <alignment horizontal="center" vertical="center" wrapText="1"/>
    </xf>
    <xf numFmtId="43" fontId="4" fillId="0" borderId="107" xfId="45" applyFont="1" applyFill="1" applyBorder="1" applyAlignment="1" applyProtection="1">
      <alignment horizontal="center" vertical="center"/>
    </xf>
    <xf numFmtId="4" fontId="4" fillId="0" borderId="26" xfId="85" applyNumberFormat="1" applyFont="1" applyBorder="1" applyAlignment="1">
      <alignment horizontal="center" vertical="center" wrapText="1"/>
    </xf>
    <xf numFmtId="1" fontId="2" fillId="50" borderId="70" xfId="87" applyNumberFormat="1" applyFont="1" applyFill="1" applyBorder="1" applyAlignment="1">
      <alignment horizontal="right" vertical="center" wrapText="1"/>
    </xf>
    <xf numFmtId="1" fontId="2" fillId="50" borderId="19" xfId="87" applyNumberFormat="1" applyFont="1" applyFill="1" applyBorder="1" applyAlignment="1">
      <alignment horizontal="right" vertical="center" wrapText="1"/>
    </xf>
    <xf numFmtId="1" fontId="2" fillId="50" borderId="75" xfId="87" applyNumberFormat="1" applyFont="1" applyFill="1" applyBorder="1" applyAlignment="1">
      <alignment vertical="center" wrapText="1"/>
    </xf>
    <xf numFmtId="0" fontId="2" fillId="50" borderId="84" xfId="87" applyFont="1" applyFill="1" applyBorder="1" applyAlignment="1">
      <alignment horizontal="left" vertical="center" wrapText="1"/>
    </xf>
    <xf numFmtId="43" fontId="2" fillId="50" borderId="68" xfId="45" applyFont="1" applyFill="1" applyBorder="1" applyAlignment="1" applyProtection="1">
      <alignment horizontal="center" vertical="center"/>
    </xf>
    <xf numFmtId="0" fontId="2" fillId="50" borderId="68" xfId="87" applyFont="1" applyFill="1" applyBorder="1" applyAlignment="1">
      <alignment horizontal="center" vertical="center" wrapText="1"/>
    </xf>
    <xf numFmtId="1" fontId="4" fillId="0" borderId="66" xfId="87" applyNumberFormat="1" applyFont="1" applyBorder="1" applyAlignment="1">
      <alignment horizontal="right" vertical="center"/>
    </xf>
    <xf numFmtId="1" fontId="4" fillId="0" borderId="65" xfId="87" applyNumberFormat="1" applyFont="1" applyBorder="1" applyAlignment="1">
      <alignment horizontal="right" vertical="center"/>
    </xf>
    <xf numFmtId="1" fontId="2" fillId="0" borderId="65" xfId="87" applyNumberFormat="1" applyFont="1" applyBorder="1" applyAlignment="1">
      <alignment horizontal="right" vertical="center"/>
    </xf>
    <xf numFmtId="1" fontId="2" fillId="0" borderId="108" xfId="87" applyNumberFormat="1" applyFont="1" applyBorder="1" applyAlignment="1">
      <alignment horizontal="right" vertical="center"/>
    </xf>
    <xf numFmtId="0" fontId="2" fillId="0" borderId="30" xfId="85" applyFont="1" applyBorder="1" applyAlignment="1">
      <alignment vertical="center" wrapText="1"/>
    </xf>
    <xf numFmtId="43" fontId="4" fillId="0" borderId="31" xfId="45" applyFont="1" applyFill="1" applyBorder="1" applyAlignment="1" applyProtection="1">
      <alignment horizontal="center" vertical="center"/>
    </xf>
    <xf numFmtId="0" fontId="4" fillId="0" borderId="31" xfId="85" applyFont="1" applyBorder="1" applyAlignment="1">
      <alignment horizontal="center" vertical="center" wrapText="1"/>
    </xf>
    <xf numFmtId="43" fontId="4" fillId="0" borderId="0" xfId="45" applyFont="1" applyFill="1" applyAlignment="1">
      <alignment horizontal="center" vertical="center"/>
    </xf>
    <xf numFmtId="43" fontId="4" fillId="0" borderId="0" xfId="45" applyFont="1"/>
    <xf numFmtId="1" fontId="2" fillId="39" borderId="91" xfId="87" applyNumberFormat="1" applyFont="1" applyFill="1" applyBorder="1" applyAlignment="1" applyProtection="1">
      <alignment horizontal="right" vertical="center"/>
      <protection locked="0"/>
    </xf>
    <xf numFmtId="1" fontId="2" fillId="39" borderId="37" xfId="87" applyNumberFormat="1" applyFont="1" applyFill="1" applyBorder="1" applyAlignment="1" applyProtection="1">
      <alignment horizontal="right" vertical="center"/>
      <protection locked="0"/>
    </xf>
    <xf numFmtId="1" fontId="2" fillId="39" borderId="37" xfId="87" applyNumberFormat="1" applyFont="1" applyFill="1" applyBorder="1" applyAlignment="1" applyProtection="1">
      <alignment horizontal="right" vertical="top"/>
      <protection locked="0"/>
    </xf>
    <xf numFmtId="1" fontId="2" fillId="39" borderId="35" xfId="87" applyNumberFormat="1" applyFont="1" applyFill="1" applyBorder="1" applyAlignment="1" applyProtection="1">
      <alignment horizontal="right" vertical="top"/>
      <protection locked="0"/>
    </xf>
    <xf numFmtId="0" fontId="2" fillId="39" borderId="37" xfId="87" applyFont="1" applyFill="1" applyBorder="1" applyAlignment="1">
      <alignment horizontal="left" vertical="center" wrapText="1"/>
    </xf>
    <xf numFmtId="43" fontId="2" fillId="39" borderId="42" xfId="45" applyFont="1" applyFill="1" applyBorder="1" applyAlignment="1" applyProtection="1">
      <alignment horizontal="center" vertical="center"/>
    </xf>
    <xf numFmtId="0" fontId="2" fillId="39" borderId="42" xfId="87" applyFont="1" applyFill="1" applyBorder="1" applyAlignment="1">
      <alignment horizontal="center" vertical="center" wrapText="1"/>
    </xf>
    <xf numFmtId="1" fontId="4" fillId="0" borderId="70" xfId="87" applyNumberFormat="1" applyFont="1" applyBorder="1" applyAlignment="1" applyProtection="1">
      <alignment horizontal="right" vertical="center"/>
      <protection locked="0"/>
    </xf>
    <xf numFmtId="1" fontId="2" fillId="0" borderId="19" xfId="87" applyNumberFormat="1" applyFont="1" applyBorder="1" applyAlignment="1" applyProtection="1">
      <alignment horizontal="right" vertical="center"/>
      <protection locked="0"/>
    </xf>
    <xf numFmtId="1" fontId="4" fillId="0" borderId="19" xfId="87" applyNumberFormat="1" applyFont="1" applyBorder="1" applyAlignment="1" applyProtection="1">
      <alignment horizontal="right" vertical="center"/>
      <protection locked="0"/>
    </xf>
    <xf numFmtId="1" fontId="4" fillId="0" borderId="69" xfId="87" applyNumberFormat="1" applyFont="1" applyBorder="1" applyAlignment="1" applyProtection="1">
      <alignment horizontal="right" vertical="center"/>
      <protection locked="0"/>
    </xf>
    <xf numFmtId="43" fontId="4" fillId="0" borderId="68" xfId="45" applyFont="1" applyFill="1" applyBorder="1" applyAlignment="1" applyProtection="1">
      <alignment horizontal="center" vertical="center"/>
    </xf>
    <xf numFmtId="1" fontId="4" fillId="0" borderId="36" xfId="87" applyNumberFormat="1" applyFont="1" applyBorder="1" applyAlignment="1" applyProtection="1">
      <alignment horizontal="right" vertical="center"/>
      <protection locked="0"/>
    </xf>
    <xf numFmtId="1" fontId="4" fillId="0" borderId="32" xfId="87" applyNumberFormat="1" applyFont="1" applyBorder="1" applyAlignment="1" applyProtection="1">
      <alignment horizontal="right" vertical="center"/>
      <protection locked="0"/>
    </xf>
    <xf numFmtId="0" fontId="4" fillId="0" borderId="26" xfId="85" applyFont="1" applyBorder="1" applyAlignment="1">
      <alignment vertical="center" wrapText="1"/>
    </xf>
    <xf numFmtId="1" fontId="2" fillId="0" borderId="36" xfId="87" applyNumberFormat="1" applyFont="1" applyBorder="1" applyAlignment="1" applyProtection="1">
      <alignment horizontal="right" vertical="center"/>
      <protection locked="0"/>
    </xf>
    <xf numFmtId="1" fontId="2" fillId="0" borderId="32" xfId="87" applyNumberFormat="1" applyFont="1" applyBorder="1" applyAlignment="1" applyProtection="1">
      <alignment horizontal="right" vertical="center"/>
      <protection locked="0"/>
    </xf>
    <xf numFmtId="0" fontId="2" fillId="0" borderId="26" xfId="87" applyFont="1" applyBorder="1" applyAlignment="1">
      <alignment horizontal="left" vertical="center" wrapText="1"/>
    </xf>
    <xf numFmtId="1" fontId="4" fillId="0" borderId="104" xfId="87" applyNumberFormat="1" applyFont="1" applyBorder="1" applyAlignment="1" applyProtection="1">
      <alignment horizontal="right" vertical="center"/>
      <protection locked="0"/>
    </xf>
    <xf numFmtId="1" fontId="2" fillId="0" borderId="73" xfId="87" applyNumberFormat="1" applyFont="1" applyBorder="1" applyAlignment="1" applyProtection="1">
      <alignment horizontal="right" vertical="center"/>
      <protection locked="0"/>
    </xf>
    <xf numFmtId="1" fontId="2" fillId="0" borderId="11" xfId="87" applyNumberFormat="1" applyFont="1" applyBorder="1" applyAlignment="1" applyProtection="1">
      <alignment horizontal="right" vertical="center"/>
      <protection locked="0"/>
    </xf>
    <xf numFmtId="0" fontId="2" fillId="0" borderId="107" xfId="85" applyFont="1" applyBorder="1" applyAlignment="1">
      <alignment vertical="center" wrapText="1"/>
    </xf>
    <xf numFmtId="1" fontId="2" fillId="39" borderId="67" xfId="87" applyNumberFormat="1" applyFont="1" applyFill="1" applyBorder="1" applyAlignment="1" applyProtection="1">
      <alignment horizontal="right" vertical="center"/>
      <protection locked="0"/>
    </xf>
    <xf numFmtId="1" fontId="2" fillId="39" borderId="36" xfId="87" applyNumberFormat="1" applyFont="1" applyFill="1" applyBorder="1" applyAlignment="1" applyProtection="1">
      <alignment horizontal="right" vertical="center"/>
      <protection locked="0"/>
    </xf>
    <xf numFmtId="1" fontId="2" fillId="39" borderId="32" xfId="87" applyNumberFormat="1" applyFont="1" applyFill="1" applyBorder="1" applyAlignment="1" applyProtection="1">
      <alignment horizontal="right" vertical="center"/>
      <protection locked="0"/>
    </xf>
    <xf numFmtId="0" fontId="2" fillId="39" borderId="26" xfId="87" applyFont="1" applyFill="1" applyBorder="1" applyAlignment="1">
      <alignment horizontal="left" vertical="center" wrapText="1"/>
    </xf>
    <xf numFmtId="43" fontId="2" fillId="39" borderId="26" xfId="45" applyFont="1" applyFill="1" applyBorder="1" applyAlignment="1" applyProtection="1">
      <alignment horizontal="center" vertical="center"/>
    </xf>
    <xf numFmtId="0" fontId="4" fillId="0" borderId="26" xfId="87" applyFont="1" applyBorder="1" applyAlignment="1">
      <alignment horizontal="left" vertical="center" wrapText="1"/>
    </xf>
    <xf numFmtId="43" fontId="74" fillId="39" borderId="26" xfId="45" applyFont="1" applyFill="1" applyBorder="1" applyAlignment="1" applyProtection="1">
      <alignment horizontal="center" vertical="center"/>
    </xf>
    <xf numFmtId="0" fontId="74" fillId="0" borderId="26" xfId="87" applyFont="1" applyBorder="1" applyAlignment="1">
      <alignment horizontal="center" vertical="center"/>
    </xf>
    <xf numFmtId="0" fontId="113" fillId="0" borderId="0" xfId="116" applyFont="1" applyAlignment="1">
      <alignment vertical="center"/>
    </xf>
    <xf numFmtId="1" fontId="2" fillId="0" borderId="69" xfId="87" applyNumberFormat="1" applyFont="1" applyBorder="1" applyAlignment="1" applyProtection="1">
      <alignment horizontal="right" vertical="center"/>
      <protection locked="0"/>
    </xf>
    <xf numFmtId="1" fontId="2" fillId="39" borderId="70" xfId="87" applyNumberFormat="1" applyFont="1" applyFill="1" applyBorder="1" applyAlignment="1" applyProtection="1">
      <alignment horizontal="right" vertical="center"/>
      <protection locked="0"/>
    </xf>
    <xf numFmtId="1" fontId="2" fillId="39" borderId="19" xfId="87" applyNumberFormat="1" applyFont="1" applyFill="1" applyBorder="1" applyAlignment="1" applyProtection="1">
      <alignment horizontal="right" vertical="center"/>
      <protection locked="0"/>
    </xf>
    <xf numFmtId="1" fontId="2" fillId="39" borderId="69" xfId="87" applyNumberFormat="1" applyFont="1" applyFill="1" applyBorder="1" applyAlignment="1" applyProtection="1">
      <alignment horizontal="right" vertical="center"/>
      <protection locked="0"/>
    </xf>
    <xf numFmtId="0" fontId="2" fillId="39" borderId="68" xfId="87" applyFont="1" applyFill="1" applyBorder="1" applyAlignment="1">
      <alignment horizontal="left" vertical="center" wrapText="1"/>
    </xf>
    <xf numFmtId="1" fontId="4" fillId="0" borderId="73" xfId="87" applyNumberFormat="1" applyFont="1" applyBorder="1" applyAlignment="1" applyProtection="1">
      <alignment horizontal="right" vertical="center"/>
      <protection locked="0"/>
    </xf>
    <xf numFmtId="1" fontId="4" fillId="0" borderId="11" xfId="87" applyNumberFormat="1" applyFont="1" applyBorder="1" applyAlignment="1" applyProtection="1">
      <alignment horizontal="right" vertical="center"/>
      <protection locked="0"/>
    </xf>
    <xf numFmtId="0" fontId="4" fillId="0" borderId="107" xfId="85" applyFont="1" applyBorder="1" applyAlignment="1">
      <alignment vertical="center" wrapText="1"/>
    </xf>
    <xf numFmtId="0" fontId="4" fillId="0" borderId="68" xfId="87" applyFont="1" applyBorder="1" applyAlignment="1">
      <alignment horizontal="left" vertical="center" wrapText="1"/>
    </xf>
    <xf numFmtId="1" fontId="4" fillId="0" borderId="67" xfId="87" applyNumberFormat="1" applyFont="1" applyBorder="1" applyAlignment="1" applyProtection="1">
      <alignment horizontal="right" vertical="center"/>
      <protection locked="0"/>
    </xf>
    <xf numFmtId="1" fontId="2" fillId="0" borderId="70" xfId="87" applyNumberFormat="1" applyFont="1" applyBorder="1" applyAlignment="1" applyProtection="1">
      <alignment horizontal="right" vertical="center"/>
      <protection locked="0"/>
    </xf>
    <xf numFmtId="0" fontId="2" fillId="0" borderId="68" xfId="87" applyFont="1" applyBorder="1" applyAlignment="1">
      <alignment horizontal="left" vertical="center" wrapText="1"/>
    </xf>
    <xf numFmtId="1" fontId="4" fillId="0" borderId="34" xfId="87" applyNumberFormat="1" applyFont="1" applyBorder="1" applyAlignment="1" applyProtection="1">
      <alignment horizontal="right" vertical="center"/>
      <protection locked="0"/>
    </xf>
    <xf numFmtId="1" fontId="2" fillId="0" borderId="34" xfId="87" applyNumberFormat="1" applyFont="1" applyBorder="1" applyAlignment="1" applyProtection="1">
      <alignment horizontal="right" vertical="center"/>
      <protection locked="0"/>
    </xf>
    <xf numFmtId="1" fontId="4" fillId="0" borderId="74" xfId="87" applyNumberFormat="1" applyFont="1" applyBorder="1" applyAlignment="1" applyProtection="1">
      <alignment horizontal="right" vertical="center"/>
      <protection locked="0"/>
    </xf>
    <xf numFmtId="1" fontId="2" fillId="0" borderId="101" xfId="87" applyNumberFormat="1" applyFont="1" applyBorder="1" applyAlignment="1" applyProtection="1">
      <alignment horizontal="right" vertical="center"/>
      <protection locked="0"/>
    </xf>
    <xf numFmtId="1" fontId="2" fillId="50" borderId="74" xfId="87" applyNumberFormat="1" applyFont="1" applyFill="1" applyBorder="1" applyAlignment="1" applyProtection="1">
      <alignment horizontal="right" vertical="center"/>
      <protection locked="0"/>
    </xf>
    <xf numFmtId="1" fontId="2" fillId="50" borderId="73" xfId="87" applyNumberFormat="1" applyFont="1" applyFill="1" applyBorder="1" applyAlignment="1" applyProtection="1">
      <alignment horizontal="right" vertical="center"/>
      <protection locked="0"/>
    </xf>
    <xf numFmtId="1" fontId="2" fillId="50" borderId="11" xfId="87" applyNumberFormat="1" applyFont="1" applyFill="1" applyBorder="1" applyAlignment="1" applyProtection="1">
      <alignment horizontal="right" vertical="center"/>
      <protection locked="0"/>
    </xf>
    <xf numFmtId="0" fontId="2" fillId="50" borderId="107" xfId="85" applyFont="1" applyFill="1" applyBorder="1" applyAlignment="1">
      <alignment vertical="center" wrapText="1"/>
    </xf>
    <xf numFmtId="43" fontId="2" fillId="50" borderId="107" xfId="45" applyFont="1" applyFill="1" applyBorder="1" applyAlignment="1" applyProtection="1">
      <alignment horizontal="center" vertical="center"/>
    </xf>
    <xf numFmtId="0" fontId="2" fillId="50" borderId="107" xfId="85" applyFont="1" applyFill="1" applyBorder="1" applyAlignment="1">
      <alignment horizontal="center" vertical="center" wrapText="1"/>
    </xf>
    <xf numFmtId="0" fontId="4" fillId="0" borderId="26" xfId="87" applyFont="1" applyBorder="1" applyAlignment="1">
      <alignment horizontal="center" vertical="center"/>
    </xf>
    <xf numFmtId="180" fontId="4" fillId="0" borderId="26" xfId="82" applyNumberFormat="1" applyFont="1" applyFill="1" applyBorder="1" applyAlignment="1" applyProtection="1">
      <alignment horizontal="center" vertical="center" wrapText="1"/>
    </xf>
    <xf numFmtId="1" fontId="4" fillId="0" borderId="66" xfId="87" applyNumberFormat="1" applyFont="1" applyBorder="1" applyAlignment="1" applyProtection="1">
      <alignment horizontal="right" vertical="center"/>
      <protection locked="0"/>
    </xf>
    <xf numFmtId="1" fontId="4" fillId="0" borderId="65" xfId="87" applyNumberFormat="1" applyFont="1" applyBorder="1" applyAlignment="1" applyProtection="1">
      <alignment horizontal="right" vertical="center"/>
      <protection locked="0"/>
    </xf>
    <xf numFmtId="1" fontId="2" fillId="0" borderId="65" xfId="87" applyNumberFormat="1" applyFont="1" applyBorder="1" applyAlignment="1" applyProtection="1">
      <alignment horizontal="right" vertical="center"/>
      <protection locked="0"/>
    </xf>
    <xf numFmtId="1" fontId="2" fillId="0" borderId="14" xfId="87" applyNumberFormat="1" applyFont="1" applyBorder="1" applyAlignment="1" applyProtection="1">
      <alignment horizontal="right" vertical="center"/>
      <protection locked="0"/>
    </xf>
    <xf numFmtId="0" fontId="2" fillId="0" borderId="31" xfId="87" applyFont="1" applyBorder="1" applyAlignment="1">
      <alignment horizontal="left" vertical="center" wrapText="1"/>
    </xf>
    <xf numFmtId="180" fontId="4" fillId="0" borderId="31" xfId="82" applyNumberFormat="1" applyFont="1" applyFill="1" applyBorder="1" applyAlignment="1" applyProtection="1">
      <alignment horizontal="center" vertical="center" wrapText="1"/>
    </xf>
    <xf numFmtId="4" fontId="4" fillId="0" borderId="0" xfId="116" applyNumberFormat="1" applyFont="1" applyAlignment="1">
      <alignment vertical="center"/>
    </xf>
    <xf numFmtId="43" fontId="4" fillId="0" borderId="0" xfId="45" applyFont="1" applyFill="1" applyBorder="1" applyAlignment="1" applyProtection="1">
      <alignment horizontal="center" vertical="center"/>
    </xf>
    <xf numFmtId="0" fontId="75" fillId="0" borderId="0" xfId="95" applyFont="1"/>
    <xf numFmtId="43" fontId="75" fillId="0" borderId="0" xfId="45" applyFont="1" applyAlignment="1"/>
    <xf numFmtId="176" fontId="52" fillId="11" borderId="109" xfId="45" applyNumberFormat="1" applyFont="1" applyFill="1" applyBorder="1" applyAlignment="1">
      <alignment horizontal="center" vertical="center"/>
    </xf>
    <xf numFmtId="176" fontId="76" fillId="11" borderId="109" xfId="45" applyNumberFormat="1" applyFont="1" applyFill="1" applyBorder="1" applyAlignment="1">
      <alignment horizontal="center" vertical="center"/>
    </xf>
    <xf numFmtId="0" fontId="3" fillId="0" borderId="0" xfId="96"/>
    <xf numFmtId="0" fontId="77" fillId="2" borderId="110" xfId="115" applyFont="1" applyFill="1" applyBorder="1" applyAlignment="1">
      <alignment horizontal="right" vertical="center"/>
    </xf>
    <xf numFmtId="176" fontId="114" fillId="0" borderId="110" xfId="45" applyNumberFormat="1" applyFont="1" applyFill="1" applyBorder="1" applyAlignment="1">
      <alignment horizontal="right" vertical="center"/>
    </xf>
    <xf numFmtId="176" fontId="78" fillId="0" borderId="110" xfId="45" applyNumberFormat="1" applyFont="1" applyFill="1" applyBorder="1" applyAlignment="1">
      <alignment horizontal="right" vertical="center"/>
    </xf>
    <xf numFmtId="0" fontId="78" fillId="26" borderId="110" xfId="115" applyFont="1" applyFill="1" applyBorder="1" applyAlignment="1">
      <alignment vertical="center"/>
    </xf>
    <xf numFmtId="0" fontId="78" fillId="26" borderId="110" xfId="115" applyFont="1" applyFill="1" applyBorder="1" applyAlignment="1">
      <alignment horizontal="center" vertical="center"/>
    </xf>
    <xf numFmtId="176" fontId="115" fillId="26" borderId="110" xfId="45" applyNumberFormat="1" applyFont="1" applyFill="1" applyBorder="1" applyAlignment="1">
      <alignment horizontal="right" vertical="center"/>
    </xf>
    <xf numFmtId="176" fontId="79" fillId="26" borderId="110" xfId="45" applyNumberFormat="1" applyFont="1" applyFill="1" applyBorder="1" applyAlignment="1">
      <alignment horizontal="right" vertical="center"/>
    </xf>
    <xf numFmtId="0" fontId="78" fillId="0" borderId="110" xfId="115" applyFont="1" applyBorder="1" applyAlignment="1">
      <alignment vertical="center"/>
    </xf>
    <xf numFmtId="176" fontId="78" fillId="0" borderId="110" xfId="45" applyNumberFormat="1" applyFont="1" applyBorder="1" applyAlignment="1">
      <alignment horizontal="right" vertical="center"/>
    </xf>
    <xf numFmtId="0" fontId="59" fillId="4" borderId="110" xfId="115" applyFont="1" applyFill="1" applyBorder="1" applyAlignment="1">
      <alignment horizontal="left" vertical="center"/>
    </xf>
    <xf numFmtId="176" fontId="95" fillId="0" borderId="110" xfId="45" applyNumberFormat="1" applyFont="1" applyBorder="1" applyAlignment="1">
      <alignment vertical="center"/>
    </xf>
    <xf numFmtId="0" fontId="77" fillId="0" borderId="110" xfId="115" applyFont="1" applyBorder="1" applyAlignment="1">
      <alignment vertical="center"/>
    </xf>
    <xf numFmtId="0" fontId="77" fillId="0" borderId="110" xfId="115" applyFont="1" applyBorder="1" applyAlignment="1">
      <alignment horizontal="left" vertical="center"/>
    </xf>
    <xf numFmtId="176" fontId="77" fillId="0" borderId="110" xfId="45" applyNumberFormat="1" applyFont="1" applyFill="1" applyBorder="1" applyAlignment="1">
      <alignment horizontal="right" vertical="center"/>
    </xf>
    <xf numFmtId="37" fontId="78" fillId="26" borderId="110" xfId="118" applyNumberFormat="1" applyFont="1" applyFill="1" applyBorder="1" applyAlignment="1">
      <alignment horizontal="center" vertical="center"/>
    </xf>
    <xf numFmtId="176" fontId="78" fillId="26" borderId="110" xfId="45" applyNumberFormat="1" applyFont="1" applyFill="1" applyBorder="1" applyAlignment="1">
      <alignment horizontal="right" vertical="center"/>
    </xf>
    <xf numFmtId="176" fontId="77" fillId="51" borderId="110" xfId="45" applyNumberFormat="1" applyFont="1" applyFill="1" applyBorder="1" applyAlignment="1">
      <alignment horizontal="right" vertical="center"/>
    </xf>
    <xf numFmtId="176" fontId="77" fillId="0" borderId="110" xfId="45" applyNumberFormat="1" applyFont="1" applyBorder="1" applyAlignment="1">
      <alignment horizontal="right" vertical="center"/>
    </xf>
    <xf numFmtId="0" fontId="81" fillId="0" borderId="110" xfId="115" applyFont="1" applyBorder="1" applyAlignment="1">
      <alignment vertical="center"/>
    </xf>
    <xf numFmtId="0" fontId="82" fillId="11" borderId="110" xfId="115" applyFont="1" applyFill="1" applyBorder="1" applyAlignment="1">
      <alignment vertical="center"/>
    </xf>
    <xf numFmtId="176" fontId="78" fillId="11" borderId="110" xfId="45" applyNumberFormat="1" applyFont="1" applyFill="1" applyBorder="1" applyAlignment="1">
      <alignment horizontal="right" vertical="center"/>
    </xf>
    <xf numFmtId="0" fontId="83" fillId="0" borderId="110" xfId="115" applyFont="1" applyBorder="1" applyAlignment="1">
      <alignment vertical="center"/>
    </xf>
    <xf numFmtId="176" fontId="116" fillId="0" borderId="110" xfId="45" applyNumberFormat="1" applyFont="1" applyBorder="1" applyAlignment="1">
      <alignment vertical="center"/>
    </xf>
    <xf numFmtId="0" fontId="81" fillId="0" borderId="110" xfId="115" applyFont="1" applyBorder="1" applyAlignment="1">
      <alignment horizontal="left" vertical="center" wrapText="1"/>
    </xf>
    <xf numFmtId="0" fontId="81" fillId="0" borderId="110" xfId="115" applyFont="1" applyBorder="1" applyAlignment="1">
      <alignment horizontal="left" vertical="center"/>
    </xf>
    <xf numFmtId="0" fontId="3" fillId="0" borderId="0" xfId="96" applyAlignment="1">
      <alignment horizontal="right"/>
    </xf>
    <xf numFmtId="0" fontId="78" fillId="0" borderId="110" xfId="115" applyFont="1" applyBorder="1" applyAlignment="1">
      <alignment horizontal="left" vertical="center"/>
    </xf>
    <xf numFmtId="176" fontId="78" fillId="51" borderId="110" xfId="45" applyNumberFormat="1" applyFont="1" applyFill="1" applyBorder="1" applyAlignment="1">
      <alignment horizontal="right" vertical="center"/>
    </xf>
    <xf numFmtId="176" fontId="77" fillId="46" borderId="110" xfId="45" applyNumberFormat="1" applyFont="1" applyFill="1" applyBorder="1" applyAlignment="1">
      <alignment horizontal="right" vertical="center"/>
    </xf>
    <xf numFmtId="0" fontId="78" fillId="0" borderId="110" xfId="115" applyFont="1" applyBorder="1" applyAlignment="1">
      <alignment vertical="center" wrapText="1"/>
    </xf>
    <xf numFmtId="176" fontId="117" fillId="0" borderId="110" xfId="45" applyNumberFormat="1" applyFont="1" applyBorder="1" applyAlignment="1">
      <alignment horizontal="right" vertical="center"/>
    </xf>
    <xf numFmtId="0" fontId="79" fillId="0" borderId="110" xfId="115" applyFont="1" applyBorder="1" applyAlignment="1">
      <alignment horizontal="center" vertical="center"/>
    </xf>
    <xf numFmtId="176" fontId="79" fillId="0" borderId="110" xfId="45" applyNumberFormat="1" applyFont="1" applyFill="1" applyBorder="1" applyAlignment="1">
      <alignment horizontal="right" vertical="center"/>
    </xf>
    <xf numFmtId="0" fontId="77" fillId="0" borderId="110" xfId="115" applyFont="1" applyBorder="1" applyAlignment="1">
      <alignment horizontal="center" vertical="center"/>
    </xf>
    <xf numFmtId="0" fontId="78" fillId="0" borderId="111" xfId="115" applyFont="1" applyBorder="1" applyAlignment="1">
      <alignment horizontal="left" vertical="center"/>
    </xf>
    <xf numFmtId="0" fontId="78" fillId="0" borderId="111" xfId="115" applyFont="1" applyBorder="1" applyAlignment="1">
      <alignment horizontal="center" vertical="center"/>
    </xf>
    <xf numFmtId="176" fontId="78" fillId="0" borderId="111" xfId="45" applyNumberFormat="1" applyFont="1" applyFill="1" applyBorder="1" applyAlignment="1">
      <alignment horizontal="right" vertical="center"/>
    </xf>
    <xf numFmtId="176" fontId="95" fillId="0" borderId="0" xfId="45" applyNumberFormat="1" applyFont="1"/>
    <xf numFmtId="176" fontId="3" fillId="0" borderId="0" xfId="45" applyNumberFormat="1"/>
    <xf numFmtId="43" fontId="63" fillId="0" borderId="91" xfId="45" applyNumberFormat="1" applyFont="1" applyBorder="1" applyAlignment="1">
      <alignment horizontal="center" vertical="center" wrapText="1"/>
    </xf>
    <xf numFmtId="43" fontId="63" fillId="0" borderId="92" xfId="45" applyNumberFormat="1" applyFont="1" applyBorder="1" applyAlignment="1">
      <alignment horizontal="center" vertical="center" wrapText="1"/>
    </xf>
    <xf numFmtId="43" fontId="96" fillId="25" borderId="79" xfId="45" applyNumberFormat="1" applyFont="1" applyFill="1" applyBorder="1" applyAlignment="1" applyProtection="1">
      <alignment horizontal="right" vertical="center" wrapText="1"/>
    </xf>
    <xf numFmtId="43" fontId="96" fillId="25" borderId="76" xfId="45" applyNumberFormat="1" applyFont="1" applyFill="1" applyBorder="1" applyAlignment="1" applyProtection="1">
      <alignment horizontal="right" vertical="center" wrapText="1"/>
    </xf>
    <xf numFmtId="43" fontId="96" fillId="39" borderId="70" xfId="45" applyNumberFormat="1" applyFont="1" applyFill="1" applyBorder="1" applyAlignment="1" applyProtection="1">
      <alignment horizontal="right" vertical="center" wrapText="1"/>
    </xf>
    <xf numFmtId="43" fontId="96" fillId="39" borderId="19" xfId="45" applyNumberFormat="1" applyFont="1" applyFill="1" applyBorder="1" applyAlignment="1" applyProtection="1">
      <alignment horizontal="right" vertical="center" wrapText="1"/>
    </xf>
    <xf numFmtId="43" fontId="96" fillId="0" borderId="25" xfId="45" applyNumberFormat="1" applyFont="1" applyFill="1" applyBorder="1" applyAlignment="1" applyProtection="1">
      <alignment horizontal="right" vertical="center" wrapText="1"/>
    </xf>
    <xf numFmtId="43" fontId="96" fillId="0" borderId="36" xfId="45" applyNumberFormat="1" applyFont="1" applyFill="1" applyBorder="1" applyAlignment="1" applyProtection="1">
      <alignment horizontal="right" vertical="center" wrapText="1"/>
    </xf>
    <xf numFmtId="43" fontId="96" fillId="25" borderId="71" xfId="45" applyNumberFormat="1" applyFont="1" applyFill="1" applyBorder="1" applyAlignment="1" applyProtection="1">
      <alignment horizontal="right" vertical="center" wrapText="1"/>
    </xf>
    <xf numFmtId="43" fontId="96" fillId="25" borderId="19" xfId="45" applyNumberFormat="1" applyFont="1" applyFill="1" applyBorder="1" applyAlignment="1" applyProtection="1">
      <alignment horizontal="right" vertical="center" wrapText="1"/>
    </xf>
    <xf numFmtId="43" fontId="96" fillId="0" borderId="71" xfId="45" applyNumberFormat="1" applyFont="1" applyFill="1" applyBorder="1" applyAlignment="1" applyProtection="1">
      <alignment horizontal="right" vertical="center" wrapText="1"/>
    </xf>
    <xf numFmtId="43" fontId="96" fillId="0" borderId="19" xfId="45" applyNumberFormat="1" applyFont="1" applyFill="1" applyBorder="1" applyAlignment="1" applyProtection="1">
      <alignment horizontal="right" vertical="center" wrapText="1"/>
    </xf>
    <xf numFmtId="43" fontId="96" fillId="0" borderId="25" xfId="45" applyNumberFormat="1" applyFont="1" applyFill="1" applyBorder="1" applyAlignment="1" applyProtection="1">
      <alignment horizontal="right" vertical="center"/>
    </xf>
    <xf numFmtId="43" fontId="96" fillId="0" borderId="36" xfId="45" applyNumberFormat="1" applyFont="1" applyFill="1" applyBorder="1" applyAlignment="1" applyProtection="1">
      <alignment horizontal="right" vertical="center"/>
    </xf>
    <xf numFmtId="43" fontId="96" fillId="31" borderId="25" xfId="45" applyNumberFormat="1" applyFont="1" applyFill="1" applyBorder="1" applyAlignment="1" applyProtection="1">
      <alignment horizontal="right" vertical="center" wrapText="1"/>
    </xf>
    <xf numFmtId="43" fontId="96" fillId="31" borderId="36" xfId="45" applyNumberFormat="1" applyFont="1" applyFill="1" applyBorder="1" applyAlignment="1" applyProtection="1">
      <alignment horizontal="right" vertical="center" wrapText="1"/>
    </xf>
    <xf numFmtId="43" fontId="94" fillId="25" borderId="71" xfId="45" applyNumberFormat="1" applyFont="1" applyFill="1" applyBorder="1" applyAlignment="1" applyProtection="1">
      <alignment horizontal="right" vertical="center" wrapText="1"/>
    </xf>
    <xf numFmtId="43" fontId="94" fillId="25" borderId="19" xfId="45" applyNumberFormat="1" applyFont="1" applyFill="1" applyBorder="1" applyAlignment="1" applyProtection="1">
      <alignment horizontal="right" vertical="center" wrapText="1"/>
    </xf>
    <xf numFmtId="43" fontId="96" fillId="45" borderId="36" xfId="45" applyNumberFormat="1" applyFont="1" applyFill="1" applyBorder="1" applyAlignment="1" applyProtection="1">
      <alignment horizontal="right" vertical="center" wrapText="1"/>
    </xf>
    <xf numFmtId="43" fontId="96" fillId="0" borderId="25" xfId="45" applyNumberFormat="1" applyFont="1" applyFill="1" applyBorder="1" applyAlignment="1">
      <alignment horizontal="right" vertical="center"/>
    </xf>
    <xf numFmtId="43" fontId="96" fillId="0" borderId="36" xfId="45" applyNumberFormat="1" applyFont="1" applyFill="1" applyBorder="1" applyAlignment="1">
      <alignment horizontal="right" vertical="center"/>
    </xf>
    <xf numFmtId="43" fontId="96" fillId="25" borderId="36" xfId="45" applyNumberFormat="1" applyFont="1" applyFill="1" applyBorder="1" applyAlignment="1" applyProtection="1">
      <alignment horizontal="right" vertical="center" wrapText="1"/>
    </xf>
    <xf numFmtId="43" fontId="61" fillId="25" borderId="36" xfId="45" applyNumberFormat="1" applyFont="1" applyFill="1" applyBorder="1" applyAlignment="1">
      <alignment horizontal="right" vertical="center"/>
    </xf>
    <xf numFmtId="43" fontId="96" fillId="43" borderId="36" xfId="45" applyNumberFormat="1" applyFont="1" applyFill="1" applyBorder="1" applyAlignment="1" applyProtection="1">
      <alignment horizontal="right" vertical="center"/>
    </xf>
    <xf numFmtId="43" fontId="62" fillId="0" borderId="36" xfId="45" applyNumberFormat="1" applyFont="1" applyBorder="1" applyAlignment="1">
      <alignment horizontal="right" vertical="center"/>
    </xf>
    <xf numFmtId="43" fontId="62" fillId="25" borderId="36" xfId="45" applyNumberFormat="1" applyFont="1" applyFill="1" applyBorder="1" applyAlignment="1">
      <alignment horizontal="right" vertical="center" wrapText="1"/>
    </xf>
    <xf numFmtId="43" fontId="62" fillId="25" borderId="36" xfId="45" applyNumberFormat="1" applyFont="1" applyFill="1" applyBorder="1" applyAlignment="1">
      <alignment horizontal="right" vertical="center"/>
    </xf>
    <xf numFmtId="43" fontId="61" fillId="0" borderId="36" xfId="45" applyNumberFormat="1" applyFont="1" applyBorder="1" applyAlignment="1">
      <alignment horizontal="right" vertical="center" wrapText="1"/>
    </xf>
    <xf numFmtId="43" fontId="61" fillId="25" borderId="36" xfId="45" applyNumberFormat="1" applyFont="1" applyFill="1" applyBorder="1" applyAlignment="1">
      <alignment horizontal="right" vertical="center" wrapText="1"/>
    </xf>
    <xf numFmtId="43" fontId="61" fillId="0" borderId="36" xfId="45" applyNumberFormat="1" applyFont="1" applyBorder="1" applyAlignment="1">
      <alignment horizontal="right" vertical="center"/>
    </xf>
    <xf numFmtId="43" fontId="96" fillId="0" borderId="67" xfId="45" applyNumberFormat="1" applyFont="1" applyFill="1" applyBorder="1" applyAlignment="1" applyProtection="1">
      <alignment horizontal="right" vertical="center" wrapText="1"/>
    </xf>
    <xf numFmtId="43" fontId="96" fillId="25" borderId="70" xfId="45" applyNumberFormat="1" applyFont="1" applyFill="1" applyBorder="1" applyAlignment="1" applyProtection="1">
      <alignment horizontal="right" vertical="center" wrapText="1"/>
    </xf>
    <xf numFmtId="43" fontId="61" fillId="25" borderId="19" xfId="45" applyNumberFormat="1" applyFont="1" applyFill="1" applyBorder="1" applyAlignment="1">
      <alignment horizontal="right" vertical="center" wrapText="1"/>
    </xf>
    <xf numFmtId="43" fontId="96" fillId="0" borderId="71" xfId="45" applyNumberFormat="1" applyFont="1" applyFill="1" applyBorder="1" applyAlignment="1" applyProtection="1">
      <alignment horizontal="right" vertical="center"/>
    </xf>
    <xf numFmtId="43" fontId="96" fillId="0" borderId="19" xfId="45" applyNumberFormat="1" applyFont="1" applyFill="1" applyBorder="1" applyAlignment="1" applyProtection="1">
      <alignment horizontal="right" vertical="center"/>
    </xf>
    <xf numFmtId="43" fontId="96" fillId="0" borderId="24" xfId="45" applyNumberFormat="1" applyFont="1" applyFill="1" applyBorder="1" applyAlignment="1" applyProtection="1">
      <alignment horizontal="right" vertical="center" wrapText="1"/>
    </xf>
    <xf numFmtId="43" fontId="96" fillId="0" borderId="81" xfId="45" applyNumberFormat="1" applyFont="1" applyFill="1" applyBorder="1" applyAlignment="1" applyProtection="1">
      <alignment horizontal="right" vertical="center" wrapText="1"/>
    </xf>
    <xf numFmtId="43" fontId="96" fillId="0" borderId="0" xfId="0" applyNumberFormat="1" applyFont="1" applyBorder="1"/>
    <xf numFmtId="43" fontId="96" fillId="0" borderId="15" xfId="0" applyNumberFormat="1" applyFont="1" applyBorder="1"/>
    <xf numFmtId="43" fontId="94" fillId="25" borderId="28" xfId="45" applyNumberFormat="1" applyFont="1" applyFill="1" applyBorder="1" applyAlignment="1" applyProtection="1">
      <alignment horizontal="left" vertical="center" wrapText="1"/>
    </xf>
    <xf numFmtId="43" fontId="94" fillId="25" borderId="76" xfId="45" applyNumberFormat="1" applyFont="1" applyFill="1" applyBorder="1" applyAlignment="1" applyProtection="1">
      <alignment horizontal="left" vertical="center" wrapText="1"/>
    </xf>
    <xf numFmtId="43" fontId="96" fillId="39" borderId="25" xfId="45" applyNumberFormat="1" applyFont="1" applyFill="1" applyBorder="1" applyAlignment="1" applyProtection="1">
      <alignment horizontal="left" vertical="center" wrapText="1"/>
    </xf>
    <xf numFmtId="43" fontId="96" fillId="39" borderId="36" xfId="45" applyNumberFormat="1" applyFont="1" applyFill="1" applyBorder="1" applyAlignment="1" applyProtection="1">
      <alignment horizontal="left" vertical="center" wrapText="1"/>
    </xf>
    <xf numFmtId="43" fontId="96" fillId="41" borderId="36" xfId="45" applyNumberFormat="1" applyFont="1" applyFill="1" applyBorder="1" applyAlignment="1" applyProtection="1">
      <alignment horizontal="right" vertical="center"/>
    </xf>
    <xf numFmtId="43" fontId="96" fillId="37" borderId="36" xfId="45" applyNumberFormat="1" applyFont="1" applyFill="1" applyBorder="1" applyAlignment="1" applyProtection="1">
      <alignment horizontal="right" vertical="center"/>
    </xf>
    <xf numFmtId="43" fontId="96" fillId="39" borderId="36" xfId="45" applyNumberFormat="1" applyFont="1" applyFill="1" applyBorder="1" applyAlignment="1" applyProtection="1">
      <alignment horizontal="right" vertical="center" wrapText="1"/>
    </xf>
    <xf numFmtId="43" fontId="96" fillId="35" borderId="36" xfId="45" applyNumberFormat="1" applyFont="1" applyFill="1" applyBorder="1" applyAlignment="1" applyProtection="1">
      <alignment horizontal="right" vertical="center"/>
    </xf>
    <xf numFmtId="43" fontId="96" fillId="32" borderId="36" xfId="45" applyNumberFormat="1" applyFont="1" applyFill="1" applyBorder="1" applyAlignment="1" applyProtection="1">
      <alignment horizontal="right" vertical="center"/>
    </xf>
    <xf numFmtId="43" fontId="96" fillId="39" borderId="25" xfId="45" applyNumberFormat="1" applyFont="1" applyFill="1" applyBorder="1" applyAlignment="1" applyProtection="1">
      <alignment horizontal="right" vertical="center" wrapText="1"/>
    </xf>
    <xf numFmtId="43" fontId="94" fillId="0" borderId="25" xfId="45" applyNumberFormat="1" applyFont="1" applyFill="1" applyBorder="1" applyAlignment="1" applyProtection="1">
      <alignment horizontal="right" vertical="center" wrapText="1"/>
    </xf>
    <xf numFmtId="43" fontId="94" fillId="0" borderId="36" xfId="45" applyNumberFormat="1" applyFont="1" applyFill="1" applyBorder="1" applyAlignment="1" applyProtection="1">
      <alignment horizontal="right" vertical="center" wrapText="1"/>
    </xf>
    <xf numFmtId="43" fontId="96" fillId="29" borderId="36" xfId="45" applyNumberFormat="1" applyFont="1" applyFill="1" applyBorder="1" applyAlignment="1" applyProtection="1">
      <alignment horizontal="right" vertical="center" wrapText="1"/>
    </xf>
    <xf numFmtId="43" fontId="96" fillId="29" borderId="36" xfId="45" applyNumberFormat="1" applyFont="1" applyFill="1" applyBorder="1" applyAlignment="1" applyProtection="1">
      <alignment horizontal="right" vertical="center"/>
    </xf>
    <xf numFmtId="43" fontId="96" fillId="0" borderId="30" xfId="45" applyNumberFormat="1" applyFont="1" applyFill="1" applyBorder="1" applyAlignment="1" applyProtection="1">
      <alignment horizontal="right" vertical="center"/>
    </xf>
    <xf numFmtId="43" fontId="96" fillId="0" borderId="65" xfId="45" applyNumberFormat="1" applyFont="1" applyFill="1" applyBorder="1" applyAlignment="1" applyProtection="1">
      <alignment horizontal="right" vertical="center"/>
    </xf>
    <xf numFmtId="43" fontId="94" fillId="0" borderId="0" xfId="45" applyNumberFormat="1" applyFont="1" applyFill="1" applyBorder="1" applyAlignment="1">
      <alignment vertical="center"/>
    </xf>
    <xf numFmtId="43" fontId="96" fillId="0" borderId="0" xfId="0" applyNumberFormat="1" applyFont="1"/>
    <xf numFmtId="43" fontId="96" fillId="0" borderId="0" xfId="45" applyNumberFormat="1" applyFont="1" applyBorder="1"/>
    <xf numFmtId="43" fontId="100" fillId="0" borderId="0" xfId="45" applyFont="1" applyAlignment="1">
      <alignment vertical="center"/>
    </xf>
    <xf numFmtId="43" fontId="96" fillId="0" borderId="0" xfId="116" applyNumberFormat="1" applyFont="1" applyAlignment="1">
      <alignment vertical="center"/>
    </xf>
    <xf numFmtId="43" fontId="94" fillId="0" borderId="0" xfId="116" applyNumberFormat="1" applyFont="1" applyAlignment="1">
      <alignment vertical="center"/>
    </xf>
    <xf numFmtId="43" fontId="96" fillId="41" borderId="0" xfId="45" applyFont="1" applyFill="1" applyAlignment="1">
      <alignment vertical="center"/>
    </xf>
    <xf numFmtId="43" fontId="94" fillId="0" borderId="0" xfId="0" applyNumberFormat="1" applyFont="1"/>
    <xf numFmtId="43" fontId="96" fillId="41" borderId="34" xfId="45" applyNumberFormat="1" applyFont="1" applyFill="1" applyBorder="1" applyAlignment="1" applyProtection="1">
      <alignment horizontal="right" vertical="center"/>
    </xf>
    <xf numFmtId="43" fontId="96" fillId="37" borderId="34" xfId="45" applyNumberFormat="1" applyFont="1" applyFill="1" applyBorder="1" applyAlignment="1" applyProtection="1">
      <alignment horizontal="right" vertical="center"/>
    </xf>
    <xf numFmtId="43" fontId="96" fillId="39" borderId="34" xfId="45" applyNumberFormat="1" applyFont="1" applyFill="1" applyBorder="1" applyAlignment="1" applyProtection="1">
      <alignment horizontal="right" vertical="center" wrapText="1"/>
    </xf>
    <xf numFmtId="43" fontId="96" fillId="35" borderId="34" xfId="45" applyNumberFormat="1" applyFont="1" applyFill="1" applyBorder="1" applyAlignment="1" applyProtection="1">
      <alignment horizontal="right" vertical="center"/>
    </xf>
    <xf numFmtId="43" fontId="96" fillId="32" borderId="34" xfId="45" applyNumberFormat="1" applyFont="1" applyFill="1" applyBorder="1" applyAlignment="1" applyProtection="1">
      <alignment horizontal="right" vertical="center"/>
    </xf>
    <xf numFmtId="43" fontId="96" fillId="41" borderId="39" xfId="45" applyFont="1" applyFill="1" applyBorder="1" applyAlignment="1" applyProtection="1">
      <alignment horizontal="right" vertical="center"/>
    </xf>
    <xf numFmtId="43" fontId="96" fillId="37" borderId="39" xfId="45" applyFont="1" applyFill="1" applyBorder="1" applyAlignment="1" applyProtection="1">
      <alignment horizontal="right" vertical="center"/>
    </xf>
    <xf numFmtId="43" fontId="96" fillId="39" borderId="39" xfId="45" applyFont="1" applyFill="1" applyBorder="1" applyAlignment="1" applyProtection="1">
      <alignment horizontal="right" vertical="center" wrapText="1"/>
    </xf>
    <xf numFmtId="43" fontId="96" fillId="35" borderId="39" xfId="45" applyFont="1" applyFill="1" applyBorder="1" applyAlignment="1" applyProtection="1">
      <alignment horizontal="right" vertical="center"/>
    </xf>
    <xf numFmtId="43" fontId="96" fillId="32" borderId="39" xfId="45" applyFont="1" applyFill="1" applyBorder="1" applyAlignment="1" applyProtection="1">
      <alignment horizontal="right" vertical="center"/>
    </xf>
    <xf numFmtId="43" fontId="96" fillId="41" borderId="25" xfId="45" applyFont="1" applyFill="1" applyBorder="1" applyAlignment="1" applyProtection="1">
      <alignment horizontal="right" vertical="center" wrapText="1"/>
    </xf>
    <xf numFmtId="43" fontId="96" fillId="30" borderId="67" xfId="45" applyFont="1" applyFill="1" applyBorder="1" applyAlignment="1" applyProtection="1">
      <alignment horizontal="right" vertical="center"/>
    </xf>
    <xf numFmtId="43" fontId="96" fillId="30" borderId="36" xfId="45" applyFont="1" applyFill="1" applyBorder="1" applyAlignment="1" applyProtection="1">
      <alignment horizontal="right" vertical="center"/>
    </xf>
    <xf numFmtId="43" fontId="96" fillId="30" borderId="25" xfId="45" applyFont="1" applyFill="1" applyBorder="1" applyAlignment="1" applyProtection="1">
      <alignment horizontal="right" vertical="center"/>
    </xf>
    <xf numFmtId="176" fontId="66" fillId="0" borderId="0" xfId="96" applyNumberFormat="1" applyFont="1" applyAlignment="1">
      <alignment wrapText="1"/>
    </xf>
    <xf numFmtId="0" fontId="94" fillId="0" borderId="39" xfId="87" applyFont="1" applyBorder="1" applyAlignment="1">
      <alignment horizontal="left" vertical="center" wrapText="1"/>
    </xf>
    <xf numFmtId="0" fontId="40" fillId="0" borderId="0" xfId="116" applyFont="1" applyAlignment="1">
      <alignment horizontal="left" vertical="center"/>
    </xf>
    <xf numFmtId="0" fontId="37" fillId="0" borderId="0" xfId="116" applyFont="1" applyAlignment="1">
      <alignment vertical="center"/>
    </xf>
    <xf numFmtId="0" fontId="37" fillId="0" borderId="0" xfId="116" applyFont="1" applyAlignment="1">
      <alignment horizontal="center" vertical="center"/>
    </xf>
    <xf numFmtId="0" fontId="39" fillId="0" borderId="0" xfId="116" applyFont="1" applyAlignment="1">
      <alignment horizontal="left" vertical="center"/>
    </xf>
    <xf numFmtId="0" fontId="39" fillId="0" borderId="0" xfId="116" applyFont="1" applyAlignment="1">
      <alignment horizontal="center" vertical="center" wrapText="1"/>
    </xf>
    <xf numFmtId="0" fontId="40" fillId="0" borderId="0" xfId="116" applyFont="1" applyAlignment="1">
      <alignment horizontal="center" vertical="center"/>
    </xf>
    <xf numFmtId="0" fontId="36" fillId="39" borderId="18" xfId="116" applyFont="1" applyFill="1" applyBorder="1" applyAlignment="1">
      <alignment horizontal="left" vertical="center"/>
    </xf>
    <xf numFmtId="165" fontId="41" fillId="25" borderId="15" xfId="78" applyFont="1" applyFill="1" applyBorder="1" applyAlignment="1">
      <alignment horizontal="center" vertical="center"/>
    </xf>
    <xf numFmtId="0" fontId="40" fillId="0" borderId="18" xfId="116" applyFont="1" applyBorder="1" applyAlignment="1">
      <alignment horizontal="center" vertical="center"/>
    </xf>
    <xf numFmtId="0" fontId="40" fillId="0" borderId="15" xfId="116" applyFont="1" applyBorder="1" applyAlignment="1">
      <alignment horizontal="center" vertical="center"/>
    </xf>
    <xf numFmtId="165" fontId="38" fillId="20" borderId="17" xfId="78" applyFont="1" applyFill="1" applyBorder="1" applyAlignment="1">
      <alignment horizontal="center" vertical="center"/>
    </xf>
    <xf numFmtId="0" fontId="40" fillId="20" borderId="21" xfId="116" applyFont="1" applyFill="1" applyBorder="1" applyAlignment="1">
      <alignment horizontal="right" vertical="center"/>
    </xf>
    <xf numFmtId="0" fontId="0" fillId="0" borderId="20" xfId="0" applyBorder="1"/>
    <xf numFmtId="165" fontId="38" fillId="20" borderId="20" xfId="78" applyFont="1" applyFill="1" applyBorder="1" applyAlignment="1">
      <alignment horizontal="center" vertical="center"/>
    </xf>
    <xf numFmtId="0" fontId="40" fillId="20" borderId="85" xfId="116" applyFont="1" applyFill="1" applyBorder="1" applyAlignment="1">
      <alignment horizontal="center" vertical="center"/>
    </xf>
    <xf numFmtId="0" fontId="40" fillId="0" borderId="24" xfId="116" applyFont="1" applyBorder="1" applyAlignment="1">
      <alignment horizontal="center" vertical="center"/>
    </xf>
    <xf numFmtId="0" fontId="40" fillId="0" borderId="22" xfId="116" applyFont="1" applyBorder="1" applyAlignment="1">
      <alignment horizontal="center" vertical="center"/>
    </xf>
    <xf numFmtId="165" fontId="38" fillId="20" borderId="23" xfId="78" applyFont="1" applyFill="1" applyBorder="1" applyAlignment="1">
      <alignment horizontal="center" vertical="center"/>
    </xf>
    <xf numFmtId="0" fontId="36" fillId="0" borderId="15" xfId="116" applyFont="1" applyBorder="1" applyAlignment="1">
      <alignment horizontal="center" vertical="center"/>
    </xf>
    <xf numFmtId="10" fontId="7" fillId="0" borderId="13" xfId="123" applyNumberFormat="1" applyFont="1" applyFill="1" applyBorder="1" applyAlignment="1">
      <alignment vertical="center"/>
    </xf>
    <xf numFmtId="10" fontId="9" fillId="0" borderId="13" xfId="123" applyNumberFormat="1" applyFont="1" applyBorder="1" applyAlignment="1" applyProtection="1">
      <alignment horizontal="right" vertical="center"/>
    </xf>
    <xf numFmtId="10" fontId="11" fillId="0" borderId="13" xfId="123" applyNumberFormat="1" applyFont="1" applyBorder="1" applyAlignment="1" applyProtection="1">
      <alignment horizontal="right" vertical="center"/>
    </xf>
    <xf numFmtId="10" fontId="7" fillId="21" borderId="34" xfId="123" applyNumberFormat="1" applyFont="1" applyFill="1" applyBorder="1" applyAlignment="1" applyProtection="1">
      <alignment horizontal="right" vertical="center"/>
    </xf>
    <xf numFmtId="10" fontId="6" fillId="0" borderId="13" xfId="123" applyNumberFormat="1" applyFont="1" applyBorder="1" applyAlignment="1" applyProtection="1">
      <alignment horizontal="right" vertical="center"/>
    </xf>
    <xf numFmtId="10" fontId="7" fillId="0" borderId="13" xfId="123" applyNumberFormat="1" applyFont="1" applyBorder="1" applyAlignment="1" applyProtection="1">
      <alignment horizontal="right" vertical="center"/>
    </xf>
    <xf numFmtId="10" fontId="7" fillId="21" borderId="35" xfId="123" applyNumberFormat="1" applyFont="1" applyFill="1" applyBorder="1" applyAlignment="1" applyProtection="1">
      <alignment horizontal="right" vertical="center"/>
    </xf>
    <xf numFmtId="10" fontId="7" fillId="0" borderId="33" xfId="123" applyNumberFormat="1" applyFont="1" applyBorder="1" applyAlignment="1" applyProtection="1">
      <alignment horizontal="right" vertical="center"/>
    </xf>
    <xf numFmtId="10" fontId="7" fillId="21" borderId="36" xfId="123" applyNumberFormat="1" applyFont="1" applyFill="1" applyBorder="1" applyAlignment="1" applyProtection="1">
      <alignment horizontal="right" vertical="center"/>
    </xf>
    <xf numFmtId="10" fontId="7" fillId="21" borderId="37" xfId="123" applyNumberFormat="1" applyFont="1" applyFill="1" applyBorder="1" applyAlignment="1" applyProtection="1">
      <alignment horizontal="right" vertical="center"/>
    </xf>
    <xf numFmtId="10" fontId="6" fillId="0" borderId="33" xfId="123" applyNumberFormat="1" applyFont="1" applyBorder="1" applyAlignment="1">
      <alignment horizontal="right" vertical="center"/>
    </xf>
    <xf numFmtId="10" fontId="6" fillId="0" borderId="33" xfId="123" applyNumberFormat="1" applyFont="1" applyFill="1" applyBorder="1" applyAlignment="1">
      <alignment horizontal="right" vertical="center"/>
    </xf>
    <xf numFmtId="43" fontId="6" fillId="0" borderId="73" xfId="45" quotePrefix="1" applyFont="1" applyFill="1" applyBorder="1" applyAlignment="1" applyProtection="1">
      <alignment horizontal="center" vertical="center" wrapText="1"/>
    </xf>
    <xf numFmtId="166" fontId="6" fillId="0" borderId="36" xfId="48" quotePrefix="1" applyNumberFormat="1" applyFont="1" applyFill="1" applyBorder="1" applyAlignment="1" applyProtection="1">
      <alignment horizontal="right" vertical="center" wrapText="1"/>
    </xf>
    <xf numFmtId="10" fontId="6" fillId="0" borderId="36" xfId="48" quotePrefix="1" applyNumberFormat="1" applyFont="1" applyFill="1" applyBorder="1" applyAlignment="1" applyProtection="1">
      <alignment horizontal="right" vertical="center" wrapText="1"/>
    </xf>
    <xf numFmtId="0" fontId="7" fillId="0" borderId="112" xfId="0" applyFont="1" applyBorder="1" applyAlignment="1" applyProtection="1">
      <alignment horizontal="center" vertical="center" wrapText="1"/>
    </xf>
    <xf numFmtId="10" fontId="6" fillId="0" borderId="73" xfId="48" applyNumberFormat="1" applyFont="1" applyFill="1" applyBorder="1" applyAlignment="1" applyProtection="1">
      <alignment horizontal="right" vertical="center" wrapText="1"/>
    </xf>
    <xf numFmtId="0" fontId="7" fillId="0" borderId="94" xfId="0" applyFont="1" applyBorder="1" applyAlignment="1" applyProtection="1">
      <alignment horizontal="center" vertical="center"/>
    </xf>
    <xf numFmtId="10" fontId="6" fillId="0" borderId="33" xfId="48" applyNumberFormat="1" applyFont="1" applyFill="1" applyBorder="1" applyAlignment="1" applyProtection="1">
      <alignment horizontal="right" vertical="center"/>
    </xf>
    <xf numFmtId="0" fontId="4" fillId="0" borderId="94" xfId="0" applyFont="1" applyBorder="1" applyAlignment="1">
      <alignment horizontal="center" vertical="center"/>
    </xf>
    <xf numFmtId="0" fontId="7" fillId="0" borderId="96" xfId="0" applyFont="1" applyBorder="1" applyAlignment="1" applyProtection="1">
      <alignment horizontal="center" vertical="center"/>
    </xf>
    <xf numFmtId="10" fontId="7" fillId="0" borderId="113" xfId="123" applyNumberFormat="1" applyFont="1" applyBorder="1" applyAlignment="1" applyProtection="1">
      <alignment horizontal="right" vertical="center"/>
    </xf>
    <xf numFmtId="0" fontId="4" fillId="0" borderId="114" xfId="0" applyFont="1" applyBorder="1" applyAlignment="1">
      <alignment horizontal="center" vertical="center"/>
    </xf>
    <xf numFmtId="0" fontId="2" fillId="0" borderId="94" xfId="0" applyFont="1" applyBorder="1" applyAlignment="1">
      <alignment horizontal="center" vertical="center"/>
    </xf>
    <xf numFmtId="0" fontId="7" fillId="0" borderId="94" xfId="0" applyFont="1" applyBorder="1" applyAlignment="1">
      <alignment horizontal="center" vertical="center"/>
    </xf>
    <xf numFmtId="0" fontId="2" fillId="0" borderId="96" xfId="0" applyFont="1" applyBorder="1" applyAlignment="1">
      <alignment horizontal="center" vertical="center"/>
    </xf>
    <xf numFmtId="10" fontId="7" fillId="0" borderId="113" xfId="123" applyNumberFormat="1" applyFont="1" applyBorder="1" applyAlignment="1">
      <alignment horizontal="right" vertical="center"/>
    </xf>
    <xf numFmtId="0" fontId="7" fillId="0" borderId="19" xfId="0" applyFont="1" applyBorder="1" applyAlignment="1">
      <alignment vertical="center"/>
    </xf>
    <xf numFmtId="0" fontId="4" fillId="0" borderId="69" xfId="0" applyFont="1" applyBorder="1" applyAlignment="1">
      <alignment horizontal="center" vertical="center"/>
    </xf>
    <xf numFmtId="0" fontId="4" fillId="0" borderId="75" xfId="0" applyFont="1" applyBorder="1" applyAlignment="1">
      <alignment vertical="center"/>
    </xf>
    <xf numFmtId="43" fontId="7" fillId="0" borderId="19" xfId="45" applyFont="1" applyFill="1" applyBorder="1" applyAlignment="1">
      <alignment horizontal="right" vertical="center"/>
    </xf>
    <xf numFmtId="10" fontId="7" fillId="0" borderId="19" xfId="123" applyNumberFormat="1" applyFont="1" applyFill="1" applyBorder="1" applyAlignment="1">
      <alignment horizontal="right" vertical="center"/>
    </xf>
    <xf numFmtId="0" fontId="103" fillId="0" borderId="0" xfId="116" applyFont="1" applyFill="1" applyBorder="1" applyAlignment="1">
      <alignment horizontal="center" vertical="center"/>
    </xf>
    <xf numFmtId="0" fontId="94" fillId="25" borderId="67" xfId="87" applyFont="1" applyFill="1" applyBorder="1" applyAlignment="1" applyProtection="1">
      <alignment horizontal="center" vertical="center" wrapText="1"/>
    </xf>
    <xf numFmtId="0" fontId="96" fillId="0" borderId="67" xfId="87" applyFont="1" applyFill="1" applyBorder="1" applyAlignment="1" applyProtection="1">
      <alignment horizontal="center" vertical="center"/>
    </xf>
    <xf numFmtId="0" fontId="40" fillId="0" borderId="21" xfId="116" applyFont="1" applyBorder="1" applyAlignment="1">
      <alignment horizontal="left" vertical="center"/>
    </xf>
    <xf numFmtId="165" fontId="38" fillId="20" borderId="0" xfId="78" applyFont="1" applyFill="1" applyBorder="1" applyAlignment="1">
      <alignment horizontal="left" vertical="center"/>
    </xf>
    <xf numFmtId="0" fontId="36" fillId="39" borderId="64" xfId="116" applyFont="1" applyFill="1" applyBorder="1" applyAlignment="1">
      <alignment vertical="center"/>
    </xf>
    <xf numFmtId="0" fontId="36" fillId="39" borderId="92" xfId="116" applyFont="1" applyFill="1" applyBorder="1" applyAlignment="1">
      <alignment vertical="center"/>
    </xf>
    <xf numFmtId="0" fontId="36" fillId="39" borderId="93" xfId="116" applyFont="1" applyFill="1" applyBorder="1" applyAlignment="1">
      <alignment vertical="center"/>
    </xf>
    <xf numFmtId="0" fontId="62" fillId="0" borderId="0" xfId="96" applyFont="1" applyAlignment="1">
      <alignment horizontal="center"/>
    </xf>
    <xf numFmtId="0" fontId="63" fillId="0" borderId="41" xfId="96" applyFont="1" applyBorder="1" applyAlignment="1">
      <alignment horizontal="center"/>
    </xf>
    <xf numFmtId="0" fontId="63" fillId="0" borderId="32" xfId="96" applyFont="1" applyBorder="1" applyAlignment="1">
      <alignment horizontal="center"/>
    </xf>
    <xf numFmtId="43" fontId="62" fillId="0" borderId="112" xfId="45" applyFont="1" applyFill="1" applyBorder="1" applyAlignment="1">
      <alignment horizontal="center"/>
    </xf>
    <xf numFmtId="43" fontId="62" fillId="0" borderId="11" xfId="45" applyFont="1" applyFill="1" applyBorder="1" applyAlignment="1">
      <alignment horizontal="center"/>
    </xf>
    <xf numFmtId="43" fontId="62" fillId="0" borderId="12" xfId="45" applyFont="1" applyFill="1" applyBorder="1" applyAlignment="1">
      <alignment horizontal="center"/>
    </xf>
    <xf numFmtId="176" fontId="63" fillId="0" borderId="34" xfId="45" applyNumberFormat="1" applyFont="1" applyBorder="1" applyAlignment="1">
      <alignment horizontal="center"/>
    </xf>
    <xf numFmtId="43" fontId="11" fillId="0" borderId="0" xfId="45" quotePrefix="1" applyFont="1" applyFill="1" applyBorder="1" applyAlignment="1" applyProtection="1">
      <alignment horizontal="left" vertical="center" wrapText="1"/>
    </xf>
    <xf numFmtId="43" fontId="11" fillId="0" borderId="13" xfId="45" quotePrefix="1" applyFont="1" applyFill="1" applyBorder="1" applyAlignment="1" applyProtection="1">
      <alignment horizontal="left" vertical="center" wrapText="1"/>
    </xf>
    <xf numFmtId="43" fontId="7" fillId="21" borderId="67" xfId="45" applyFont="1" applyFill="1" applyBorder="1" applyAlignment="1" applyProtection="1">
      <alignment horizontal="left" vertical="center"/>
    </xf>
    <xf numFmtId="43" fontId="7" fillId="21" borderId="36" xfId="45" applyFont="1" applyFill="1" applyBorder="1" applyAlignment="1" applyProtection="1">
      <alignment horizontal="left" vertical="center"/>
    </xf>
    <xf numFmtId="43" fontId="7" fillId="21" borderId="19" xfId="45" applyFont="1" applyFill="1" applyBorder="1" applyAlignment="1" applyProtection="1">
      <alignment horizontal="left" vertical="center"/>
    </xf>
    <xf numFmtId="0" fontId="1" fillId="0" borderId="64" xfId="96" applyFont="1" applyBorder="1" applyAlignment="1">
      <alignment horizontal="center" vertical="center" wrapText="1"/>
    </xf>
    <xf numFmtId="0" fontId="1" fillId="0" borderId="92" xfId="96" applyFont="1" applyBorder="1" applyAlignment="1">
      <alignment horizontal="center" vertical="center" wrapText="1"/>
    </xf>
    <xf numFmtId="3" fontId="7" fillId="0" borderId="37" xfId="96" applyNumberFormat="1" applyFont="1" applyBorder="1" applyAlignment="1">
      <alignment horizontal="center" vertical="center"/>
    </xf>
    <xf numFmtId="3" fontId="7" fillId="0" borderId="100" xfId="96" applyNumberFormat="1" applyFont="1" applyBorder="1" applyAlignment="1">
      <alignment horizontal="center" vertical="center"/>
    </xf>
    <xf numFmtId="174" fontId="71" fillId="0" borderId="18" xfId="138" applyFont="1" applyBorder="1" applyAlignment="1">
      <alignment horizontal="center" vertical="center" wrapText="1"/>
    </xf>
    <xf numFmtId="174" fontId="71" fillId="0" borderId="15" xfId="138" applyFont="1" applyBorder="1" applyAlignment="1">
      <alignment horizontal="center" vertical="center" wrapText="1"/>
    </xf>
    <xf numFmtId="174" fontId="71" fillId="0" borderId="71" xfId="138" applyFont="1" applyBorder="1" applyAlignment="1">
      <alignment horizontal="center" vertical="center" wrapText="1"/>
    </xf>
    <xf numFmtId="174" fontId="71" fillId="0" borderId="69" xfId="138" applyFont="1" applyBorder="1" applyAlignment="1">
      <alignment horizontal="center" vertical="center" wrapText="1"/>
    </xf>
    <xf numFmtId="174" fontId="71" fillId="0" borderId="0" xfId="138" applyFont="1" applyAlignment="1">
      <alignment horizontal="center" vertical="center" wrapText="1"/>
    </xf>
    <xf numFmtId="43" fontId="6" fillId="0" borderId="76" xfId="45" quotePrefix="1" applyFont="1" applyFill="1" applyBorder="1" applyAlignment="1" applyProtection="1">
      <alignment horizontal="center" vertical="center" wrapText="1"/>
    </xf>
    <xf numFmtId="43" fontId="6" fillId="0" borderId="36" xfId="45" quotePrefix="1" applyFont="1" applyFill="1" applyBorder="1" applyAlignment="1" applyProtection="1">
      <alignment horizontal="center" vertical="center" wrapText="1"/>
    </xf>
    <xf numFmtId="3" fontId="6" fillId="0" borderId="76" xfId="48" quotePrefix="1" applyNumberFormat="1" applyFont="1" applyFill="1" applyBorder="1" applyAlignment="1" applyProtection="1">
      <alignment horizontal="center" vertical="center" wrapText="1"/>
    </xf>
    <xf numFmtId="3" fontId="6" fillId="0" borderId="38" xfId="48" quotePrefix="1" applyNumberFormat="1" applyFont="1" applyFill="1" applyBorder="1" applyAlignment="1" applyProtection="1">
      <alignment horizontal="center" vertical="center" wrapText="1"/>
    </xf>
    <xf numFmtId="43" fontId="71" fillId="0" borderId="18" xfId="45" applyFont="1" applyFill="1" applyBorder="1" applyAlignment="1">
      <alignment horizontal="center" vertical="center" wrapText="1"/>
    </xf>
    <xf numFmtId="43" fontId="71" fillId="0" borderId="15" xfId="45" applyFont="1" applyFill="1" applyBorder="1" applyAlignment="1">
      <alignment horizontal="center" vertical="center" wrapText="1"/>
    </xf>
    <xf numFmtId="43" fontId="71" fillId="0" borderId="71" xfId="45" applyFont="1" applyFill="1" applyBorder="1" applyAlignment="1">
      <alignment horizontal="center" vertical="center" wrapText="1"/>
    </xf>
    <xf numFmtId="43" fontId="71" fillId="0" borderId="69" xfId="45" applyFont="1" applyFill="1" applyBorder="1" applyAlignment="1">
      <alignment horizontal="center" vertical="center" wrapText="1"/>
    </xf>
    <xf numFmtId="43" fontId="71" fillId="0" borderId="0" xfId="45" applyFont="1" applyFill="1" applyBorder="1" applyAlignment="1">
      <alignment horizontal="center" vertical="center" wrapText="1"/>
    </xf>
    <xf numFmtId="43" fontId="7" fillId="21" borderId="64" xfId="45" applyFont="1" applyFill="1" applyBorder="1" applyAlignment="1" applyProtection="1">
      <alignment vertical="center"/>
    </xf>
    <xf numFmtId="43" fontId="7" fillId="21" borderId="92" xfId="45" applyFont="1" applyFill="1" applyBorder="1" applyAlignment="1" applyProtection="1">
      <alignment vertical="center"/>
    </xf>
    <xf numFmtId="43" fontId="7" fillId="21" borderId="30" xfId="45" applyFont="1" applyFill="1" applyBorder="1" applyAlignment="1" applyProtection="1">
      <alignment horizontal="left" vertical="center"/>
    </xf>
    <xf numFmtId="43" fontId="7" fillId="21" borderId="14" xfId="45" applyFont="1" applyFill="1" applyBorder="1" applyAlignment="1" applyProtection="1">
      <alignment horizontal="left" vertical="center"/>
    </xf>
    <xf numFmtId="43" fontId="7" fillId="21" borderId="22" xfId="45" applyFont="1" applyFill="1" applyBorder="1" applyAlignment="1" applyProtection="1">
      <alignment horizontal="left" vertical="center"/>
    </xf>
    <xf numFmtId="43" fontId="7" fillId="21" borderId="113" xfId="45" applyFont="1" applyFill="1" applyBorder="1" applyAlignment="1" applyProtection="1">
      <alignment horizontal="left" vertical="center"/>
    </xf>
    <xf numFmtId="43" fontId="9" fillId="0" borderId="0" xfId="45" applyFont="1" applyFill="1" applyBorder="1" applyAlignment="1" applyProtection="1">
      <alignment horizontal="left" vertical="center" wrapText="1"/>
    </xf>
    <xf numFmtId="43" fontId="9" fillId="0" borderId="13" xfId="45" applyFont="1" applyFill="1" applyBorder="1" applyAlignment="1" applyProtection="1">
      <alignment horizontal="left" vertical="center" wrapText="1"/>
    </xf>
    <xf numFmtId="43" fontId="7" fillId="21" borderId="25" xfId="45" applyFont="1" applyFill="1" applyBorder="1" applyAlignment="1" applyProtection="1">
      <alignment vertical="center"/>
    </xf>
    <xf numFmtId="43" fontId="7" fillId="21" borderId="32" xfId="45" applyFont="1" applyFill="1" applyBorder="1" applyAlignment="1" applyProtection="1">
      <alignment vertical="center"/>
    </xf>
    <xf numFmtId="43" fontId="7" fillId="21" borderId="11" xfId="45" applyFont="1" applyFill="1" applyBorder="1" applyAlignment="1" applyProtection="1">
      <alignment vertical="center"/>
    </xf>
    <xf numFmtId="43" fontId="7" fillId="21" borderId="34" xfId="45" applyFont="1" applyFill="1" applyBorder="1" applyAlignment="1" applyProtection="1">
      <alignment vertical="center"/>
    </xf>
    <xf numFmtId="43" fontId="7" fillId="21" borderId="67" xfId="45" applyFont="1" applyFill="1" applyBorder="1" applyAlignment="1" applyProtection="1">
      <alignment vertical="center"/>
    </xf>
    <xf numFmtId="43" fontId="7" fillId="21" borderId="36" xfId="45" applyFont="1" applyFill="1" applyBorder="1" applyAlignment="1" applyProtection="1">
      <alignment vertical="center"/>
    </xf>
    <xf numFmtId="43" fontId="7" fillId="21" borderId="73" xfId="45" applyFont="1" applyFill="1" applyBorder="1" applyAlignment="1" applyProtection="1">
      <alignment vertical="center"/>
    </xf>
    <xf numFmtId="43" fontId="7" fillId="21" borderId="19" xfId="45" applyFont="1" applyFill="1" applyBorder="1" applyAlignment="1" applyProtection="1">
      <alignment vertical="center"/>
    </xf>
    <xf numFmtId="43" fontId="1" fillId="0" borderId="64" xfId="45" applyFont="1" applyBorder="1" applyAlignment="1">
      <alignment horizontal="center" vertical="center" wrapText="1"/>
    </xf>
    <xf numFmtId="43" fontId="1" fillId="0" borderId="92" xfId="45" applyFont="1" applyBorder="1" applyAlignment="1">
      <alignment horizontal="center" vertical="center" wrapText="1"/>
    </xf>
    <xf numFmtId="43" fontId="7" fillId="21" borderId="0" xfId="45" applyFont="1" applyFill="1" applyBorder="1" applyAlignment="1" applyProtection="1">
      <alignment vertical="center"/>
    </xf>
    <xf numFmtId="43" fontId="7" fillId="21" borderId="35" xfId="45" applyFont="1" applyFill="1" applyBorder="1" applyAlignment="1" applyProtection="1">
      <alignment vertical="center"/>
    </xf>
    <xf numFmtId="43" fontId="7" fillId="21" borderId="73" xfId="45" applyFont="1" applyFill="1" applyBorder="1" applyAlignment="1" applyProtection="1">
      <alignment horizontal="left" vertical="center"/>
    </xf>
    <xf numFmtId="43" fontId="7" fillId="21" borderId="33" xfId="45" applyFont="1" applyFill="1" applyBorder="1" applyAlignment="1" applyProtection="1">
      <alignment vertical="center"/>
    </xf>
    <xf numFmtId="1" fontId="7" fillId="46" borderId="64" xfId="117" applyNumberFormat="1" applyFont="1" applyFill="1" applyBorder="1" applyAlignment="1">
      <alignment horizontal="center" vertical="center"/>
    </xf>
    <xf numFmtId="1" fontId="7" fillId="46" borderId="92" xfId="117" applyNumberFormat="1" applyFont="1" applyFill="1" applyBorder="1" applyAlignment="1">
      <alignment horizontal="center" vertical="center"/>
    </xf>
    <xf numFmtId="1" fontId="7" fillId="46" borderId="93" xfId="117" applyNumberFormat="1" applyFont="1" applyFill="1" applyBorder="1" applyAlignment="1">
      <alignment horizontal="center" vertical="center"/>
    </xf>
    <xf numFmtId="178" fontId="2" fillId="46" borderId="115" xfId="116" applyNumberFormat="1" applyFont="1" applyFill="1" applyBorder="1" applyAlignment="1">
      <alignment horizontal="center" vertical="center" wrapText="1"/>
    </xf>
    <xf numFmtId="178" fontId="2" fillId="46" borderId="80" xfId="116" applyNumberFormat="1" applyFont="1" applyFill="1" applyBorder="1" applyAlignment="1">
      <alignment horizontal="center" vertical="center" wrapText="1"/>
    </xf>
    <xf numFmtId="43" fontId="2" fillId="46" borderId="115" xfId="45" applyFont="1" applyFill="1" applyBorder="1" applyAlignment="1" applyProtection="1">
      <alignment horizontal="center" vertical="center" wrapText="1"/>
    </xf>
    <xf numFmtId="43" fontId="2" fillId="46" borderId="80" xfId="45" applyFont="1" applyFill="1" applyBorder="1" applyAlignment="1" applyProtection="1">
      <alignment horizontal="center" vertical="center" wrapText="1"/>
    </xf>
    <xf numFmtId="0" fontId="2" fillId="46" borderId="115" xfId="87" applyFont="1" applyFill="1" applyBorder="1" applyAlignment="1">
      <alignment horizontal="center" vertical="center" wrapText="1"/>
    </xf>
    <xf numFmtId="0" fontId="2" fillId="46" borderId="80" xfId="87" applyFont="1" applyFill="1" applyBorder="1" applyAlignment="1">
      <alignment horizontal="center" vertical="center" wrapText="1"/>
    </xf>
    <xf numFmtId="0" fontId="8" fillId="0" borderId="41" xfId="0" applyFont="1" applyFill="1" applyBorder="1" applyAlignment="1" applyProtection="1">
      <alignment horizontal="center" vertical="center" wrapText="1"/>
    </xf>
    <xf numFmtId="0" fontId="8" fillId="0" borderId="32" xfId="0" applyFont="1" applyFill="1" applyBorder="1" applyAlignment="1" applyProtection="1">
      <alignment horizontal="center" vertical="center" wrapText="1"/>
    </xf>
    <xf numFmtId="0" fontId="8" fillId="0" borderId="97" xfId="0" applyFont="1" applyFill="1" applyBorder="1" applyAlignment="1" applyProtection="1">
      <alignment horizontal="center" vertical="center" wrapText="1"/>
    </xf>
    <xf numFmtId="0" fontId="94" fillId="46" borderId="42" xfId="87" applyFont="1" applyFill="1" applyBorder="1" applyAlignment="1" applyProtection="1">
      <alignment horizontal="center" vertical="center" wrapText="1"/>
    </xf>
    <xf numFmtId="43" fontId="63" fillId="0" borderId="116" xfId="45" applyFont="1" applyBorder="1" applyAlignment="1">
      <alignment horizontal="center" vertical="center" wrapText="1"/>
    </xf>
    <xf numFmtId="43" fontId="63" fillId="0" borderId="83" xfId="45" applyFont="1" applyBorder="1" applyAlignment="1">
      <alignment horizontal="center" vertical="center" wrapText="1"/>
    </xf>
    <xf numFmtId="43" fontId="94" fillId="46" borderId="42" xfId="45" applyFont="1" applyFill="1" applyBorder="1" applyAlignment="1" applyProtection="1">
      <alignment horizontal="center" vertical="center" wrapText="1"/>
    </xf>
    <xf numFmtId="0" fontId="94" fillId="46" borderId="115" xfId="87" applyFont="1" applyFill="1" applyBorder="1" applyAlignment="1" applyProtection="1">
      <alignment horizontal="center" vertical="center" wrapText="1"/>
    </xf>
    <xf numFmtId="0" fontId="94" fillId="46" borderId="80" xfId="87" applyFont="1" applyFill="1" applyBorder="1" applyAlignment="1" applyProtection="1">
      <alignment horizontal="center" vertical="center" wrapText="1"/>
    </xf>
    <xf numFmtId="3" fontId="94" fillId="0" borderId="24" xfId="47" applyNumberFormat="1" applyFont="1" applyBorder="1" applyAlignment="1">
      <alignment horizontal="center"/>
    </xf>
    <xf numFmtId="3" fontId="94" fillId="0" borderId="22" xfId="47" applyNumberFormat="1" applyFont="1" applyBorder="1" applyAlignment="1">
      <alignment horizontal="center"/>
    </xf>
    <xf numFmtId="3" fontId="94" fillId="0" borderId="23" xfId="47" applyNumberFormat="1" applyFont="1" applyBorder="1" applyAlignment="1">
      <alignment horizontal="center"/>
    </xf>
    <xf numFmtId="3" fontId="94" fillId="0" borderId="92" xfId="47" applyNumberFormat="1" applyFont="1" applyBorder="1" applyAlignment="1">
      <alignment horizontal="center"/>
    </xf>
    <xf numFmtId="3" fontId="94" fillId="0" borderId="93" xfId="47" applyNumberFormat="1" applyFont="1" applyBorder="1" applyAlignment="1">
      <alignment horizontal="center"/>
    </xf>
    <xf numFmtId="3" fontId="94" fillId="0" borderId="64" xfId="47" applyNumberFormat="1" applyFont="1" applyBorder="1" applyAlignment="1">
      <alignment horizontal="center"/>
    </xf>
    <xf numFmtId="0" fontId="76" fillId="11" borderId="109" xfId="115" applyFont="1" applyFill="1" applyBorder="1" applyAlignment="1">
      <alignment horizontal="left" vertical="center"/>
    </xf>
    <xf numFmtId="0" fontId="40" fillId="0" borderId="84" xfId="116" applyFont="1" applyBorder="1" applyAlignment="1">
      <alignment horizontal="left" vertical="center"/>
    </xf>
    <xf numFmtId="0" fontId="40" fillId="0" borderId="75" xfId="116" applyFont="1" applyBorder="1" applyAlignment="1">
      <alignment horizontal="left" vertical="center"/>
    </xf>
    <xf numFmtId="0" fontId="36" fillId="25" borderId="64" xfId="116" applyFont="1" applyFill="1" applyBorder="1" applyAlignment="1">
      <alignment horizontal="center" vertical="center"/>
    </xf>
    <xf numFmtId="0" fontId="36" fillId="25" borderId="92" xfId="116" applyFont="1" applyFill="1" applyBorder="1" applyAlignment="1">
      <alignment horizontal="center" vertical="center"/>
    </xf>
    <xf numFmtId="0" fontId="36" fillId="25" borderId="93" xfId="116" applyFont="1" applyFill="1" applyBorder="1" applyAlignment="1">
      <alignment horizontal="center" vertical="center"/>
    </xf>
    <xf numFmtId="0" fontId="43" fillId="25" borderId="64" xfId="116" applyFont="1" applyFill="1" applyBorder="1" applyAlignment="1">
      <alignment horizontal="center" vertical="center"/>
    </xf>
    <xf numFmtId="0" fontId="43" fillId="25" borderId="92" xfId="116" applyFont="1" applyFill="1" applyBorder="1" applyAlignment="1">
      <alignment horizontal="center" vertical="center"/>
    </xf>
    <xf numFmtId="0" fontId="43" fillId="25" borderId="93" xfId="116" applyFont="1" applyFill="1" applyBorder="1" applyAlignment="1">
      <alignment horizontal="center" vertical="center"/>
    </xf>
    <xf numFmtId="0" fontId="62" fillId="0" borderId="0" xfId="96" applyFont="1" applyAlignment="1">
      <alignment horizontal="center" vertical="center" wrapText="1"/>
    </xf>
    <xf numFmtId="0" fontId="106" fillId="0" borderId="36" xfId="92" applyFont="1" applyBorder="1" applyAlignment="1">
      <alignment horizontal="center" vertical="center"/>
    </xf>
    <xf numFmtId="0" fontId="106" fillId="0" borderId="112" xfId="92" applyFont="1" applyBorder="1" applyAlignment="1">
      <alignment horizontal="center" vertical="center"/>
    </xf>
    <xf numFmtId="0" fontId="106" fillId="0" borderId="12" xfId="92" applyFont="1" applyBorder="1" applyAlignment="1">
      <alignment horizontal="center" vertical="center"/>
    </xf>
    <xf numFmtId="0" fontId="106" fillId="0" borderId="94" xfId="92" applyFont="1" applyBorder="1" applyAlignment="1">
      <alignment horizontal="center" vertical="center"/>
    </xf>
    <xf numFmtId="0" fontId="106" fillId="0" borderId="13" xfId="92" applyFont="1" applyBorder="1" applyAlignment="1">
      <alignment horizontal="center" vertical="center"/>
    </xf>
    <xf numFmtId="0" fontId="106" fillId="0" borderId="84" xfId="92" applyFont="1" applyBorder="1" applyAlignment="1">
      <alignment horizontal="center" vertical="center"/>
    </xf>
    <xf numFmtId="0" fontId="106" fillId="0" borderId="75" xfId="92" applyFont="1" applyBorder="1" applyAlignment="1">
      <alignment horizontal="center" vertical="center"/>
    </xf>
    <xf numFmtId="0" fontId="106" fillId="0" borderId="11" xfId="92" applyFont="1" applyBorder="1" applyAlignment="1">
      <alignment horizontal="center" vertical="center" wrapText="1"/>
    </xf>
    <xf numFmtId="0" fontId="106" fillId="0" borderId="0" xfId="92" applyFont="1" applyAlignment="1">
      <alignment horizontal="center" vertical="center" wrapText="1"/>
    </xf>
    <xf numFmtId="0" fontId="106" fillId="0" borderId="69" xfId="92" applyFont="1" applyBorder="1" applyAlignment="1">
      <alignment horizontal="center" vertical="center" wrapText="1"/>
    </xf>
    <xf numFmtId="0" fontId="106" fillId="0" borderId="41" xfId="92" applyFont="1" applyBorder="1" applyAlignment="1">
      <alignment horizontal="center" vertical="center"/>
    </xf>
    <xf numFmtId="0" fontId="106" fillId="0" borderId="36" xfId="92" applyFont="1" applyBorder="1" applyAlignment="1">
      <alignment horizontal="center" vertical="center" wrapText="1"/>
    </xf>
    <xf numFmtId="0" fontId="86" fillId="47" borderId="41" xfId="94" applyFill="1" applyBorder="1" applyAlignment="1">
      <alignment horizontal="center" vertical="center"/>
    </xf>
    <xf numFmtId="0" fontId="86" fillId="47" borderId="34" xfId="94" applyFill="1" applyBorder="1" applyAlignment="1">
      <alignment horizontal="center" vertical="center"/>
    </xf>
    <xf numFmtId="0" fontId="86" fillId="0" borderId="41" xfId="94" applyBorder="1" applyAlignment="1">
      <alignment horizontal="center" wrapText="1"/>
    </xf>
    <xf numFmtId="0" fontId="86" fillId="0" borderId="34" xfId="94" applyBorder="1" applyAlignment="1">
      <alignment horizontal="center" wrapText="1"/>
    </xf>
    <xf numFmtId="0" fontId="86" fillId="0" borderId="41" xfId="94" applyBorder="1" applyAlignment="1">
      <alignment horizontal="center"/>
    </xf>
    <xf numFmtId="0" fontId="86" fillId="0" borderId="34" xfId="94" applyBorder="1" applyAlignment="1">
      <alignment horizontal="center"/>
    </xf>
    <xf numFmtId="0" fontId="57" fillId="24" borderId="123" xfId="96" applyFont="1" applyFill="1" applyBorder="1" applyAlignment="1">
      <alignment horizontal="center" vertical="center"/>
    </xf>
    <xf numFmtId="0" fontId="57" fillId="24" borderId="44" xfId="96" applyFont="1" applyFill="1" applyBorder="1" applyAlignment="1">
      <alignment horizontal="center" vertical="center"/>
    </xf>
    <xf numFmtId="0" fontId="52" fillId="46" borderId="36" xfId="0" applyFont="1" applyFill="1" applyBorder="1" applyAlignment="1">
      <alignment horizontal="center"/>
    </xf>
    <xf numFmtId="43" fontId="2" fillId="46" borderId="36" xfId="45" applyFont="1" applyFill="1" applyBorder="1" applyAlignment="1" applyProtection="1">
      <alignment horizontal="center" vertical="center" wrapText="1"/>
    </xf>
    <xf numFmtId="0" fontId="56" fillId="0" borderId="0" xfId="96" applyFont="1" applyBorder="1" applyAlignment="1">
      <alignment horizontal="center" vertical="center" wrapText="1"/>
    </xf>
    <xf numFmtId="43" fontId="2" fillId="46" borderId="36" xfId="45" applyNumberFormat="1" applyFont="1" applyFill="1" applyBorder="1" applyAlignment="1" applyProtection="1">
      <alignment horizontal="center" vertical="center" wrapText="1"/>
    </xf>
    <xf numFmtId="49" fontId="57" fillId="24" borderId="117" xfId="96" applyNumberFormat="1" applyFont="1" applyFill="1" applyBorder="1" applyAlignment="1">
      <alignment horizontal="center" vertical="center" wrapText="1"/>
    </xf>
    <xf numFmtId="49" fontId="57" fillId="24" borderId="118" xfId="96" applyNumberFormat="1" applyFont="1" applyFill="1" applyBorder="1" applyAlignment="1">
      <alignment horizontal="center" vertical="center" wrapText="1"/>
    </xf>
    <xf numFmtId="49" fontId="57" fillId="24" borderId="119" xfId="96" applyNumberFormat="1" applyFont="1" applyFill="1" applyBorder="1" applyAlignment="1">
      <alignment horizontal="center" vertical="center" wrapText="1"/>
    </xf>
    <xf numFmtId="49" fontId="57" fillId="24" borderId="120" xfId="96" applyNumberFormat="1" applyFont="1" applyFill="1" applyBorder="1" applyAlignment="1">
      <alignment horizontal="center" vertical="center" wrapText="1"/>
    </xf>
    <xf numFmtId="49" fontId="57" fillId="24" borderId="121" xfId="96" applyNumberFormat="1" applyFont="1" applyFill="1" applyBorder="1" applyAlignment="1">
      <alignment horizontal="center" vertical="center" wrapText="1"/>
    </xf>
    <xf numFmtId="49" fontId="57" fillId="24" borderId="122" xfId="96" applyNumberFormat="1" applyFont="1" applyFill="1" applyBorder="1" applyAlignment="1">
      <alignment horizontal="center" vertical="center" wrapText="1"/>
    </xf>
  </cellXfs>
  <cellStyles count="145">
    <cellStyle name="20% - Colore 1 2" xfId="1"/>
    <cellStyle name="20% - Colore 2 2" xfId="2"/>
    <cellStyle name="20% - Colore 3 2" xfId="3"/>
    <cellStyle name="20% - Colore 4 2" xfId="4"/>
    <cellStyle name="20% - Colore 5 2" xfId="5"/>
    <cellStyle name="20% - Colore 6 2" xfId="6"/>
    <cellStyle name="40% - Colore 1 2" xfId="7"/>
    <cellStyle name="40% - Colore 2 2" xfId="8"/>
    <cellStyle name="40% - Colore 3 2" xfId="9"/>
    <cellStyle name="40% - Colore 4 2" xfId="10"/>
    <cellStyle name="40% - Colore 5 2" xfId="11"/>
    <cellStyle name="40% - Colore 6 2" xfId="12"/>
    <cellStyle name="60% - Colore 1 2" xfId="13"/>
    <cellStyle name="60% - Colore 2 2" xfId="14"/>
    <cellStyle name="60% - Colore 3 2" xfId="15"/>
    <cellStyle name="60% - Colore 4 2" xfId="16"/>
    <cellStyle name="60% - Colore 5 2" xfId="17"/>
    <cellStyle name="60% - Colore 6 2" xfId="18"/>
    <cellStyle name="Calcolo 2" xfId="19"/>
    <cellStyle name="Cella collegata 2" xfId="20"/>
    <cellStyle name="Cella da controllare 2" xfId="21"/>
    <cellStyle name="Collegamento ipertestuale 2" xfId="22"/>
    <cellStyle name="Colore 1 2" xfId="23"/>
    <cellStyle name="Colore 2 2" xfId="24"/>
    <cellStyle name="Colore 3 2" xfId="25"/>
    <cellStyle name="Colore 4 2" xfId="26"/>
    <cellStyle name="Colore 5 2" xfId="27"/>
    <cellStyle name="Colore 6 2" xfId="28"/>
    <cellStyle name="Comma [0]_all7_pdc" xfId="29"/>
    <cellStyle name="Comma 2" xfId="30"/>
    <cellStyle name="Comma 2 2" xfId="31"/>
    <cellStyle name="Comma_all7_pdc" xfId="32"/>
    <cellStyle name="Currency [0]_all7_pdc" xfId="33"/>
    <cellStyle name="Currency_all7_pdc" xfId="34"/>
    <cellStyle name="Euro" xfId="35"/>
    <cellStyle name="Euro 2" xfId="36"/>
    <cellStyle name="Euro 3" xfId="37"/>
    <cellStyle name="Euro 4" xfId="38"/>
    <cellStyle name="Euro 5" xfId="39"/>
    <cellStyle name="Euro 6" xfId="40"/>
    <cellStyle name="Euro 7" xfId="41"/>
    <cellStyle name="Euro 8" xfId="42"/>
    <cellStyle name="Euro_allegato tabelle I report 2012" xfId="43"/>
    <cellStyle name="Input 2" xfId="44"/>
    <cellStyle name="Migliaia" xfId="45" builtinId="3"/>
    <cellStyle name="Migliaia (0)_% Attrezzature ed Edilizia" xfId="46"/>
    <cellStyle name="Migliaia (0)_trim" xfId="47"/>
    <cellStyle name="Migliaia [0]" xfId="48" builtinId="6"/>
    <cellStyle name="Migliaia [0] 2" xfId="49"/>
    <cellStyle name="Migliaia [0] 2 2" xfId="50"/>
    <cellStyle name="Migliaia [0] 3" xfId="51"/>
    <cellStyle name="Migliaia [0] 3 2" xfId="52"/>
    <cellStyle name="Migliaia [0] 4" xfId="53"/>
    <cellStyle name="Migliaia [0] 5" xfId="54"/>
    <cellStyle name="Migliaia [0] 6" xfId="55"/>
    <cellStyle name="Migliaia [0] 7" xfId="56"/>
    <cellStyle name="Migliaia [0] 8 2" xfId="57"/>
    <cellStyle name="Migliaia 10" xfId="58"/>
    <cellStyle name="Migliaia 11" xfId="59"/>
    <cellStyle name="Migliaia 2" xfId="60"/>
    <cellStyle name="Migliaia 2 2" xfId="61"/>
    <cellStyle name="Migliaia 2 3" xfId="62"/>
    <cellStyle name="Migliaia 2 4" xfId="63"/>
    <cellStyle name="Migliaia 2_AOTS_Organizzazione_31-12-2011" xfId="64"/>
    <cellStyle name="Migliaia 22" xfId="65"/>
    <cellStyle name="Migliaia 3" xfId="66"/>
    <cellStyle name="Migliaia 3 2" xfId="67"/>
    <cellStyle name="Migliaia 3_AOTS_Organizzazione_31-12-2011" xfId="68"/>
    <cellStyle name="Migliaia 4" xfId="69"/>
    <cellStyle name="Migliaia 4 2" xfId="70"/>
    <cellStyle name="Migliaia 5" xfId="71"/>
    <cellStyle name="Migliaia 6" xfId="72"/>
    <cellStyle name="Migliaia 6 2" xfId="73"/>
    <cellStyle name="Migliaia 6 2 2" xfId="74"/>
    <cellStyle name="Migliaia 6 2 2 2" xfId="75"/>
    <cellStyle name="Migliaia 7" xfId="76"/>
    <cellStyle name="Migliaia 8" xfId="77"/>
    <cellStyle name="Migliaia 9" xfId="78"/>
    <cellStyle name="Migliaia 9 2" xfId="79"/>
    <cellStyle name="Migliaia 9 3" xfId="80"/>
    <cellStyle name="Migliaia 9 3 2" xfId="81"/>
    <cellStyle name="Migliaia_Mattone CE_Budget 2008 (v. 0.5 del 12.02.2008) 2" xfId="82"/>
    <cellStyle name="Neutrale 2" xfId="83"/>
    <cellStyle name="Normal 12" xfId="84"/>
    <cellStyle name="Normal 2" xfId="85"/>
    <cellStyle name="Normal_all7_pdc" xfId="86"/>
    <cellStyle name="Normal_Sheet1 2" xfId="87"/>
    <cellStyle name="Normale" xfId="0" builtinId="0"/>
    <cellStyle name="Normale 10" xfId="88"/>
    <cellStyle name="Normale 10 2" xfId="89"/>
    <cellStyle name="Normale 11" xfId="90"/>
    <cellStyle name="Normale 12" xfId="91"/>
    <cellStyle name="Normale 19" xfId="92"/>
    <cellStyle name="Normale 19 2" xfId="93"/>
    <cellStyle name="Normale 19 2 2" xfId="94"/>
    <cellStyle name="Normale 2" xfId="95"/>
    <cellStyle name="Normale 2 2" xfId="96"/>
    <cellStyle name="Normale 2_1 BILANCIO AOU" xfId="97"/>
    <cellStyle name="Normale 20" xfId="98"/>
    <cellStyle name="Normale 3" xfId="99"/>
    <cellStyle name="Normale 3 2" xfId="100"/>
    <cellStyle name="Normale 3 3" xfId="101"/>
    <cellStyle name="Normale 4" xfId="102"/>
    <cellStyle name="Normale 5" xfId="103"/>
    <cellStyle name="Normale 6" xfId="104"/>
    <cellStyle name="Normale 6 2" xfId="105"/>
    <cellStyle name="Normale 7" xfId="106"/>
    <cellStyle name="Normale 7 2" xfId="107"/>
    <cellStyle name="Normale 7 3" xfId="108"/>
    <cellStyle name="Normale 7 3 2" xfId="109"/>
    <cellStyle name="Normale 7 3 2 2" xfId="110"/>
    <cellStyle name="Normale 7_Allegati 1-2def" xfId="111"/>
    <cellStyle name="Normale 8" xfId="112"/>
    <cellStyle name="Normale 9" xfId="113"/>
    <cellStyle name="Normale_All7_piano dei conti" xfId="114"/>
    <cellStyle name="Normale_FLUSSI FINANZIARI" xfId="115"/>
    <cellStyle name="Normale_Mattone CE_Budget 2008 (v. 0.5 del 12.02.2008) 2" xfId="116"/>
    <cellStyle name="Normale_Mattone CE_Budget 2008 (v. 0.5 del 12.02.2008) 2 2" xfId="117"/>
    <cellStyle name="Normale_modelloDCF2004bottoni" xfId="118"/>
    <cellStyle name="Nota 2" xfId="119"/>
    <cellStyle name="Output 2" xfId="120"/>
    <cellStyle name="Percent 2" xfId="121"/>
    <cellStyle name="Percent 3" xfId="122"/>
    <cellStyle name="Percentuale" xfId="123" builtinId="5"/>
    <cellStyle name="Percentuale 2" xfId="124"/>
    <cellStyle name="Percentuale 2 2" xfId="125"/>
    <cellStyle name="Percentuale 2 3" xfId="126"/>
    <cellStyle name="Percentuale 3" xfId="127"/>
    <cellStyle name="Percentuale 4" xfId="128"/>
    <cellStyle name="SAS FM Row drillable header" xfId="129"/>
    <cellStyle name="SAS FM Row header" xfId="130"/>
    <cellStyle name="Testo avviso 2" xfId="131"/>
    <cellStyle name="Testo descrittivo 2" xfId="132"/>
    <cellStyle name="Titolo 1 2" xfId="133"/>
    <cellStyle name="Titolo 2 2" xfId="134"/>
    <cellStyle name="Titolo 3 2" xfId="135"/>
    <cellStyle name="Titolo 4 2" xfId="136"/>
    <cellStyle name="Titolo 5" xfId="137"/>
    <cellStyle name="Titolo 6" xfId="138"/>
    <cellStyle name="Totale 2" xfId="139"/>
    <cellStyle name="Valore non valido 2" xfId="140"/>
    <cellStyle name="Valore valido 2" xfId="141"/>
    <cellStyle name="Valuta (0)_% Attrezzature ed Edilizia" xfId="142"/>
    <cellStyle name="Valuta 2" xfId="143"/>
    <cellStyle name="Valuta 3" xfId="1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9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5.xml"/><Relationship Id="rId34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26.xml"/><Relationship Id="rId47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34.xml"/><Relationship Id="rId55" Type="http://schemas.openxmlformats.org/officeDocument/2006/relationships/externalLink" Target="externalLinks/externalLink39.xml"/><Relationship Id="rId63" Type="http://schemas.openxmlformats.org/officeDocument/2006/relationships/externalLink" Target="externalLinks/externalLink47.xml"/><Relationship Id="rId68" Type="http://schemas.openxmlformats.org/officeDocument/2006/relationships/externalLink" Target="externalLinks/externalLink52.xml"/><Relationship Id="rId76" Type="http://schemas.openxmlformats.org/officeDocument/2006/relationships/externalLink" Target="externalLinks/externalLink60.xml"/><Relationship Id="rId84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5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3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24.xml"/><Relationship Id="rId45" Type="http://schemas.openxmlformats.org/officeDocument/2006/relationships/externalLink" Target="externalLinks/externalLink29.xml"/><Relationship Id="rId53" Type="http://schemas.openxmlformats.org/officeDocument/2006/relationships/externalLink" Target="externalLinks/externalLink37.xml"/><Relationship Id="rId58" Type="http://schemas.openxmlformats.org/officeDocument/2006/relationships/externalLink" Target="externalLinks/externalLink42.xml"/><Relationship Id="rId66" Type="http://schemas.openxmlformats.org/officeDocument/2006/relationships/externalLink" Target="externalLinks/externalLink50.xml"/><Relationship Id="rId74" Type="http://schemas.openxmlformats.org/officeDocument/2006/relationships/externalLink" Target="externalLinks/externalLink58.xml"/><Relationship Id="rId79" Type="http://schemas.openxmlformats.org/officeDocument/2006/relationships/externalLink" Target="externalLinks/externalLink6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45.xml"/><Relationship Id="rId82" Type="http://schemas.openxmlformats.org/officeDocument/2006/relationships/externalLink" Target="externalLinks/externalLink66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externalLink" Target="externalLinks/externalLink19.xml"/><Relationship Id="rId43" Type="http://schemas.openxmlformats.org/officeDocument/2006/relationships/externalLink" Target="externalLinks/externalLink27.xml"/><Relationship Id="rId48" Type="http://schemas.openxmlformats.org/officeDocument/2006/relationships/externalLink" Target="externalLinks/externalLink32.xml"/><Relationship Id="rId56" Type="http://schemas.openxmlformats.org/officeDocument/2006/relationships/externalLink" Target="externalLinks/externalLink40.xml"/><Relationship Id="rId64" Type="http://schemas.openxmlformats.org/officeDocument/2006/relationships/externalLink" Target="externalLinks/externalLink48.xml"/><Relationship Id="rId69" Type="http://schemas.openxmlformats.org/officeDocument/2006/relationships/externalLink" Target="externalLinks/externalLink53.xml"/><Relationship Id="rId77" Type="http://schemas.openxmlformats.org/officeDocument/2006/relationships/externalLink" Target="externalLinks/externalLink6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5.xml"/><Relationship Id="rId72" Type="http://schemas.openxmlformats.org/officeDocument/2006/relationships/externalLink" Target="externalLinks/externalLink56.xml"/><Relationship Id="rId80" Type="http://schemas.openxmlformats.org/officeDocument/2006/relationships/externalLink" Target="externalLinks/externalLink64.xml"/><Relationship Id="rId85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externalLink" Target="externalLinks/externalLink17.xml"/><Relationship Id="rId38" Type="http://schemas.openxmlformats.org/officeDocument/2006/relationships/externalLink" Target="externalLinks/externalLink22.xml"/><Relationship Id="rId46" Type="http://schemas.openxmlformats.org/officeDocument/2006/relationships/externalLink" Target="externalLinks/externalLink30.xml"/><Relationship Id="rId59" Type="http://schemas.openxmlformats.org/officeDocument/2006/relationships/externalLink" Target="externalLinks/externalLink43.xml"/><Relationship Id="rId67" Type="http://schemas.openxmlformats.org/officeDocument/2006/relationships/externalLink" Target="externalLinks/externalLink51.xml"/><Relationship Id="rId20" Type="http://schemas.openxmlformats.org/officeDocument/2006/relationships/externalLink" Target="externalLinks/externalLink4.xml"/><Relationship Id="rId41" Type="http://schemas.openxmlformats.org/officeDocument/2006/relationships/externalLink" Target="externalLinks/externalLink25.xml"/><Relationship Id="rId54" Type="http://schemas.openxmlformats.org/officeDocument/2006/relationships/externalLink" Target="externalLinks/externalLink38.xml"/><Relationship Id="rId62" Type="http://schemas.openxmlformats.org/officeDocument/2006/relationships/externalLink" Target="externalLinks/externalLink46.xml"/><Relationship Id="rId70" Type="http://schemas.openxmlformats.org/officeDocument/2006/relationships/externalLink" Target="externalLinks/externalLink54.xml"/><Relationship Id="rId75" Type="http://schemas.openxmlformats.org/officeDocument/2006/relationships/externalLink" Target="externalLinks/externalLink59.xml"/><Relationship Id="rId83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externalLink" Target="externalLinks/externalLink20.xml"/><Relationship Id="rId49" Type="http://schemas.openxmlformats.org/officeDocument/2006/relationships/externalLink" Target="externalLinks/externalLink33.xml"/><Relationship Id="rId57" Type="http://schemas.openxmlformats.org/officeDocument/2006/relationships/externalLink" Target="externalLinks/externalLink41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5.xml"/><Relationship Id="rId44" Type="http://schemas.openxmlformats.org/officeDocument/2006/relationships/externalLink" Target="externalLinks/externalLink28.xml"/><Relationship Id="rId52" Type="http://schemas.openxmlformats.org/officeDocument/2006/relationships/externalLink" Target="externalLinks/externalLink36.xml"/><Relationship Id="rId60" Type="http://schemas.openxmlformats.org/officeDocument/2006/relationships/externalLink" Target="externalLinks/externalLink44.xml"/><Relationship Id="rId65" Type="http://schemas.openxmlformats.org/officeDocument/2006/relationships/externalLink" Target="externalLinks/externalLink49.xml"/><Relationship Id="rId73" Type="http://schemas.openxmlformats.org/officeDocument/2006/relationships/externalLink" Target="externalLinks/externalLink57.xml"/><Relationship Id="rId78" Type="http://schemas.openxmlformats.org/officeDocument/2006/relationships/externalLink" Target="externalLinks/externalLink62.xml"/><Relationship Id="rId81" Type="http://schemas.openxmlformats.org/officeDocument/2006/relationships/externalLink" Target="externalLinks/externalLink65.xml"/><Relationship Id="rId86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MUNE\BILANCI\2000\AlimentazioneBil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Documents%20and%20Settings\rachellia\Documenti\PIANO%202003\proiezione%20SP%20al%2031-12-0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MUNE\BILANCI\2000\AlimentazioneBil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rachellia\Documenti\PIANO%202003\proiezione%20SP%20al%2031-12-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UNE\BILANCI\2000\AlimentazioneBil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-cifs01a\ragioneria\Documents%20and%20Settings\tomasin.marzia\Impostazioni%20locali\Temporary%20Internet%20Files\Content.IE5\9SQE5D1F\BILANCI\2000\AlimentazioneBil0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MUNE\BILANCI\2000\AlimentazioneBil0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-cifs01a\ragioneria\Documents%20and%20Settings\rachellia\Documenti\PIANO%202003\proiezione%20SP%20al%2031-12-0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achellia\Documenti\PIANO%202003\proiezione%20SP%20al%2031-12-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achellia\Documenti\PIANO%202003\proiezione%20SP%20al%2031-12-0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i\EXCEL\REPORT%202001\agosto20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COMUNE\BILANCI\2000\AlimentazioneBil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i\EXCEL\REPORT%202001\agosto20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ILANCIO%20199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une\Scambio\Dotazione%20Personale\MOVIMENTI%20PERSONALE\Mov-PERSONALE_anno%20201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RAGIONER\BIL01\COSRIC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AGIONER\BIL01\COSRIC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AGIONER\BIL01\COSRIC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AGIONER\BIL01\COSRIC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GIONER\BIL01\COSRIC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.regione.fvg.it\root\99consolidato\agenzia-preventivo%2099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9consolidato\agenzia-preventivo%20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ocuments%20and%20Settings\rachellia\Documenti\PIANO%202003\proiezione%20SP%20al%2031-12-0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99consolidato\agenzia-preventivo%2099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-ARS-UD\ECONOMIA\ARS%20-%20Doc.%20cont.%2099\UTENTI\ECONOMIA\COMUNE\COOPERS\CONSOLID\CONSOL98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MUNE\BILANCI\2002\Preventivo%202002\Bilanci%20aziende\burlo\MASTER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MUNE\BILANCI\2002\Preventivo%202002\Bilanci%20aziende\burlo\MASTER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MUNE\BILANCI\2002\Preventivo%202002\Bilanci%20aziende\burlo\MASTER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2002\Preventivo%202002\Bilanci%20aziende\burlo\MASTER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-aoudf2\Personale\Comune\Scambio\Dotazione%20Personale\MOVIMENTI%20PERSONALE\Mov-PERSONALE_anno%202010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une\Scambio\MOVIMENTI%20PERSONALE\Mov-PERSONALE_anno%20201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-cifs01a.aoud.sanita.fvg.it\Ragioneria\Bilancio\2005\consuntivo%202005\Bil%20CSC%202005_collegio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ilancio\2005\consuntivo%202005\Bil%20CSC%202005_collegi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COMUNE\BILANCI\2000\AlimentazioneBil00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-ARS-UD\ECONOMIA\COMUNE\BILANCI\Chiusura%201998\Bilanci%20Aziende\Ass%201\Ass1%20Alimentazione%2098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AES%20Area%20dell'Economia%20Sanitaria\2.Documenti%20condivisi\BILANCI\2009\Chiusura\Bilanci%20aziende\CSC\CSC%20Bilancio%20esercizio%202009%20per%20adozione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-cifs01a.aoud.sanita.fvg.it\Ragioneria\Personali\Tomasin\M.Tomasin\ENTRATE\COGE\COGE\COGE\AOU\BILANCI\2010\REVISIONE%20PAO%202010\DOCUMENTI%20UFFICIALI\BDGT%20DSC%202010_seconda%20fase%20bis(2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AES%20Area%20dell'Economia%20Sanitaria\2.Documenti%20condivisi\BILANCI\2009\Chiusura\Bilanci%20aziende\CSC\CSC%20Bilancio%20esercizio%202009%20per%20adozione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I\Bilanci\Consuntivi\Anno%202001\SCHEMI%20X%20CONSUNTIVO%202001%204.4.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I\Bilanci\Consuntivi\Anno%202001\SCHEMI%20X%20CONSUNTIVO%202001%204.4.02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I\Bilanci\Consuntivi\Anno%202001\SCHEMI%20X%20CONSUNTIVO%202001%204.4.02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99consolidato\agenzia-preventivo%209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9consolidato\agenzia-preventivo%2099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MUNE\BILANCI\2001\Preventivo%202001\Bilanci%20aziende\ass%202\BILANCIO%20199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UNE\BILANCI\2000\AlimentazioneBil0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MUNE\BILANCI\2001\Preventivo%202001\Bilanci%20aziende\ass%202\BILANCIO%201998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MUNE\BILANCI\2001\Preventivo%202001\Bilanci%20aziende\ass%202\BILANCIO%201998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2001\Preventivo%202001\Bilanci%20aziende\ass%202\BILANCIO%201998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nvenzSISR\Anno%202004-Convenzione%20SISR\Conduzione%20Applicativa_2004\Applicativo_5_2_2004_vers_presentata\piano_2004_v31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ConvenzSISR\Anno%202004-Convenzione%20SISR\Conduzione%20Applicativa_2004\Applicativo_5_2_2004_vers_presentata\piano_2004_v31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nvenzSISR\Anno%202004-Convenzione%20SISR\Conduzione%20Applicativa_2004\Applicativo_5_2_2004_vers_presentata\piano_2004_v31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903825\Impostazioni%20locali\Temporary%20Internet%20Files\OLK3A\CONDUZIONE\CONDUZIONE%20APPLICATIVA\piano_2004_SaS_Calcolo_Variazione_Aziende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Documents%20and%20Settings\903825\Impostazioni%20locali\Temporary%20Internet%20Files\OLK3A\CONDUZIONE\CONDUZIONE%20APPLICATIVA\piano_2004_SaS_Calcolo_Variazione_Aziende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s%20and%20Settings\903825\Impostazioni%20locali\Temporary%20Internet%20Files\OLK3A\CONDUZIONE\CONDUZIONE%20APPLICATIVA\piano_2004_SaS_Calcolo_Variazione_Aziende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-cifs01a.aoud.sanita.fvg.it\Ragioneria\COMUNE\BILANCI\2000\AlimentazioneBil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MUNE\BILANCI\2000\AlimentazioneBil00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MUNE\BILANCI\1999\Preventivo%201999\Consolidato%20prev99\Conto%20economico\Consol%20CE99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MUNE\BILANCI\1999\Preventivo%201999\Consolidato%20prev99\Conto%20economico\Consol%20CE99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covez-c\sanit&#224;\COMUNE\BILANCI\1999\Preventivo%201999\Consolidato%20prev99\Conto%20economico\Consol%20CE99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1999\Preventivo%201999\Consolidato%20prev99\Conto%20economico\Consol%20CE99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-ARS-UD\ECONOMIA\COMUNE\BILANCI\Preventivo%201999\Consolidato%20prev99\Conto%20economico\Consol%20CE99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gione.fvg.it\Comune\Scambio\Dotazione%20Personale\MOVIMENTI%20PERSONALE\Mov-PERSONALE_anno%202010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direzione-amministrativa/Direzione%20di%20Ragioneria/BachecaG/BIL19/chiusura/Bilancio_2019_rag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achellia\Documenti\PIANO%202003\proiezione%20SP%20al%2031-12-0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s%20and%20Settings\rachellia\Documenti\PIANO%202003\proiezione%20SP%20al%2031-12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COMUNE\BILANCI\2000\AlimentazioneBil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  <sheetName val="Alimentazione_CE012"/>
      <sheetName val="AO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/>
      <sheetData sheetId="13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Fisse_Pers_SSR"/>
      <sheetName val="C_E__preventivo"/>
      <sheetName val="Contr_Reg_"/>
      <sheetName val="Tabelle_DRG-Amb_"/>
      <sheetName val="BudgetTes_"/>
      <sheetName val="Contr_privati-Org_-Rev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Alimentazione_CE01"/>
      <sheetName val="AOTS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entazione_CE0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  <sheetName val="Previsione_amm_ti3"/>
      <sheetName val="immobilizz_3"/>
      <sheetName val="Alim_C_E_3"/>
      <sheetName val="Alim_S_P_6"/>
      <sheetName val="Schema_C_E_3"/>
      <sheetName val="Schema_S_P_3"/>
      <sheetName val="Alim_S_P_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Schema C.E."/>
      <sheetName val="Schema C.E. in Euro"/>
      <sheetName val="extrapatto"/>
      <sheetName val="Farmaceutica"/>
      <sheetName val="contributi da preventivo"/>
      <sheetName val="contributi effettivi"/>
      <sheetName val="acc.to f.do rinnovi contratto"/>
      <sheetName val="and.liquidità"/>
      <sheetName val="fondi 2001"/>
      <sheetName val="pers.1sem"/>
      <sheetName val="convenzionati"/>
      <sheetName val="Schema ROS"/>
      <sheetName val="Alim C_E_"/>
      <sheetName val="Alim_C_E_2"/>
      <sheetName val="Schema_C_E_1"/>
      <sheetName val="Schema_C_E__in_Euro1"/>
      <sheetName val="contributi_da_preventivo1"/>
      <sheetName val="contributi_effettivi1"/>
      <sheetName val="acc_to_f_do_rinnovi_contratto1"/>
      <sheetName val="and_liquidità1"/>
      <sheetName val="fondi_20011"/>
      <sheetName val="pers_1sem1"/>
      <sheetName val="Schema_ROS1"/>
      <sheetName val="Alim_C_E_3"/>
      <sheetName val="Alim_C_E_"/>
      <sheetName val="Schema_C_E_"/>
      <sheetName val="Schema_C_E__in_Euro"/>
      <sheetName val="contributi_da_preventivo"/>
      <sheetName val="contributi_effettivi"/>
      <sheetName val="acc_to_f_do_rinnovi_contratto"/>
      <sheetName val="and_liquidità"/>
      <sheetName val="fondi_2001"/>
      <sheetName val="pers_1sem"/>
      <sheetName val="Schema_ROS"/>
      <sheetName val="Alim_C_E_1"/>
      <sheetName val="Alim_C_E_4"/>
      <sheetName val="Schema_C_E_2"/>
      <sheetName val="Schema_C_E__in_Euro2"/>
      <sheetName val="contributi_da_preventivo2"/>
      <sheetName val="contributi_effettivi2"/>
      <sheetName val="acc_to_f_do_rinnovi_contratto2"/>
      <sheetName val="and_liquidità2"/>
      <sheetName val="fondi_20012"/>
      <sheetName val="pers_1sem2"/>
      <sheetName val="Schema_ROS2"/>
      <sheetName val="Alim_C_E_5"/>
      <sheetName val="Alim_C_E_6"/>
      <sheetName val="Schema_C_E_3"/>
      <sheetName val="Schema_C_E__in_Euro3"/>
      <sheetName val="contributi_da_preventivo3"/>
      <sheetName val="contributi_effettivi3"/>
      <sheetName val="acc_to_f_do_rinnovi_contratto3"/>
      <sheetName val="and_liquidità3"/>
      <sheetName val="fondi_20013"/>
      <sheetName val="pers_1sem3"/>
      <sheetName val="Schema_ROS3"/>
      <sheetName val="Alim_C_E_7"/>
      <sheetName val="Alim_C_E_8"/>
      <sheetName val="Schema_C_E_4"/>
      <sheetName val="Schema_C_E__in_Euro4"/>
      <sheetName val="contributi_da_preventivo4"/>
      <sheetName val="contributi_effettivi4"/>
      <sheetName val="acc_to_f_do_rinnovi_contratto4"/>
      <sheetName val="and_liquidità4"/>
      <sheetName val="fondi_20014"/>
      <sheetName val="pers_1sem4"/>
      <sheetName val="Schema_ROS4"/>
      <sheetName val="Alim_C_E_9"/>
      <sheetName val="Alim_C_E_10"/>
      <sheetName val="Schema_C_E_5"/>
      <sheetName val="Schema_C_E__in_Euro5"/>
      <sheetName val="contributi_da_preventivo5"/>
      <sheetName val="contributi_effettivi5"/>
      <sheetName val="acc_to_f_do_rinnovi_contratto5"/>
      <sheetName val="and_liquidità5"/>
      <sheetName val="fondi_20015"/>
      <sheetName val="pers_1sem5"/>
      <sheetName val="Schema_ROS5"/>
      <sheetName val="Alim_C_E_11"/>
      <sheetName val="alim s.p."/>
    </sheetNames>
    <sheetDataSet>
      <sheetData sheetId="0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Schema C.E."/>
      <sheetName val="Schema C.E. in Euro"/>
      <sheetName val="extrapatto"/>
      <sheetName val="Farmaceutica"/>
      <sheetName val="contributi da preventivo"/>
      <sheetName val="contributi effettivi"/>
      <sheetName val="acc.to f.do rinnovi contratto"/>
      <sheetName val="and.liquidità"/>
      <sheetName val="fondi 2001"/>
      <sheetName val="pers.1sem"/>
      <sheetName val="convenzionati"/>
      <sheetName val="Schema ROS"/>
      <sheetName val="Alim C_E_"/>
      <sheetName val="Alim_C_E_2"/>
      <sheetName val="Schema_C_E_1"/>
      <sheetName val="Schema_C_E__in_Euro1"/>
      <sheetName val="contributi_da_preventivo1"/>
      <sheetName val="contributi_effettivi1"/>
      <sheetName val="acc_to_f_do_rinnovi_contratto1"/>
      <sheetName val="and_liquidità1"/>
      <sheetName val="fondi_20011"/>
      <sheetName val="pers_1sem1"/>
      <sheetName val="Schema_ROS1"/>
      <sheetName val="Alim_C_E_3"/>
      <sheetName val="Alim_C_E_"/>
      <sheetName val="Schema_C_E_"/>
      <sheetName val="Schema_C_E__in_Euro"/>
      <sheetName val="contributi_da_preventivo"/>
      <sheetName val="contributi_effettivi"/>
      <sheetName val="acc_to_f_do_rinnovi_contratto"/>
      <sheetName val="and_liquidità"/>
      <sheetName val="fondi_2001"/>
      <sheetName val="pers_1sem"/>
      <sheetName val="Schema_ROS"/>
      <sheetName val="Alim_C_E_1"/>
      <sheetName val="Alim_C_E_4"/>
      <sheetName val="Schema_C_E_2"/>
      <sheetName val="Schema_C_E__in_Euro2"/>
      <sheetName val="contributi_da_preventivo2"/>
      <sheetName val="contributi_effettivi2"/>
      <sheetName val="acc_to_f_do_rinnovi_contratto2"/>
      <sheetName val="and_liquidità2"/>
      <sheetName val="fondi_20012"/>
      <sheetName val="pers_1sem2"/>
      <sheetName val="Schema_ROS2"/>
      <sheetName val="Alim_C_E_5"/>
      <sheetName val="Alim_C_E_6"/>
      <sheetName val="Schema_C_E_3"/>
      <sheetName val="Schema_C_E__in_Euro3"/>
      <sheetName val="contributi_da_preventivo3"/>
      <sheetName val="contributi_effettivi3"/>
      <sheetName val="acc_to_f_do_rinnovi_contratto3"/>
      <sheetName val="and_liquidità3"/>
      <sheetName val="fondi_20013"/>
      <sheetName val="pers_1sem3"/>
      <sheetName val="Schema_ROS3"/>
      <sheetName val="Alim_C_E_7"/>
      <sheetName val="Alim_C_E_8"/>
      <sheetName val="Schema_C_E_4"/>
      <sheetName val="Schema_C_E__in_Euro4"/>
      <sheetName val="contributi_da_preventivo4"/>
      <sheetName val="contributi_effettivi4"/>
      <sheetName val="acc_to_f_do_rinnovi_contratto4"/>
      <sheetName val="and_liquidità4"/>
      <sheetName val="fondi_20014"/>
      <sheetName val="pers_1sem4"/>
      <sheetName val="Schema_ROS4"/>
      <sheetName val="Alim_C_E_9"/>
      <sheetName val="Alim_C_E_10"/>
      <sheetName val="Schema_C_E_5"/>
      <sheetName val="Schema_C_E__in_Euro5"/>
      <sheetName val="contributi_da_preventivo5"/>
      <sheetName val="contributi_effettivi5"/>
      <sheetName val="acc_to_f_do_rinnovi_contratto5"/>
      <sheetName val="and_liquidità5"/>
      <sheetName val="fondi_20015"/>
      <sheetName val="pers_1sem5"/>
      <sheetName val="Schema_ROS5"/>
      <sheetName val="Alim_C_E_11"/>
    </sheetNames>
    <sheetDataSet>
      <sheetData sheetId="0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Alim_S_P_7"/>
      <sheetName val="Alimentazi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0"/>
      <sheetName val="Codifiche"/>
      <sheetName val="Lists"/>
      <sheetName val="profili"/>
      <sheetName val="Cod. bd,cd,sett d"/>
      <sheetName val="legenda"/>
      <sheetName val="PIVOT CESSATI TFR"/>
      <sheetName val="PIVOT RIEPILOGO"/>
      <sheetName val="PIVOT pensionati"/>
      <sheetName val="RIEPILOGO NUOVI ASSUNTI"/>
      <sheetName val="RIEPILOGO CESSATI DEFINITIV (2)"/>
      <sheetName val="RIEPILOGO CESSATI DIR"/>
      <sheetName val="RIEPILOGO ASSUNTI CESSATI"/>
      <sheetName val="pivot NUOVI assunti"/>
      <sheetName val="RIEPILOGO CESSATI DEFINITIVI "/>
      <sheetName val="pivot NUOVI assunti CALT"/>
      <sheetName val="RIEPILOGO CESSATI DEF CALT"/>
      <sheetName val="pivot NUOVI assunti dirigenti"/>
      <sheetName val="RIEPILOGO CESSATI DEFINITIV dir"/>
      <sheetName val="pivot NUOVI assunti fis san"/>
      <sheetName val="RIEPILOGO CESSATI FIS SAN"/>
      <sheetName val="riepilogo NUOVI assunti dipart"/>
      <sheetName val="CESSATI QUALIFICHE"/>
      <sheetName val="pivot assunti monitoraggio"/>
      <sheetName val="CESSATI monitoraggio"/>
      <sheetName val="pivot budget medv"/>
      <sheetName val="pivot budget medv 30giu2011"/>
      <sheetName val="pivot budget medv 30sett2011"/>
      <sheetName val="pivot budget medv 31dic2011"/>
      <sheetName val="pivot budget medv 31gen2012"/>
      <sheetName val="pivot budget medv 31marz2012"/>
      <sheetName val="pivot budget medv 30giu2012"/>
      <sheetName val="pivot budget medv 30sett2012"/>
      <sheetName val="pivot budget medv 31dic2012"/>
      <sheetName val="pivot budget medv 31marzo2013"/>
      <sheetName val="pivot budget medv 30giugno2013"/>
      <sheetName val="pivot budget medv 30sett.2013"/>
      <sheetName val="pivot budget medv 31dic.2013"/>
      <sheetName val="RIEPILOG NUOVI ASSUNTI dan"/>
      <sheetName val="RIEPILOGO CESSATI DEFINIT. dan"/>
      <sheetName val="RIEPILOG NUOVI ASSUNTI Nomi"/>
      <sheetName val="RIEPILOGO CESS. DEFINIT. Nomi"/>
      <sheetName val="RIEPILOGO ASS.-CESS. 2010Prof"/>
      <sheetName val="RIEPILOGO ASS.-CESS. 2010Nom"/>
      <sheetName val="RIEP. ASS.-CESS. 2010DetIndet"/>
      <sheetName val="RIEPILOGO CESS. DEFINIT. Motivo"/>
      <sheetName val="RIEP. AS.-CES. Mag-Dic2011Prof"/>
      <sheetName val="RIEP. AS.-CES. Lug-Dic2011TSLB"/>
      <sheetName val="RIEP. AS.-CES. Gen-Sett 2011TOT"/>
      <sheetName val="RIEP. AS.-CES. Ago-Sett 2011"/>
      <sheetName val="RIEP. AS.-CES. Ott-Dic 2011TOT"/>
      <sheetName val="RIEP. AS.-CES. Ott-Dic 2011 Nom"/>
      <sheetName val="RIEP. AS.-CES. Dic 2011TOT"/>
      <sheetName val="RIEP. AS.-CES. Dic 2011 Nom"/>
      <sheetName val="RIEP. AS.-CES. 2012 Tot"/>
      <sheetName val="RIEP. AS.-CES. 2012 Nom"/>
      <sheetName val="RIEP. AS.-CES. 1°sem2012 Tot"/>
      <sheetName val="RIEP. AS.-CES. 1°sem2012 Nom"/>
      <sheetName val="RIEP. AS.-CES. Gen-Sett2012 Tot"/>
      <sheetName val="RIEP. AS.-CES. Gen-Sett2012 Nom"/>
      <sheetName val="RIEP. Altri ASSUNTI 1°sem2012"/>
      <sheetName val="RIEP. AS.-CES. 31lug2012 Tot"/>
      <sheetName val="RIEP. AS.-CES. 31lug2012 Nom"/>
      <sheetName val="RIEP. AS.-CES. ago-dic 2012 Tot"/>
      <sheetName val="RIEP. AS.-CES. ago-dic2012 Nom"/>
      <sheetName val="RIEP. AS.-CES. ott-dic 2012 Tot"/>
      <sheetName val="RIEP. AS.-CES. ott-dic2012 Nom"/>
      <sheetName val="RIEP. AS.-CES. nov-dic 2012"/>
      <sheetName val="RIEP. AS.-CES. nov-dic2012 Nom"/>
      <sheetName val="RIEP. AS.-CES. 2°sem2012 Tot"/>
      <sheetName val="RIEP. AS.-CES. 2°sem2012 Nom"/>
      <sheetName val="RIEP. AS.-CES. anno2012 Tot"/>
      <sheetName val="RIEP. AS.-CES. anno2012 Nom"/>
      <sheetName val="RIEP. AS.-CES. 2°trim2012 Tot"/>
      <sheetName val="RIEP. AS.-CES. 2°trim2012 Nom"/>
      <sheetName val="RIEP.AS.-CES.2012InfMedOss "/>
      <sheetName val="RIEP. AS.-CES. 2011 Nom (2)"/>
      <sheetName val="RIEP. AS.-CES. 2011 Nom (3)"/>
      <sheetName val="piv. NUOV. Ass. Car.Ascot&gt;11giu"/>
      <sheetName val="RIEP. ASSUNTI Gen-Giu2011TOT"/>
      <sheetName val="PIVOT RIEPILOGO (2)"/>
      <sheetName val="INF. AS.-CES. Ago-Dic2011"/>
      <sheetName val="cessazioni amm ag-dic 2011 N"/>
      <sheetName val="AMM. AS.-CES. 2011TOT"/>
      <sheetName val="AMM. AS.-CES. 2012 Nom"/>
      <sheetName val="AMM. AS.-CES. 2011-12 Nom"/>
      <sheetName val="AMM. AS.-CES. 2011 Nom"/>
      <sheetName val="RIEP.CES. 2011 motivi"/>
      <sheetName val="RIEP. CESSATI DEFINITIVI 2012"/>
      <sheetName val="RIEP. TERM.INC.PROVV.  DIC 2011"/>
      <sheetName val="RIEP. TERM.INC.PROVV.  GEN 2012"/>
      <sheetName val="MOB. ASS.-CES. 2011"/>
      <sheetName val="RIEP. ASS.-CESS. 2010 Inf+Oss"/>
      <sheetName val="PIVOT CESSATI TFR 2011"/>
      <sheetName val="RIEP.CES.DEF.D.MED.giu.dic.2012"/>
      <sheetName val="PIVOT CESSATI D.L. n. 95-2012"/>
      <sheetName val="NUOVI Assunti Tutti"/>
      <sheetName val="AMM. AS.-CES. 2010-11-12 Nom"/>
      <sheetName val="AMM-DIR. AS.-CES. 2010-11-12Nom"/>
      <sheetName val="Tec-DIR. AS.-CES. 2010-11-12Nom"/>
      <sheetName val="RIEP. CES. per anno TOT"/>
      <sheetName val="RIEP. CES.  per anno NOM"/>
      <sheetName val="RIEP. AS.-CES. dic 2012"/>
      <sheetName val="RIEP. AS.-CES. Nom dic2012"/>
      <sheetName val="RIEP. AS.-CES. Nom2012Agnese"/>
      <sheetName val="RIEP. AS.-CES. 2013 generale"/>
      <sheetName val="RIEP. AS.-CES. 2013 nomin"/>
      <sheetName val="RIEP. AS.-CES. II Trim.2013 gen"/>
      <sheetName val="RIEP. AS.-CES. II Trim.2013 nom"/>
      <sheetName val="RIEP. AS.-CES. I Sem.2013 gen"/>
      <sheetName val="RIEP. AS.-CES. I Sem.2013 nom"/>
      <sheetName val="RIEP. AS.-CES. Gen-Set2013 gene"/>
      <sheetName val="RIEP. AS.-CES. Gen-Set2013 nom"/>
      <sheetName val="RIEP. AS.-CES. Dic2013 gene"/>
      <sheetName val="RIEP. AS.-CES. Dic2013nom"/>
      <sheetName val="RIEP. AS.-CES. Gen-Dic2014 gene"/>
      <sheetName val="RIEP. AS.-CES. Gen-Dic2014nom"/>
      <sheetName val="2013 Antonella"/>
      <sheetName val="2014 Antonella"/>
      <sheetName val="TURNOVER AS.-CES. 2012"/>
      <sheetName val="Assunti DiriMed.San 31mag13"/>
      <sheetName val="CESS. DEF.DIRMED.SAN 31mag13"/>
      <sheetName val="Riepilogo NEOASSUNTI 2012"/>
      <sheetName val="Riepilogo NEOASSUNTI 2013"/>
      <sheetName val="Riepilogo NEOASSUNTI 2014"/>
    </sheetNames>
    <sheetDataSet>
      <sheetData sheetId="0"/>
      <sheetData sheetId="1">
        <row r="2">
          <cell r="G2" t="str">
            <v/>
          </cell>
        </row>
        <row r="3">
          <cell r="A3" t="str">
            <v>F</v>
          </cell>
          <cell r="B3" t="str">
            <v>TI=tempo indeterminato</v>
          </cell>
          <cell r="C3" t="str">
            <v>CALT=comparto</v>
          </cell>
          <cell r="G3" t="str">
            <v>A</v>
          </cell>
          <cell r="H3" t="str">
            <v>AREA MEDICA E SPEC. MEDICHE</v>
          </cell>
          <cell r="P3" t="str">
            <v>Cessazione per Decesso</v>
          </cell>
          <cell r="R3" t="str">
            <v>TP (tempo pieno)</v>
          </cell>
          <cell r="V3" t="str">
            <v>SI</v>
          </cell>
          <cell r="X3" t="str">
            <v>ENTRATA</v>
          </cell>
          <cell r="Y3" t="str">
            <v>SI</v>
          </cell>
        </row>
        <row r="4">
          <cell r="A4" t="str">
            <v>M</v>
          </cell>
          <cell r="B4" t="str">
            <v>TD=tempo determinato</v>
          </cell>
          <cell r="C4" t="str">
            <v>CDIR=dirigenti</v>
          </cell>
          <cell r="G4" t="str">
            <v>B</v>
          </cell>
          <cell r="P4" t="str">
            <v>Cessazione per Trasferimento</v>
          </cell>
          <cell r="R4" t="str">
            <v>PT (part-time)</v>
          </cell>
          <cell r="V4" t="str">
            <v>NO</v>
          </cell>
          <cell r="X4" t="str">
            <v>USCITA</v>
          </cell>
          <cell r="Y4" t="str">
            <v>SI - STAB.</v>
          </cell>
        </row>
        <row r="5">
          <cell r="B5" t="str">
            <v>S=supplente</v>
          </cell>
          <cell r="C5" t="str">
            <v>MEDV=dirigenti medici</v>
          </cell>
          <cell r="G5" t="str">
            <v>BS</v>
          </cell>
          <cell r="H5" t="str">
            <v>ALLERGOLOGIA ED IMMUNOLOGIA CLINICA</v>
          </cell>
          <cell r="P5" t="str">
            <v>Collocam. a Riposo a Domanda</v>
          </cell>
          <cell r="Y5" t="str">
            <v>NO</v>
          </cell>
        </row>
        <row r="6">
          <cell r="B6" t="str">
            <v>C=comandato in</v>
          </cell>
          <cell r="G6" t="str">
            <v>C</v>
          </cell>
          <cell r="H6" t="str">
            <v>ANGIOLOGIA</v>
          </cell>
          <cell r="P6" t="str">
            <v>collocamento in quiescenza</v>
          </cell>
          <cell r="Y6" t="str">
            <v>DEROGA</v>
          </cell>
        </row>
        <row r="7">
          <cell r="B7" t="str">
            <v>C=comandato out</v>
          </cell>
          <cell r="G7" t="str">
            <v>D</v>
          </cell>
          <cell r="H7" t="str">
            <v>CARDIOLOGIA</v>
          </cell>
          <cell r="P7" t="str">
            <v>Dimissioni Volontarie</v>
          </cell>
          <cell r="Y7" t="str">
            <v>AGOSTO</v>
          </cell>
        </row>
        <row r="8">
          <cell r="B8" t="str">
            <v>Dis=disponibilità tempo pieno</v>
          </cell>
          <cell r="G8" t="str">
            <v>DS</v>
          </cell>
          <cell r="H8" t="str">
            <v>DERMATOLOGIA E VENEROLOGIA</v>
          </cell>
          <cell r="P8" t="str">
            <v>Inidoneità</v>
          </cell>
          <cell r="Y8" t="str">
            <v>PASSAGGIO INTERNO</v>
          </cell>
        </row>
        <row r="9">
          <cell r="B9" t="str">
            <v>STD=Straordinario</v>
          </cell>
          <cell r="G9" t="str">
            <v/>
          </cell>
          <cell r="H9" t="str">
            <v>EMATOLOGIA</v>
          </cell>
          <cell r="P9" t="str">
            <v xml:space="preserve">Limiti di età  </v>
          </cell>
          <cell r="Y9" t="str">
            <v>ALTRI FONDI</v>
          </cell>
        </row>
        <row r="10">
          <cell r="B10" t="str">
            <v>TIaf=Tempo indeterminato altri fondi</v>
          </cell>
          <cell r="G10" t="str">
            <v>9</v>
          </cell>
          <cell r="H10" t="str">
            <v>ENDOCRINOLOGIA</v>
          </cell>
          <cell r="P10" t="str">
            <v>Passaggio da  Supplente a Straordinario</v>
          </cell>
          <cell r="Y10" t="str">
            <v>DSC</v>
          </cell>
        </row>
        <row r="11">
          <cell r="G11" t="str">
            <v>10</v>
          </cell>
          <cell r="H11" t="str">
            <v>GASTROENTEROLOGIA</v>
          </cell>
          <cell r="P11" t="str">
            <v>Passaggio da Straordinario a supplente</v>
          </cell>
          <cell r="Y11" t="str">
            <v>NO-L. 68/99</v>
          </cell>
        </row>
        <row r="12">
          <cell r="G12" t="str">
            <v>11</v>
          </cell>
          <cell r="H12" t="str">
            <v>GENETICA MEDICA</v>
          </cell>
          <cell r="P12" t="str">
            <v>Passaggio da Straordinario a tempo det</v>
          </cell>
        </row>
        <row r="13">
          <cell r="G13" t="str">
            <v/>
          </cell>
          <cell r="H13" t="str">
            <v>GERIATRIA</v>
          </cell>
          <cell r="P13" t="str">
            <v>Passaggio da Straordinario a tempo indet</v>
          </cell>
        </row>
        <row r="14">
          <cell r="G14" t="str">
            <v/>
          </cell>
          <cell r="H14" t="str">
            <v>MALATTIE METABOLICHE E DIABETOLOGIA</v>
          </cell>
          <cell r="P14" t="str">
            <v>Passaggio da supplente a tempo det</v>
          </cell>
        </row>
        <row r="15">
          <cell r="G15" t="str">
            <v/>
          </cell>
          <cell r="H15" t="str">
            <v>MALATTIE DELL'APPARATO RESPIRATORIO</v>
          </cell>
          <cell r="P15" t="str">
            <v>Passaggio da supplente a tempo indet</v>
          </cell>
        </row>
        <row r="16">
          <cell r="H16" t="str">
            <v>MALATTIE INFETTIVE</v>
          </cell>
          <cell r="P16" t="str">
            <v>Passaggio t.d. a tempo indeterminato</v>
          </cell>
        </row>
        <row r="17">
          <cell r="H17" t="str">
            <v>MEDICINA E CHIR. D'ACCETT. E D'URGENZA</v>
          </cell>
          <cell r="P17" t="str">
            <v>Passaggio t.d. a supplente</v>
          </cell>
        </row>
        <row r="18">
          <cell r="H18" t="str">
            <v>MEDICINA FISICA E RIABILITAZIONE</v>
          </cell>
          <cell r="P18" t="str">
            <v>Passaggio t.d. a straordinario</v>
          </cell>
        </row>
        <row r="19">
          <cell r="H19" t="str">
            <v>MEDICINA INTERNA</v>
          </cell>
          <cell r="P19" t="str">
            <v>Risoluz.Post Aspett.Periodo Prova</v>
          </cell>
        </row>
        <row r="20">
          <cell r="H20" t="str">
            <v>MEDICINA DELLO SPORT</v>
          </cell>
          <cell r="P20" t="str">
            <v>Risoluz.Post Aspett.Periodo Prova - cambio qualifica</v>
          </cell>
        </row>
        <row r="21">
          <cell r="H21" t="str">
            <v>NEFROLOGIA</v>
          </cell>
          <cell r="P21" t="str">
            <v>Risoluzione consensuale (DIR)</v>
          </cell>
        </row>
        <row r="22">
          <cell r="H22" t="str">
            <v>NEONATOLOGIA</v>
          </cell>
          <cell r="P22" t="str">
            <v>Risoluzione per anzianità di servizio (40 anni)</v>
          </cell>
        </row>
        <row r="23">
          <cell r="H23" t="str">
            <v>NEUROLOGIA</v>
          </cell>
          <cell r="P23" t="str">
            <v xml:space="preserve">Superati limiti di età  </v>
          </cell>
        </row>
        <row r="24">
          <cell r="H24" t="str">
            <v>NEUROPSICHIATRIA INFANTILE</v>
          </cell>
          <cell r="P24" t="str">
            <v>Termine comando</v>
          </cell>
        </row>
        <row r="25">
          <cell r="H25" t="str">
            <v>ONCOLOGIA</v>
          </cell>
          <cell r="P25" t="str">
            <v>Termine Incarico Temporaneo</v>
          </cell>
        </row>
        <row r="26">
          <cell r="H26" t="str">
            <v>PEDIATRIA</v>
          </cell>
          <cell r="P26" t="str">
            <v>Termine Inc. Temporaneo PROVV.</v>
          </cell>
        </row>
        <row r="27">
          <cell r="H27" t="str">
            <v>PSICHIATRIA</v>
          </cell>
          <cell r="P27" t="str">
            <v>Licenziamento con preavviso</v>
          </cell>
        </row>
        <row r="28">
          <cell r="H28" t="str">
            <v>RADIOTERAPIA</v>
          </cell>
          <cell r="P28" t="str">
            <v>Licenziamento senza preavviso</v>
          </cell>
        </row>
        <row r="29">
          <cell r="H29" t="str">
            <v>REUMATOLOGIA</v>
          </cell>
          <cell r="P29" t="str">
            <v>Mancato superamento periodo di prova</v>
          </cell>
        </row>
        <row r="30">
          <cell r="H30" t="str">
            <v>SCIENZA DELL'ALIMENTAZ. E DIETETICA</v>
          </cell>
          <cell r="P30" t="str">
            <v>Termine supplenza</v>
          </cell>
        </row>
        <row r="31">
          <cell r="P31" t="str">
            <v>Cambio Contratto</v>
          </cell>
        </row>
        <row r="32">
          <cell r="P32" t="str">
            <v>PEV</v>
          </cell>
        </row>
        <row r="33">
          <cell r="P33" t="str">
            <v>Trasferimento da AOU a DSC</v>
          </cell>
        </row>
        <row r="34">
          <cell r="H34" t="str">
            <v>AREA CHIRURGICA E SPEC. CHRURGICHE</v>
          </cell>
          <cell r="P34" t="str">
            <v>Trasferimento da DSC a AOU</v>
          </cell>
        </row>
        <row r="36">
          <cell r="H36" t="str">
            <v>CARDIOCHIRURGIA</v>
          </cell>
        </row>
        <row r="37">
          <cell r="H37" t="str">
            <v>CHIRURGIA GENERALE</v>
          </cell>
        </row>
        <row r="38">
          <cell r="H38" t="str">
            <v>CHIRURGIA MAXILLO-FACCIALE</v>
          </cell>
        </row>
        <row r="39">
          <cell r="H39" t="str">
            <v>CHIRURGIA PEDIATRICA</v>
          </cell>
        </row>
        <row r="40">
          <cell r="H40" t="str">
            <v>CHIRURGIA PLASTICA E RICOSTRUTTIVA</v>
          </cell>
        </row>
        <row r="41">
          <cell r="H41" t="str">
            <v>CHIRURGIA TORACICA</v>
          </cell>
        </row>
        <row r="42">
          <cell r="H42" t="str">
            <v>CHIRURGIA VASCOLARE</v>
          </cell>
        </row>
        <row r="43">
          <cell r="H43" t="str">
            <v>GINECOLOGIA E OSTETRICIA</v>
          </cell>
        </row>
        <row r="44">
          <cell r="H44" t="str">
            <v>NEUROCHIRURGIA</v>
          </cell>
        </row>
        <row r="45">
          <cell r="H45" t="str">
            <v>OFTALMOLOGIA</v>
          </cell>
        </row>
        <row r="46">
          <cell r="H46" t="str">
            <v>ORTOPEDIA E TRAUMATOLOGIA</v>
          </cell>
        </row>
        <row r="47">
          <cell r="H47" t="str">
            <v>OTORINOLARINGOIATRIA</v>
          </cell>
        </row>
        <row r="48">
          <cell r="H48" t="str">
            <v>UROLOGIA</v>
          </cell>
        </row>
        <row r="52">
          <cell r="H52" t="str">
            <v>AREA ODONTOIATRICA</v>
          </cell>
        </row>
        <row r="54">
          <cell r="H54" t="str">
            <v>ODONTOIATRIA</v>
          </cell>
        </row>
        <row r="57">
          <cell r="H57" t="str">
            <v>AREA MED. DIAGNOSTICA E DEI SERVIZI</v>
          </cell>
        </row>
        <row r="59">
          <cell r="H59" t="str">
            <v>ANATOMIA PATOLOGICA</v>
          </cell>
        </row>
        <row r="60">
          <cell r="H60" t="str">
            <v>ANESTESIA E RIANIMAZIONE</v>
          </cell>
        </row>
        <row r="61">
          <cell r="H61" t="str">
            <v>BIOCHIMICA CLINICA</v>
          </cell>
        </row>
        <row r="62">
          <cell r="H62" t="str">
            <v>FARMACOLOGIA E TOSSICOLOGIA CLINICA</v>
          </cell>
        </row>
        <row r="63">
          <cell r="H63" t="str">
            <v>LABORATORIO DI GENETICA MEDICA</v>
          </cell>
        </row>
        <row r="64">
          <cell r="H64" t="str">
            <v>MEDICINA TRASFUSIONALE</v>
          </cell>
        </row>
        <row r="65">
          <cell r="H65" t="str">
            <v>MEDICINA LEGALE</v>
          </cell>
        </row>
        <row r="66">
          <cell r="H66" t="str">
            <v>MEDICINA NUCLEARE</v>
          </cell>
        </row>
        <row r="67">
          <cell r="H67" t="str">
            <v>MICROBIOLOGIA E VIROLOGIA</v>
          </cell>
        </row>
        <row r="68">
          <cell r="H68" t="str">
            <v>NEUROFISIOPATOLOGIA</v>
          </cell>
        </row>
        <row r="69">
          <cell r="H69" t="str">
            <v>NEURORADIOLOGIA</v>
          </cell>
        </row>
        <row r="70">
          <cell r="H70" t="str">
            <v>PATOLOGIA CLINICA (LAB. AN. CHIMICO CL. E MICRO.)</v>
          </cell>
        </row>
        <row r="71">
          <cell r="H71" t="str">
            <v>RADIODIAGNOSTICA</v>
          </cell>
        </row>
        <row r="75">
          <cell r="H75" t="str">
            <v>AREA DI SANITA' PUBBLICA</v>
          </cell>
        </row>
        <row r="77">
          <cell r="H77" t="str">
            <v>IGIENE EPIDEMIOLOGIA E SANITA' PUBBL.</v>
          </cell>
        </row>
        <row r="78">
          <cell r="H78" t="str">
            <v>IGIENE DEGLI ALIMENTI E DELLA NUTRIZ.</v>
          </cell>
        </row>
        <row r="79">
          <cell r="H79" t="str">
            <v>MEDICINA DEL LAVORO E SICUR. AMB. LAV.</v>
          </cell>
        </row>
        <row r="80">
          <cell r="H80" t="str">
            <v>ORGANIZZAZIONE DEI SERV. SAN. DI BASE</v>
          </cell>
        </row>
        <row r="81">
          <cell r="H81" t="str">
            <v>DIREZIONE MEDICA DI PRESIDIO OSPEDAL.</v>
          </cell>
        </row>
        <row r="82">
          <cell r="H82" t="str">
            <v>EPIDEMIOLOGIA (Decreto 31/07/2002)</v>
          </cell>
        </row>
        <row r="86">
          <cell r="H86" t="str">
            <v>AREA DI FARMACIA</v>
          </cell>
        </row>
        <row r="88">
          <cell r="H88" t="str">
            <v>FARMACIA OSPEDALIERA</v>
          </cell>
        </row>
        <row r="89">
          <cell r="H89" t="str">
            <v>FARMACIA TERRITORIALE (Decreto 31.07.2002)</v>
          </cell>
        </row>
        <row r="93">
          <cell r="H93" t="str">
            <v>AREA DI FISICA SANITARIA</v>
          </cell>
        </row>
        <row r="95">
          <cell r="H95" t="str">
            <v>FISICA SANITARIA</v>
          </cell>
        </row>
        <row r="99">
          <cell r="H99" t="str">
            <v>AREA DI PSICOLOGIA</v>
          </cell>
        </row>
        <row r="101">
          <cell r="H101" t="str">
            <v>PSICOLOGIA</v>
          </cell>
        </row>
        <row r="102">
          <cell r="H102" t="str">
            <v>PSICOTERAPIA</v>
          </cell>
        </row>
        <row r="106">
          <cell r="H106" t="str">
            <v>AREA DI CHIMICA</v>
          </cell>
        </row>
        <row r="108">
          <cell r="H108" t="str">
            <v>CHIMICA ANALITICA</v>
          </cell>
        </row>
        <row r="111">
          <cell r="H111" t="str">
            <v>ALTRA AREA</v>
          </cell>
        </row>
        <row r="113">
          <cell r="H113" t="str">
            <v>UFFICIO STAMPA</v>
          </cell>
        </row>
        <row r="114">
          <cell r="H114" t="str">
            <v>GESTIONE DELLE SPERIMENTAZIONI</v>
          </cell>
        </row>
        <row r="115">
          <cell r="H115" t="str">
            <v>CENTRO COORD. REGIONALE MALATTIE RARE</v>
          </cell>
        </row>
        <row r="116">
          <cell r="H116" t="str">
            <v>DIPARTIMENTO SERVIZI CONDIVISI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</sheetNames>
    <sheetDataSet>
      <sheetData sheetId="0" refreshError="1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  <sheetName val="Alimentazione_CE01"/>
      <sheetName val="C_E__preventivo"/>
      <sheetName val="Grafico_risultati"/>
      <sheetName val="Grafico_Ricavi"/>
      <sheetName val="Grafico_Costi"/>
      <sheetName val="BGT_Patrim_"/>
      <sheetName val="fabbis_copert__"/>
      <sheetName val="Deb_vs_forn_"/>
      <sheetName val="immob_"/>
      <sheetName val="alim s.p."/>
    </sheetNames>
    <sheetDataSet>
      <sheetData sheetId="0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  <sheetName val="Alimentazione_CE011"/>
      <sheetName val="C_E__preventivo1"/>
      <sheetName val="Grafico_risultati1"/>
      <sheetName val="Grafico_Ricavi1"/>
      <sheetName val="Grafico_Costi1"/>
      <sheetName val="BGT_Patrim_1"/>
      <sheetName val="fabbis_copert__1"/>
      <sheetName val="Deb_vs_forn_1"/>
      <sheetName val="immob_1"/>
      <sheetName val="Alimentazione_CE01"/>
      <sheetName val="C_E__preventivo"/>
      <sheetName val="Grafico_risultati"/>
      <sheetName val="Grafico_Ricavi"/>
      <sheetName val="Grafico_Costi"/>
      <sheetName val="BGT_Patrim_"/>
      <sheetName val="fabbis_copert__"/>
      <sheetName val="Deb_vs_forn_"/>
      <sheetName val="immob_"/>
      <sheetName val="Alimentazione_CE012"/>
      <sheetName val="C_E__preventivo2"/>
      <sheetName val="Grafico_risultati2"/>
      <sheetName val="Grafico_Ricavi2"/>
      <sheetName val="Grafico_Costi2"/>
      <sheetName val="BGT_Patrim_2"/>
      <sheetName val="fabbis_copert__2"/>
      <sheetName val="Deb_vs_forn_2"/>
      <sheetName val="immob_2"/>
      <sheetName val="Alimentazione_CE013"/>
      <sheetName val="C_E__preventivo3"/>
      <sheetName val="Grafico_risultati3"/>
      <sheetName val="Grafico_Ricavi3"/>
      <sheetName val="Grafico_Costi3"/>
      <sheetName val="BGT_Patrim_3"/>
      <sheetName val="fabbis_copert__3"/>
      <sheetName val="Deb_vs_forn_3"/>
      <sheetName val="immob_3"/>
      <sheetName val="Alimentazione_CE014"/>
      <sheetName val="C_E__preventivo4"/>
      <sheetName val="Grafico_risultati4"/>
      <sheetName val="Grafico_Ricavi4"/>
      <sheetName val="Grafico_Costi4"/>
      <sheetName val="BGT_Patrim_4"/>
      <sheetName val="fabbis_copert__4"/>
      <sheetName val="Deb_vs_forn_4"/>
      <sheetName val="immob_4"/>
      <sheetName val="Alimentazione_CE015"/>
      <sheetName val="C_E__preventivo5"/>
      <sheetName val="Grafico_risultati5"/>
      <sheetName val="Grafico_Ricavi5"/>
      <sheetName val="Grafico_Costi5"/>
      <sheetName val="BGT_Patrim_5"/>
      <sheetName val="fabbis_copert__5"/>
      <sheetName val="Deb_vs_forn_5"/>
      <sheetName val="immob_5"/>
      <sheetName val="Alimentazione_CE016"/>
      <sheetName val="C_E__preventivo6"/>
      <sheetName val="Grafico_risultati6"/>
      <sheetName val="Grafico_Ricavi6"/>
      <sheetName val="Grafico_Costi6"/>
      <sheetName val="BGT_Patrim_6"/>
      <sheetName val="fabbis_copert__6"/>
      <sheetName val="Deb_vs_forn_6"/>
      <sheetName val="immob_6"/>
      <sheetName val="Alimentazione_CE017"/>
      <sheetName val="C_E__preventivo7"/>
      <sheetName val="Grafico_risultati7"/>
      <sheetName val="Grafico_Ricavi7"/>
      <sheetName val="Grafico_Costi7"/>
      <sheetName val="BGT_Patrim_7"/>
      <sheetName val="fabbis_copert__7"/>
      <sheetName val="Deb_vs_forn_7"/>
      <sheetName val="immob_7"/>
      <sheetName val="AOTS"/>
      <sheetName val="alim s.p."/>
    </sheetNames>
    <sheetDataSet>
      <sheetData sheetId="0" refreshError="1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  <sheetName val="Alimentazione_CE011"/>
      <sheetName val="C_E__preventivo1"/>
      <sheetName val="Grafico_risultati1"/>
      <sheetName val="Grafico_Ricavi1"/>
      <sheetName val="Grafico_Costi1"/>
      <sheetName val="BGT_Patrim_1"/>
      <sheetName val="fabbis_copert__1"/>
      <sheetName val="Deb_vs_forn_1"/>
      <sheetName val="immob_1"/>
      <sheetName val="Alimentazione_CE01"/>
      <sheetName val="C_E__preventivo"/>
      <sheetName val="Grafico_risultati"/>
      <sheetName val="Grafico_Ricavi"/>
      <sheetName val="Grafico_Costi"/>
      <sheetName val="BGT_Patrim_"/>
      <sheetName val="fabbis_copert__"/>
      <sheetName val="Deb_vs_forn_"/>
      <sheetName val="immob_"/>
      <sheetName val="Alimentazione_CE012"/>
      <sheetName val="C_E__preventivo2"/>
      <sheetName val="Grafico_risultati2"/>
      <sheetName val="Grafico_Ricavi2"/>
      <sheetName val="Grafico_Costi2"/>
      <sheetName val="BGT_Patrim_2"/>
      <sheetName val="fabbis_copert__2"/>
      <sheetName val="Deb_vs_forn_2"/>
      <sheetName val="immob_2"/>
      <sheetName val="Alimentazione_CE013"/>
      <sheetName val="C_E__preventivo3"/>
      <sheetName val="Grafico_risultati3"/>
      <sheetName val="Grafico_Ricavi3"/>
      <sheetName val="Grafico_Costi3"/>
      <sheetName val="BGT_Patrim_3"/>
      <sheetName val="fabbis_copert__3"/>
      <sheetName val="Deb_vs_forn_3"/>
      <sheetName val="immob_3"/>
      <sheetName val="Alimentazione_CE014"/>
      <sheetName val="C_E__preventivo4"/>
      <sheetName val="Grafico_risultati4"/>
      <sheetName val="Grafico_Ricavi4"/>
      <sheetName val="Grafico_Costi4"/>
      <sheetName val="BGT_Patrim_4"/>
      <sheetName val="fabbis_copert__4"/>
      <sheetName val="Deb_vs_forn_4"/>
      <sheetName val="immob_4"/>
      <sheetName val="Alimentazione_CE015"/>
      <sheetName val="C_E__preventivo5"/>
      <sheetName val="Grafico_risultati5"/>
      <sheetName val="Grafico_Ricavi5"/>
      <sheetName val="Grafico_Costi5"/>
      <sheetName val="BGT_Patrim_5"/>
      <sheetName val="fabbis_copert__5"/>
      <sheetName val="Deb_vs_forn_5"/>
      <sheetName val="immob_5"/>
      <sheetName val="AOTS"/>
    </sheetNames>
    <sheetDataSet>
      <sheetData sheetId="0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</sheetNames>
    <sheetDataSet>
      <sheetData sheetId="0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S.P."/>
      <sheetName val="Alim C.E."/>
      <sheetName val="C_E__preventivo1"/>
      <sheetName val="BGT_Patrim_1"/>
      <sheetName val="fabbis_copert__1"/>
      <sheetName val="Deb_vs_forn_1"/>
      <sheetName val="imm_mater_1"/>
      <sheetName val="pluriennale_99-001"/>
      <sheetName val="Alim_C_E_1"/>
      <sheetName val="Alim_S_P_1"/>
      <sheetName val="C_E__preventivo"/>
      <sheetName val="BGT_Patrim_"/>
      <sheetName val="fabbis_copert__"/>
      <sheetName val="Deb_vs_forn_"/>
      <sheetName val="imm_mater_"/>
      <sheetName val="pluriennale_99-00"/>
      <sheetName val="Alim_C_E_"/>
      <sheetName val="Alim_S_P_"/>
      <sheetName val="C_E__preventivo2"/>
      <sheetName val="BGT_Patrim_2"/>
      <sheetName val="fabbis_copert__2"/>
      <sheetName val="Deb_vs_forn_2"/>
      <sheetName val="imm_mater_2"/>
      <sheetName val="pluriennale_99-002"/>
      <sheetName val="Alim_C_E_2"/>
      <sheetName val="Alim_S_P_2"/>
      <sheetName val="C_E__preventivo3"/>
      <sheetName val="BGT_Patrim_3"/>
      <sheetName val="fabbis_copert__3"/>
      <sheetName val="Deb_vs_forn_3"/>
      <sheetName val="imm_mater_3"/>
      <sheetName val="pluriennale_99-003"/>
      <sheetName val="C_E__preventivo4"/>
      <sheetName val="BGT_Patrim_4"/>
      <sheetName val="fabbis_copert__4"/>
      <sheetName val="Deb_vs_forn_4"/>
      <sheetName val="imm_mater_4"/>
      <sheetName val="pluriennale_99-004"/>
      <sheetName val="C_E__preventivo5"/>
      <sheetName val="BGT_Patrim_5"/>
      <sheetName val="fabbis_copert__5"/>
      <sheetName val="Deb_vs_forn_5"/>
      <sheetName val="imm_mater_5"/>
      <sheetName val="pluriennale_99-005"/>
      <sheetName val="Alim_C_E_3"/>
      <sheetName val="Alim_S_P_3"/>
      <sheetName val="C_E__preventivo6"/>
      <sheetName val="BGT_Patrim_6"/>
      <sheetName val="fabbis_copert__6"/>
      <sheetName val="Deb_vs_forn_6"/>
      <sheetName val="imm_mater_6"/>
      <sheetName val="pluriennale_99-006"/>
      <sheetName val="Alim_C_E_4"/>
      <sheetName val="Alim_S_P_4"/>
      <sheetName val="C_E__preventivo7"/>
      <sheetName val="BGT_Patrim_7"/>
      <sheetName val="fabbis_copert__7"/>
      <sheetName val="Deb_vs_forn_7"/>
      <sheetName val="imm_mater_7"/>
      <sheetName val="pluriennale_99-007"/>
      <sheetName val="Alim_C_E_5"/>
      <sheetName val="Alim_S_P_5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C.E."/>
      <sheetName val="Alim S.P."/>
      <sheetName val="C_E__preventivo1"/>
      <sheetName val="BGT_Patrim_1"/>
      <sheetName val="fabbis_copert__1"/>
      <sheetName val="Deb_vs_forn_1"/>
      <sheetName val="imm_mater_1"/>
      <sheetName val="pluriennale_99-001"/>
      <sheetName val="C_E__preventivo"/>
      <sheetName val="BGT_Patrim_"/>
      <sheetName val="fabbis_copert__"/>
      <sheetName val="Deb_vs_forn_"/>
      <sheetName val="imm_mater_"/>
      <sheetName val="pluriennale_99-00"/>
      <sheetName val="C_E__preventivo2"/>
      <sheetName val="BGT_Patrim_2"/>
      <sheetName val="fabbis_copert__2"/>
      <sheetName val="Deb_vs_forn_2"/>
      <sheetName val="imm_mater_2"/>
      <sheetName val="pluriennale_99-002"/>
      <sheetName val="Alim_C_E_"/>
      <sheetName val="Alim_S_P_"/>
      <sheetName val="C_E__preventivo3"/>
      <sheetName val="BGT_Patrim_3"/>
      <sheetName val="fabbis_copert__3"/>
      <sheetName val="Deb_vs_forn_3"/>
      <sheetName val="imm_mater_3"/>
      <sheetName val="pluriennale_99-003"/>
      <sheetName val="Alim_C_E_1"/>
      <sheetName val="Alim_S_P_1"/>
      <sheetName val="C_E__preventivo4"/>
      <sheetName val="BGT_Patrim_4"/>
      <sheetName val="fabbis_copert__4"/>
      <sheetName val="Deb_vs_forn_4"/>
      <sheetName val="imm_mater_4"/>
      <sheetName val="pluriennale_99-004"/>
      <sheetName val="Alim_C_E_2"/>
      <sheetName val="Alim_S_P_2"/>
      <sheetName val="C_E__preventivo5"/>
      <sheetName val="BGT_Patrim_5"/>
      <sheetName val="fabbis_copert__5"/>
      <sheetName val="Deb_vs_forn_5"/>
      <sheetName val="imm_mater_5"/>
      <sheetName val="pluriennale_99-005"/>
      <sheetName val="Alim_C_E_3"/>
      <sheetName val="Alim_S_P_3"/>
      <sheetName val="C_E__preventivo6"/>
      <sheetName val="BGT_Patrim_6"/>
      <sheetName val="fabbis_copert__6"/>
      <sheetName val="Deb_vs_forn_6"/>
      <sheetName val="imm_mater_6"/>
      <sheetName val="pluriennale_99-006"/>
      <sheetName val="Alim_C_E_4"/>
      <sheetName val="Alim_S_P_4"/>
      <sheetName val="C_E__preventivo7"/>
      <sheetName val="BGT_Patrim_7"/>
      <sheetName val="fabbis_copert__7"/>
      <sheetName val="Deb_vs_forn_7"/>
      <sheetName val="imm_mater_7"/>
      <sheetName val="pluriennale_99-007"/>
      <sheetName val="Alim_C_E_5"/>
      <sheetName val="Alim_S_P_5"/>
      <sheetName val="C_E__preventivo8"/>
      <sheetName val="Alimentazione CE01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S.P."/>
      <sheetName val="Alim C.E."/>
      <sheetName val="C_E__preventivo1"/>
      <sheetName val="BGT_Patrim_1"/>
      <sheetName val="fabbis_copert__1"/>
      <sheetName val="Deb_vs_forn_1"/>
      <sheetName val="imm_mater_1"/>
      <sheetName val="pluriennale_99-001"/>
      <sheetName val="Alim_C_E_1"/>
      <sheetName val="Alim_S_P_1"/>
      <sheetName val="C_E__preventivo"/>
      <sheetName val="BGT_Patrim_"/>
      <sheetName val="fabbis_copert__"/>
      <sheetName val="Deb_vs_forn_"/>
      <sheetName val="imm_mater_"/>
      <sheetName val="pluriennale_99-00"/>
      <sheetName val="Alim_C_E_"/>
      <sheetName val="Alim_S_P_"/>
      <sheetName val="C_E__preventivo2"/>
      <sheetName val="BGT_Patrim_2"/>
      <sheetName val="fabbis_copert__2"/>
      <sheetName val="Deb_vs_forn_2"/>
      <sheetName val="imm_mater_2"/>
      <sheetName val="pluriennale_99-002"/>
      <sheetName val="Alim_C_E_2"/>
      <sheetName val="Alim_S_P_2"/>
      <sheetName val="C_E__preventivo3"/>
      <sheetName val="BGT_Patrim_3"/>
      <sheetName val="fabbis_copert__3"/>
      <sheetName val="Deb_vs_forn_3"/>
      <sheetName val="imm_mater_3"/>
      <sheetName val="pluriennale_99-003"/>
      <sheetName val="C_E__preventivo4"/>
      <sheetName val="BGT_Patrim_4"/>
      <sheetName val="fabbis_copert__4"/>
      <sheetName val="Deb_vs_forn_4"/>
      <sheetName val="imm_mater_4"/>
      <sheetName val="pluriennale_99-004"/>
      <sheetName val="C_E__preventivo5"/>
      <sheetName val="BGT_Patrim_5"/>
      <sheetName val="fabbis_copert__5"/>
      <sheetName val="Deb_vs_forn_5"/>
      <sheetName val="imm_mater_5"/>
      <sheetName val="pluriennale_99-005"/>
      <sheetName val="Alim_C_E_3"/>
      <sheetName val="Alim_S_P_3"/>
      <sheetName val="C_E__preventivo6"/>
      <sheetName val="BGT_Patrim_6"/>
      <sheetName val="fabbis_copert__6"/>
      <sheetName val="Deb_vs_forn_6"/>
      <sheetName val="imm_mater_6"/>
      <sheetName val="pluriennale_99-006"/>
      <sheetName val="Alim_C_E_4"/>
      <sheetName val="Alim_S_P_4"/>
      <sheetName val="C_E__preventivo7"/>
      <sheetName val="BGT_Patrim_7"/>
      <sheetName val="fabbis_copert__7"/>
      <sheetName val="Deb_vs_forn_7"/>
      <sheetName val="imm_mater_7"/>
      <sheetName val="pluriennale_99-007"/>
      <sheetName val="Alim_C_E_5"/>
      <sheetName val="Alim_S_P_5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uazione"/>
      <sheetName val="RIEPILOGO contributi"/>
      <sheetName val="RIEPILOGO RICAVI"/>
      <sheetName val="RIEPILOGO COSTI"/>
      <sheetName val="ass 1"/>
      <sheetName val="ass 2"/>
      <sheetName val="ass 3"/>
      <sheetName val="ass 4"/>
      <sheetName val="ass 5"/>
      <sheetName val="ass 6"/>
      <sheetName val="ao ud"/>
      <sheetName val="ao pn"/>
      <sheetName val="ao ts"/>
      <sheetName val="ars"/>
      <sheetName val="BILANCIO DEL SSR"/>
      <sheetName val="RICOVERI INFRAGRUPPO"/>
      <sheetName val="PREST. AMBULAT.  INFRAGRUPPO"/>
      <sheetName val="rettifiche di eliminaz.'98"/>
      <sheetName val="variazioni '98"/>
      <sheetName val="RICONCILIAZ."/>
      <sheetName val="CONTRIBUTI D'ES."/>
      <sheetName val="PROTOCOLLI"/>
      <sheetName val="PROTOCOLLI (2)"/>
      <sheetName val="PROTOCOLLI (3)"/>
      <sheetName val="Foglio5"/>
      <sheetName val="Foglio6"/>
      <sheetName val="Foglio7"/>
      <sheetName val="Foglio8"/>
      <sheetName val="Foglio9"/>
      <sheetName val="Foglio10"/>
      <sheetName val="Foglio11"/>
      <sheetName val="Foglio12"/>
      <sheetName val="Foglio13"/>
      <sheetName val="Foglio14"/>
      <sheetName val="Foglio15"/>
      <sheetName val="Modulo1"/>
      <sheetName val="protocolli4"/>
      <sheetName val="RIEPILOGO_contributi"/>
      <sheetName val="RIEPILOGO_RICAVI"/>
      <sheetName val="RIEPILOGO_COSTI"/>
      <sheetName val="ass_1"/>
      <sheetName val="ass_2"/>
      <sheetName val="ass_3"/>
      <sheetName val="ass_4"/>
      <sheetName val="ass_5"/>
      <sheetName val="ass_6"/>
      <sheetName val="ao_ud"/>
      <sheetName val="ao_pn"/>
      <sheetName val="ao_ts"/>
      <sheetName val="BILANCIO_DEL_SSR"/>
      <sheetName val="RICOVERI_INFRAGRUPPO"/>
      <sheetName val="PREST__AMBULAT___INFRAGRUPPO"/>
      <sheetName val="rettifiche_di_eliminaz_'98"/>
      <sheetName val="variazioni_'98"/>
      <sheetName val="RICONCILIAZ_"/>
      <sheetName val="CONTRIBUTI_D'ES_"/>
      <sheetName val="PROTOCOLLI_(2)"/>
      <sheetName val="PROTOCOLLI_(3)"/>
      <sheetName val="RIEPILOGO_contributi1"/>
      <sheetName val="RIEPILOGO_RICAVI1"/>
      <sheetName val="RIEPILOGO_COSTI1"/>
      <sheetName val="ass_11"/>
      <sheetName val="ass_21"/>
      <sheetName val="ass_31"/>
      <sheetName val="ass_41"/>
      <sheetName val="ass_51"/>
      <sheetName val="ass_61"/>
      <sheetName val="ao_ud1"/>
      <sheetName val="ao_pn1"/>
      <sheetName val="ao_ts1"/>
      <sheetName val="BILANCIO_DEL_SSR1"/>
      <sheetName val="RICOVERI_INFRAGRUPPO1"/>
      <sheetName val="PREST__AMBULAT___INFRAGRUPPO1"/>
      <sheetName val="rettifiche_di_eliminaz_'981"/>
      <sheetName val="variazioni_'981"/>
      <sheetName val="RICONCILIAZ_1"/>
      <sheetName val="CONTRIBUTI_D'ES_1"/>
      <sheetName val="PROTOCOLLI_(2)1"/>
      <sheetName val="PROTOCOLLI_(3)1"/>
      <sheetName val="RIEPILOGO_contributi2"/>
      <sheetName val="RIEPILOGO_RICAVI2"/>
      <sheetName val="RIEPILOGO_COSTI2"/>
      <sheetName val="ass_12"/>
      <sheetName val="ass_22"/>
      <sheetName val="ass_32"/>
      <sheetName val="ass_42"/>
      <sheetName val="ass_52"/>
      <sheetName val="ass_62"/>
      <sheetName val="ao_ud2"/>
      <sheetName val="ao_pn2"/>
      <sheetName val="ao_ts2"/>
      <sheetName val="BILANCIO_DEL_SSR2"/>
      <sheetName val="RICOVERI_INFRAGRUPPO2"/>
      <sheetName val="PREST__AMBULAT___INFRAGRUPPO2"/>
      <sheetName val="rettifiche_di_eliminaz_'982"/>
      <sheetName val="variazioni_'982"/>
      <sheetName val="RICONCILIAZ_2"/>
      <sheetName val="CONTRIBUTI_D'ES_2"/>
      <sheetName val="PROTOCOLLI_(2)2"/>
      <sheetName val="PROTOCOLLI_(3)2"/>
      <sheetName val="RIEPILOGO_contributi3"/>
      <sheetName val="RIEPILOGO_RICAVI3"/>
      <sheetName val="RIEPILOGO_COSTI3"/>
      <sheetName val="ass_13"/>
      <sheetName val="ass_23"/>
      <sheetName val="ass_33"/>
      <sheetName val="ass_43"/>
      <sheetName val="ass_53"/>
      <sheetName val="ass_63"/>
      <sheetName val="ao_ud3"/>
      <sheetName val="ao_pn3"/>
      <sheetName val="ao_ts3"/>
      <sheetName val="BILANCIO_DEL_SSR3"/>
      <sheetName val="RICOVERI_INFRAGRUPPO3"/>
      <sheetName val="PREST__AMBULAT___INFRAGRUPPO3"/>
      <sheetName val="rettifiche_di_eliminaz_'983"/>
      <sheetName val="variazioni_'983"/>
      <sheetName val="RICONCILIAZ_3"/>
      <sheetName val="CONTRIBUTI_D'ES_3"/>
      <sheetName val="PROTOCOLLI_(2)3"/>
      <sheetName val="PROTOCOLLI_(3)3"/>
      <sheetName val="alim s.p."/>
      <sheetName val="Alim C.E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>
        <row r="1">
          <cell r="A1" t="str">
            <v>3.1</v>
          </cell>
          <cell r="B1" t="str">
            <v>Bilancio preventivo annuale consolidato del S.S.R. Friuli-Venezia Giulia (anno 1998)</v>
          </cell>
        </row>
        <row r="3">
          <cell r="C3" t="str">
            <v>BILANCIO  PREVENTIVO AGGREGATO 1998</v>
          </cell>
          <cell r="D3" t="str">
            <v>ELIMINAZIONI DI CONSOLIDAMENTO</v>
          </cell>
          <cell r="E3" t="str">
            <v>BILANCIO PREVENTIVO CONSOLIDATO</v>
          </cell>
          <cell r="F3" t="str">
            <v>RETTIFICHE DI ELIMINAZIONI (*)</v>
          </cell>
          <cell r="G3" t="str">
            <v>BILANCIO PREVENTIVO CONSOLIDATO RETTIFICATO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2043749000000</v>
          </cell>
          <cell r="E8">
            <v>2043749000000</v>
          </cell>
          <cell r="G8">
            <v>2043749000000</v>
          </cell>
        </row>
        <row r="9">
          <cell r="B9" t="str">
            <v>contributi finalizzati</v>
          </cell>
          <cell r="C9">
            <v>85054511013</v>
          </cell>
          <cell r="E9">
            <v>85054511013</v>
          </cell>
          <cell r="G9">
            <v>85054511013</v>
          </cell>
        </row>
        <row r="10">
          <cell r="B10" t="str">
            <v xml:space="preserve">   b) Altri contributi</v>
          </cell>
          <cell r="C10">
            <v>26692539151</v>
          </cell>
          <cell r="E10">
            <v>26692539151</v>
          </cell>
          <cell r="G10">
            <v>26692539151</v>
          </cell>
        </row>
        <row r="11">
          <cell r="A11">
            <v>2</v>
          </cell>
          <cell r="B11" t="str">
            <v>Ricavi per prestazioni ad aziende del SSN</v>
          </cell>
          <cell r="G11">
            <v>0</v>
          </cell>
        </row>
        <row r="12">
          <cell r="B12" t="str">
            <v xml:space="preserve">   a) Prestazioni in regime di ricovero</v>
          </cell>
          <cell r="C12">
            <v>542236000000</v>
          </cell>
          <cell r="D12">
            <v>-476985000000</v>
          </cell>
          <cell r="E12">
            <v>65251000000</v>
          </cell>
          <cell r="F12">
            <v>0</v>
          </cell>
          <cell r="G12">
            <v>65251000000</v>
          </cell>
        </row>
        <row r="13">
          <cell r="B13" t="str">
            <v xml:space="preserve">   b) Prestazioni ambulatoriali e diagnostiche</v>
          </cell>
          <cell r="C13">
            <v>66048000000</v>
          </cell>
          <cell r="D13">
            <v>-60547000000</v>
          </cell>
          <cell r="E13">
            <v>5501000000</v>
          </cell>
          <cell r="F13">
            <v>-2000000000</v>
          </cell>
          <cell r="G13">
            <v>3501000000</v>
          </cell>
        </row>
        <row r="14">
          <cell r="B14" t="str">
            <v xml:space="preserve">   c)  Altre prestazioni</v>
          </cell>
          <cell r="C14">
            <v>7931167000</v>
          </cell>
          <cell r="E14">
            <v>7931167000</v>
          </cell>
          <cell r="G14">
            <v>7931167000</v>
          </cell>
        </row>
        <row r="15">
          <cell r="A15">
            <v>3</v>
          </cell>
          <cell r="B15" t="str">
            <v xml:space="preserve">Ricavi per altre prestazioni </v>
          </cell>
          <cell r="G15">
            <v>0</v>
          </cell>
        </row>
        <row r="16">
          <cell r="B16" t="str">
            <v xml:space="preserve">   a) Compartecipazione alla spesa per prestazioni sanitarie</v>
          </cell>
          <cell r="C16">
            <v>47106723552</v>
          </cell>
          <cell r="E16">
            <v>47106723552</v>
          </cell>
          <cell r="G16">
            <v>47106723552</v>
          </cell>
        </row>
        <row r="17">
          <cell r="B17" t="str">
            <v xml:space="preserve">   b) Concorsi, recuperi, rimborsi per attività tipiche</v>
          </cell>
          <cell r="C17">
            <v>13761430791</v>
          </cell>
          <cell r="E17">
            <v>13761430791</v>
          </cell>
          <cell r="G17">
            <v>13761430791</v>
          </cell>
        </row>
        <row r="18">
          <cell r="B18" t="str">
            <v xml:space="preserve">   c) Altri ricavi propri operativi</v>
          </cell>
          <cell r="C18">
            <v>42041353728</v>
          </cell>
          <cell r="E18">
            <v>42041353728</v>
          </cell>
          <cell r="G18">
            <v>42041353728</v>
          </cell>
        </row>
        <row r="19">
          <cell r="B19" t="str">
            <v xml:space="preserve">   d) Altri ricavi propri non operativi</v>
          </cell>
          <cell r="C19">
            <v>23127614718</v>
          </cell>
          <cell r="E19">
            <v>23127614718</v>
          </cell>
          <cell r="G19">
            <v>23127614718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E20">
            <v>0</v>
          </cell>
          <cell r="G20">
            <v>0</v>
          </cell>
        </row>
        <row r="22">
          <cell r="B22" t="str">
            <v xml:space="preserve">TOTALE VALORE DELLA PRODUZIONE </v>
          </cell>
          <cell r="C22">
            <v>2897748339953</v>
          </cell>
          <cell r="D22">
            <v>-537532000000</v>
          </cell>
          <cell r="E22">
            <v>2360216339953</v>
          </cell>
          <cell r="F22">
            <v>-2000000000</v>
          </cell>
          <cell r="G22">
            <v>2358216339953</v>
          </cell>
        </row>
        <row r="24">
          <cell r="A24" t="str">
            <v>B)</v>
          </cell>
          <cell r="B24" t="str">
            <v>COSTI DELLA PRODUZIONE</v>
          </cell>
        </row>
        <row r="26">
          <cell r="A26">
            <v>1</v>
          </cell>
          <cell r="B26" t="str">
            <v>Acquisti di beni</v>
          </cell>
        </row>
        <row r="27">
          <cell r="B27" t="str">
            <v xml:space="preserve">   a) Sanitari</v>
          </cell>
          <cell r="C27">
            <v>-209029868824</v>
          </cell>
          <cell r="E27">
            <v>-209029868824</v>
          </cell>
          <cell r="G27">
            <v>-209029868824</v>
          </cell>
        </row>
        <row r="28">
          <cell r="B28" t="str">
            <v xml:space="preserve">   b) Non sanitari</v>
          </cell>
          <cell r="C28">
            <v>-36497758656</v>
          </cell>
          <cell r="E28">
            <v>-36497758656</v>
          </cell>
          <cell r="G28">
            <v>-36497758656</v>
          </cell>
        </row>
        <row r="29">
          <cell r="A29">
            <v>2</v>
          </cell>
          <cell r="B29" t="str">
            <v>Acquisti di servizi</v>
          </cell>
          <cell r="G29">
            <v>0</v>
          </cell>
        </row>
        <row r="30">
          <cell r="B30" t="str">
            <v xml:space="preserve">   a) Prestazioni in regime di ricovero</v>
          </cell>
          <cell r="C30">
            <v>-688249200000</v>
          </cell>
          <cell r="D30">
            <v>476985000000</v>
          </cell>
          <cell r="E30">
            <v>-211264200000</v>
          </cell>
          <cell r="F30">
            <v>0</v>
          </cell>
          <cell r="G30">
            <v>-211264200000</v>
          </cell>
        </row>
        <row r="31">
          <cell r="B31" t="str">
            <v xml:space="preserve">   b) Prestazioni ambulatoriali e diagnostiche</v>
          </cell>
          <cell r="C31">
            <v>-83871511000</v>
          </cell>
          <cell r="D31">
            <v>60547000000</v>
          </cell>
          <cell r="E31">
            <v>-23324511000</v>
          </cell>
          <cell r="F31">
            <v>0</v>
          </cell>
          <cell r="G31">
            <v>-23324511000</v>
          </cell>
        </row>
        <row r="32">
          <cell r="B32" t="str">
            <v xml:space="preserve">   c) Farmaceutica</v>
          </cell>
          <cell r="C32">
            <v>-222858745000</v>
          </cell>
          <cell r="E32">
            <v>-222858745000</v>
          </cell>
          <cell r="G32">
            <v>-222858745000</v>
          </cell>
        </row>
        <row r="33">
          <cell r="B33" t="str">
            <v xml:space="preserve">   d) Medicina di base</v>
          </cell>
          <cell r="C33">
            <v>-126906918293</v>
          </cell>
          <cell r="E33">
            <v>-126906918293</v>
          </cell>
          <cell r="G33">
            <v>-126906918293</v>
          </cell>
        </row>
        <row r="34">
          <cell r="B34" t="str">
            <v xml:space="preserve">   e) Altre convenzioni</v>
          </cell>
          <cell r="C34">
            <v>-123845866080</v>
          </cell>
          <cell r="E34">
            <v>-123845866080</v>
          </cell>
          <cell r="G34">
            <v>-123845866080</v>
          </cell>
        </row>
        <row r="35">
          <cell r="B35" t="str">
            <v xml:space="preserve">   f) Servizi appaltati</v>
          </cell>
          <cell r="C35">
            <v>-101556567055</v>
          </cell>
          <cell r="E35">
            <v>-101556567055</v>
          </cell>
          <cell r="G35">
            <v>-101556567055</v>
          </cell>
        </row>
        <row r="36">
          <cell r="B36" t="str">
            <v xml:space="preserve">   g) Manutenzioni</v>
          </cell>
          <cell r="C36">
            <v>-40784164670</v>
          </cell>
          <cell r="E36">
            <v>-40784164670</v>
          </cell>
          <cell r="G36">
            <v>-40784164670</v>
          </cell>
        </row>
        <row r="37">
          <cell r="B37" t="str">
            <v xml:space="preserve">   h) Utenze</v>
          </cell>
          <cell r="C37">
            <v>-38244679993</v>
          </cell>
          <cell r="E37">
            <v>-38244679993</v>
          </cell>
          <cell r="G37">
            <v>-38244679993</v>
          </cell>
        </row>
        <row r="38">
          <cell r="B38" t="str">
            <v xml:space="preserve">   i) Rimborsi-assegni, contributi e altri servizi</v>
          </cell>
          <cell r="C38">
            <v>-22187518886</v>
          </cell>
          <cell r="E38">
            <v>-22187518886</v>
          </cell>
          <cell r="G38">
            <v>-22187518886</v>
          </cell>
        </row>
        <row r="39">
          <cell r="A39">
            <v>3</v>
          </cell>
          <cell r="B39" t="str">
            <v>Godimento di beni di terzi</v>
          </cell>
          <cell r="C39">
            <v>-10264289560</v>
          </cell>
          <cell r="E39">
            <v>-10264289560</v>
          </cell>
          <cell r="G39">
            <v>-10264289560</v>
          </cell>
        </row>
        <row r="40">
          <cell r="A40">
            <v>4</v>
          </cell>
          <cell r="B40" t="str">
            <v>Costi del personale</v>
          </cell>
          <cell r="G40">
            <v>0</v>
          </cell>
        </row>
        <row r="41">
          <cell r="B41" t="str">
            <v xml:space="preserve">   a) Personale sanitario</v>
          </cell>
          <cell r="C41">
            <v>-705679252638</v>
          </cell>
          <cell r="E41">
            <v>-705679252638</v>
          </cell>
          <cell r="G41">
            <v>-705679252638</v>
          </cell>
        </row>
        <row r="42">
          <cell r="B42" t="str">
            <v xml:space="preserve">   b) Personale professionale</v>
          </cell>
          <cell r="C42">
            <v>-3915943782</v>
          </cell>
          <cell r="E42">
            <v>-3915943782</v>
          </cell>
          <cell r="G42">
            <v>-3915943782</v>
          </cell>
        </row>
        <row r="43">
          <cell r="B43" t="str">
            <v xml:space="preserve">   c) Personale tecnico</v>
          </cell>
          <cell r="C43">
            <v>-146657617706</v>
          </cell>
          <cell r="E43">
            <v>-146657617706</v>
          </cell>
          <cell r="G43">
            <v>-146657617706</v>
          </cell>
        </row>
        <row r="44">
          <cell r="B44" t="str">
            <v xml:space="preserve">   d) Personale amministrativo</v>
          </cell>
          <cell r="C44">
            <v>-58867068100</v>
          </cell>
          <cell r="E44">
            <v>-58867068100</v>
          </cell>
          <cell r="G44">
            <v>-58867068100</v>
          </cell>
        </row>
        <row r="45">
          <cell r="B45" t="str">
            <v xml:space="preserve">   e) Altri costi del personale</v>
          </cell>
          <cell r="C45">
            <v>-249161012596</v>
          </cell>
          <cell r="E45">
            <v>-249161012596</v>
          </cell>
          <cell r="G45">
            <v>-249161012596</v>
          </cell>
        </row>
        <row r="46">
          <cell r="A46">
            <v>5</v>
          </cell>
          <cell r="B46" t="str">
            <v>Costi generali ed oneri diversi di gestione</v>
          </cell>
          <cell r="C46">
            <v>-27569361992</v>
          </cell>
          <cell r="E46">
            <v>-27569361992</v>
          </cell>
          <cell r="G46">
            <v>-27569361992</v>
          </cell>
        </row>
        <row r="47">
          <cell r="A47">
            <v>6</v>
          </cell>
          <cell r="B47" t="str">
            <v>Ammortamenti e svalutazioni</v>
          </cell>
          <cell r="G47">
            <v>0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E48">
            <v>0</v>
          </cell>
          <cell r="G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E49">
            <v>0</v>
          </cell>
          <cell r="G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E50">
            <v>0</v>
          </cell>
          <cell r="G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E51">
            <v>0</v>
          </cell>
          <cell r="G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E52">
            <v>0</v>
          </cell>
          <cell r="G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-218690508</v>
          </cell>
          <cell r="E53">
            <v>-218690508</v>
          </cell>
          <cell r="G53">
            <v>-218690508</v>
          </cell>
        </row>
        <row r="54">
          <cell r="A54">
            <v>9</v>
          </cell>
          <cell r="B54" t="str">
            <v>Altri accantonamenti</v>
          </cell>
          <cell r="C54">
            <v>-910000000</v>
          </cell>
          <cell r="E54">
            <v>-910000000</v>
          </cell>
          <cell r="G54">
            <v>-910000000</v>
          </cell>
        </row>
        <row r="56">
          <cell r="B56" t="str">
            <v xml:space="preserve">TOTALE COSTI DELLA PRODUZIONE </v>
          </cell>
          <cell r="C56">
            <v>-2897276035339</v>
          </cell>
          <cell r="D56">
            <v>537532000000</v>
          </cell>
          <cell r="E56">
            <v>-2359744035339</v>
          </cell>
          <cell r="F56">
            <v>0</v>
          </cell>
          <cell r="G56">
            <v>-2359744035339</v>
          </cell>
        </row>
        <row r="58">
          <cell r="B58" t="str">
            <v>DIFFERENZA TRA VALORE E COSTI DELLA PRODUZ.</v>
          </cell>
          <cell r="C58">
            <v>472304614</v>
          </cell>
          <cell r="D58">
            <v>0</v>
          </cell>
          <cell r="E58">
            <v>472304614</v>
          </cell>
          <cell r="F58">
            <v>-2000000000</v>
          </cell>
          <cell r="G58">
            <v>-1527695386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259000000</v>
          </cell>
          <cell r="E62">
            <v>259000000</v>
          </cell>
          <cell r="G62">
            <v>259000000</v>
          </cell>
        </row>
        <row r="63">
          <cell r="A63">
            <v>2</v>
          </cell>
          <cell r="B63" t="str">
            <v>Oneri</v>
          </cell>
          <cell r="C63">
            <v>-731202270</v>
          </cell>
          <cell r="E63">
            <v>-731202270</v>
          </cell>
          <cell r="G63">
            <v>-731202270</v>
          </cell>
        </row>
        <row r="65">
          <cell r="B65" t="str">
            <v>TOTALE PROVENTI E ONERI FINANZIARI</v>
          </cell>
          <cell r="C65">
            <v>-472202270</v>
          </cell>
          <cell r="D65">
            <v>0</v>
          </cell>
          <cell r="E65">
            <v>-472202270</v>
          </cell>
          <cell r="F65">
            <v>0</v>
          </cell>
          <cell r="G65">
            <v>-472202270</v>
          </cell>
        </row>
        <row r="67">
          <cell r="B67" t="str">
            <v xml:space="preserve">RISULTATO PRIMA DELLE IMPOSTE </v>
          </cell>
          <cell r="C67">
            <v>102344</v>
          </cell>
          <cell r="D67">
            <v>0</v>
          </cell>
          <cell r="E67">
            <v>102344</v>
          </cell>
          <cell r="F67">
            <v>-2000000000</v>
          </cell>
          <cell r="G67">
            <v>-1999897656</v>
          </cell>
        </row>
        <row r="69">
          <cell r="B69" t="str">
            <v>Imposte sul reddito dell'esercizio</v>
          </cell>
          <cell r="C69">
            <v>0</v>
          </cell>
          <cell r="D69">
            <v>0</v>
          </cell>
          <cell r="E69">
            <v>0</v>
          </cell>
          <cell r="G69">
            <v>0</v>
          </cell>
        </row>
        <row r="72">
          <cell r="B72" t="str">
            <v>UTILE (PERDITA) DELL'ESERCIZIO</v>
          </cell>
          <cell r="C72">
            <v>102344</v>
          </cell>
          <cell r="D72">
            <v>0</v>
          </cell>
          <cell r="E72">
            <v>102344</v>
          </cell>
          <cell r="F72">
            <v>-2000000000</v>
          </cell>
          <cell r="G72">
            <v>-1999897656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</sheetNames>
    <sheetDataSet>
      <sheetData sheetId="0"/>
      <sheetData sheetId="1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  <sheetName val="C_E__preventivo"/>
      <sheetName val="risorse_umane"/>
      <sheetName val="ricavi_da_prestazioni"/>
      <sheetName val="tetti_ricovero"/>
      <sheetName val="tetti_ambul"/>
      <sheetName val="rinnovi_contratt_"/>
      <sheetName val="alim s.p."/>
    </sheetNames>
    <sheetDataSet>
      <sheetData sheetId="0"/>
      <sheetData sheetId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</sheetNames>
    <sheetDataSet>
      <sheetData sheetId="0"/>
      <sheetData sheetId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  <sheetName val="C_E__preventivo1"/>
      <sheetName val="risorse_umane1"/>
      <sheetName val="ricavi_da_prestazioni1"/>
      <sheetName val="tetti_ricovero1"/>
      <sheetName val="tetti_ambul1"/>
      <sheetName val="rinnovi_contratt_1"/>
      <sheetName val="C_E__preventivo"/>
      <sheetName val="risorse_umane"/>
      <sheetName val="ricavi_da_prestazioni"/>
      <sheetName val="tetti_ricovero"/>
      <sheetName val="tetti_ambul"/>
      <sheetName val="rinnovi_contratt_"/>
      <sheetName val="Alim_C_E_"/>
      <sheetName val="C_E__preventivo2"/>
      <sheetName val="risorse_umane2"/>
      <sheetName val="ricavi_da_prestazioni2"/>
      <sheetName val="tetti_ricovero2"/>
      <sheetName val="tetti_ambul2"/>
      <sheetName val="rinnovi_contratt_2"/>
      <sheetName val="C_E__preventivo3"/>
      <sheetName val="risorse_umane3"/>
      <sheetName val="ricavi_da_prestazioni3"/>
      <sheetName val="tetti_ricovero3"/>
      <sheetName val="tetti_ambul3"/>
      <sheetName val="rinnovi_contratt_3"/>
      <sheetName val="Alimentazione_CE012"/>
      <sheetName val="C_E__preventivo4"/>
      <sheetName val="risorse_umane4"/>
      <sheetName val="ricavi_da_prestazioni4"/>
      <sheetName val="tetti_ricovero4"/>
      <sheetName val="tetti_ambul4"/>
      <sheetName val="rinnovi_contratt_4"/>
      <sheetName val="C_E__preventivo5"/>
      <sheetName val="risorse_umane5"/>
      <sheetName val="ricavi_da_prestazioni5"/>
      <sheetName val="tetti_ricovero5"/>
      <sheetName val="tetti_ambul5"/>
      <sheetName val="rinnovi_contratt_5"/>
    </sheetNames>
    <sheetDataSet>
      <sheetData sheetId="0"/>
      <sheetData sheetId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0"/>
      <sheetName val="Codifiche"/>
      <sheetName val="Lists"/>
      <sheetName val="profili"/>
      <sheetName val="Cod. bd,cd,sett d"/>
      <sheetName val="legenda"/>
      <sheetName val="PIVOT CESSATI TFR"/>
      <sheetName val="PIVOT RIEPILOGO"/>
      <sheetName val="PIVOT pensionati"/>
      <sheetName val="RIEPILOGO NUOVI ASSUNTI"/>
      <sheetName val="RIEPILOGO CESSATI DEFINITIV (2)"/>
      <sheetName val="RIEPILOGO CESSATI DIR"/>
      <sheetName val="RIEPILOGO ASSUNTI CESSATI"/>
      <sheetName val="pivot NUOVI assunti"/>
      <sheetName val="RIEPILOGO CESSATI DEFINITIVI "/>
      <sheetName val="pivot NUOVI assunti CALT"/>
      <sheetName val="RIEPILOGO CESSATI DEF CALT"/>
      <sheetName val="pivot NUOVI assunti dirigenti"/>
      <sheetName val="RIEPILOGO CESSATI DEFINITIV dir"/>
      <sheetName val="pivot NUOVI assunti fis san"/>
      <sheetName val="RIEPILOGO CESSATI FIS SAN"/>
      <sheetName val="riepilogo NUOVI assunti dipart"/>
      <sheetName val="CESSATI QUALIFICHE"/>
      <sheetName val="pivot assunti monitoraggio"/>
      <sheetName val="CESSATI monitoraggio"/>
      <sheetName val="pivot budget medv"/>
      <sheetName val="pivot budget medv 30giu2011"/>
      <sheetName val="pivot budget medv 30sett2011"/>
      <sheetName val="RIEPILOG NUOVI ASSUNTI dan"/>
      <sheetName val="RIEPILOGO CESSATI DEFINIT. dan"/>
      <sheetName val="RIEPILOG NUOVI ASSUNTI Nomi"/>
      <sheetName val="RIEPILOGO CESS. DEFINIT. Nomi"/>
      <sheetName val="RIEPILOGO ASS.-CESS. 2010Prof"/>
      <sheetName val="RIEPILOGO ASS.-CESS. 2010Nom"/>
      <sheetName val="RIEP. ASS.-CESS. 2010DetIndet"/>
      <sheetName val="RIEPILOGO CESS. DEFINIT. Motivo"/>
      <sheetName val="RIEP. AS.-CES. Mag-Dic2011Prof"/>
      <sheetName val="RIEP. AS.-CES. Lug-Dic2011TSLB"/>
      <sheetName val="RIEP. AS.-CES. Gen-Sett 2011TOT"/>
      <sheetName val="RIEP. AS.-CES. Ago-Sett 2011"/>
      <sheetName val="RIEP. AS.-CES. Ott-Dic 2011TOT"/>
      <sheetName val="RIEP. AS.-CES. Ott-Dic 2011 Nom"/>
      <sheetName val="RIEP. AS.-CES. Nov-Dic 2011TOT"/>
      <sheetName val="RIEP. AS.-CES. Nov-Dic 2011 Nom"/>
      <sheetName val="piv. NUOV. Ass. Car.Ascot&gt;11giu"/>
      <sheetName val="RIEP. ASSUNTI Gen-Giu2011TOT"/>
      <sheetName val="PIVOT RIEPILOGO (2)"/>
      <sheetName val="INF. AS.-CES. Ago-Dic2011"/>
      <sheetName val="cessazioni amm ag-dic 2011 N"/>
      <sheetName val="AMM. AS.-CES. 2011TOT"/>
      <sheetName val="AMM. AS.-CES. 2011 Nom"/>
      <sheetName val="RIEP. CESSATI DEFINITIVI 2012"/>
      <sheetName val="RIEP. TERM.INC.PROVV.  DIC 2011"/>
      <sheetName val="RIEP. TERM.INC.PROVV.  GEN 2012"/>
      <sheetName val="MOB. ASS.-CES. 2011"/>
      <sheetName val="RIEP. ASS.-CESS. 2010 Inf+Oss"/>
      <sheetName val="riepilogo_a curaReclutamento"/>
      <sheetName val="pivot assunti"/>
      <sheetName val="pivot cessati"/>
      <sheetName val="ELENCO cessati DEF"/>
      <sheetName val="Foglio7"/>
      <sheetName val="RIEPILOGO CESSATI DEFINITIV "/>
      <sheetName val="pivot budget medv 31dic2011"/>
      <sheetName val="pivot budget medv 31gen2012"/>
      <sheetName val="pivot budget medv 31marz2012"/>
      <sheetName val="pivot budget medv 30giu2012"/>
      <sheetName val="pivot budget medv 30sett2012"/>
      <sheetName val="RIEP. AS.-CES. Dic 2011TOT"/>
      <sheetName val="RIEP. AS.-CES. Dic 2011 Nom"/>
      <sheetName val="RIEP. AS.-CES. 2012 Tot"/>
      <sheetName val="RIEP. AS.-CES. 2012 Nom"/>
      <sheetName val="RIEP. AS.-CES. 1°sem2012 Tot"/>
      <sheetName val="RIEP. AS.-CES. 1°sem2012 Nom"/>
      <sheetName val="RIEP. AS.-CES. Gen-Sett2012 Tot"/>
      <sheetName val="RIEP. AS.-CES. Gen-Sett2012 Nom"/>
      <sheetName val="RIEP. Altri ASSUNTI 1°sem2012"/>
      <sheetName val="RIEP. AS.-CES. 31lug2012 Tot"/>
      <sheetName val="RIEP. AS.-CES. 31lug2012 Nom"/>
      <sheetName val="RIEP. AS.-CES. ago-dic 2012 Tot"/>
      <sheetName val="RIEP. AS.-CES. ago-dic2012 Nom"/>
      <sheetName val="RIEP. AS.-CES. ott-dic 2012 Tot"/>
      <sheetName val="RIEP. AS.-CES. ott-dic2012 Nom"/>
      <sheetName val="RIEP. AS.-CES. nov-dic 2012"/>
      <sheetName val="RIEP. AS.-CES. nov-dic2012 Nom"/>
      <sheetName val="RIEP. AS.-CES. 2°sem2012 Tot"/>
      <sheetName val="RIEP. AS.-CES. 2°sem2012 Nom"/>
      <sheetName val="RIEP. AS.-CES. 2°trim2012 Tot"/>
      <sheetName val="RIEP. AS.-CES. 2°trim2012 Nom"/>
      <sheetName val="RIEP.AS.-CES.2012InfMedOss "/>
      <sheetName val="RIEP. AS.-CES. 2011 Nom (2)"/>
      <sheetName val="RIEP. AS.-CES. 2011 Nom (3)"/>
      <sheetName val="AMM. AS.-CES. 2012 Nom"/>
      <sheetName val="AMM. AS.-CES. 2011-12 Nom"/>
      <sheetName val="RIEP.CES. 2011 motivi"/>
      <sheetName val="PIVOT CESSATI TFR 2011"/>
      <sheetName val="RIEP.CES.DEF.D.MED.giu.dic.2012"/>
      <sheetName val="PIVOT CESSATI D.L. n. 95-2012"/>
      <sheetName val="NUOVI Assunti Tutti"/>
      <sheetName val="AMM. AS.-CES. 2010-11-12 Nom"/>
      <sheetName val="AMM-DIR. AS.-CES. 2010-11-12Nom"/>
      <sheetName val="Tec-DIR. AS.-CES. 2010-11-12Nom"/>
      <sheetName val="RIEP. CES. per anno TOT"/>
      <sheetName val="RIEP. CES.  per anno NOM"/>
      <sheetName val="pivot budget medv 31dic2012"/>
      <sheetName val="pivot budget medv 31marzo2013"/>
      <sheetName val="pivot budget medv 30giugno2013"/>
      <sheetName val="pivot budget medv 30sett.2013"/>
      <sheetName val="RIEP. AS.-CES. anno2012 Tot"/>
      <sheetName val="RIEP. AS.-CES. anno2012 Nom"/>
      <sheetName val="RIEP. AS.-CES. dic 2012"/>
      <sheetName val="RIEP. AS.-CES. Nom dic2012"/>
      <sheetName val="RIEP. AS.-CES. Nom2012Agnese"/>
      <sheetName val="RIEP. AS.-CES. 2013 generale"/>
      <sheetName val="RIEP. AS.-CES. 2013 nomin"/>
      <sheetName val="RIEP. AS.-CES. II Trim.2013 gen"/>
      <sheetName val="RIEP. AS.-CES. II Trim.2013 nom"/>
      <sheetName val="RIEP. AS.-CES. I Sem.2013 gen"/>
      <sheetName val="RIEP. AS.-CES. I Sem.2013 nom"/>
      <sheetName val="RIEP. AS.-CES. Gen-Set2013 gene"/>
      <sheetName val="RIEP. AS.-CES. Gen-Set2013 nom"/>
      <sheetName val="RIEP. AS.-CES. Dic2013 gene"/>
      <sheetName val="RIEP. AS.-CES. Dic2013nom"/>
      <sheetName val="RIEP. AS.-CES. Gen-Dic2014 gene"/>
      <sheetName val="RIEP. AS.-CES. Gen-Dic2014nom"/>
      <sheetName val="2013 Antonella"/>
      <sheetName val="2014 Antonella"/>
      <sheetName val="TURNOVER AS.-CES. 2012"/>
      <sheetName val="Assunti DiriMed.San 31mag13"/>
      <sheetName val="CESS. DEF.DIRMED.SAN 31mag13"/>
      <sheetName val="pivot budget medv 31dic.2013"/>
      <sheetName val="Riepilogo NEOASSUNTI 2012"/>
      <sheetName val="Riepilogo NEOASSUNTI 2013"/>
      <sheetName val="Riepilogo NEOASSUNTI 2014"/>
      <sheetName val="RIEP. AS.-CES. Nom2013Agnese"/>
      <sheetName val="GEMMA NUOVI assunti dirigen (2)"/>
      <sheetName val="RIEP. AS.-CES. Gen-mar2014  (2)"/>
      <sheetName val="RIEP. AS.-CES. Gen-Dic2014  (2)"/>
      <sheetName val="RIEP. AS.-CES. Gen-Dic2014n (2)"/>
      <sheetName val="Mov-PERSONALE_anno 2010"/>
      <sheetName val="RIEP. AS.-CES. dic2012"/>
      <sheetName val="alim s.p."/>
      <sheetName val="Alim C.E."/>
    </sheetNames>
    <sheetDataSet>
      <sheetData sheetId="0"/>
      <sheetData sheetId="1"/>
      <sheetData sheetId="2">
        <row r="1">
          <cell r="A1" t="str">
            <v>SETTORE_B_D</v>
          </cell>
          <cell r="B1" t="str">
            <v>Dpt. Diagnostica per Immagini</v>
          </cell>
          <cell r="C1" t="str">
            <v>Dpt. di Medicina di Laboratorio</v>
          </cell>
          <cell r="D1" t="str">
            <v>Dpt. Medicina Interna</v>
          </cell>
          <cell r="E1" t="str">
            <v>Dpt Chirurgia Generale</v>
          </cell>
          <cell r="F1" t="str">
            <v>Dpt Chirurgia Specialistica</v>
          </cell>
          <cell r="G1" t="str">
            <v>Dpt. Anestesia e Rianimazione</v>
          </cell>
          <cell r="H1" t="str">
            <v>Dpt. Materno -Infantile</v>
          </cell>
          <cell r="I1" t="str">
            <v>Dpt Oncologia</v>
          </cell>
          <cell r="J1" t="str">
            <v>Dpt Medicina Specialistica</v>
          </cell>
          <cell r="K1" t="str">
            <v>Dpt Neuroscienze</v>
          </cell>
          <cell r="L1" t="str">
            <v>DIP. CARDIOTORACICO</v>
          </cell>
          <cell r="M1" t="str">
            <v>DIP. MED. TRASF. AREA VASTA</v>
          </cell>
          <cell r="N1" t="str">
            <v>Dpt Organizzazione dei Servizi Ospedalieri</v>
          </cell>
          <cell r="O1" t="str">
            <v>Centro Regionale Trapianti</v>
          </cell>
          <cell r="P1" t="str">
            <v>Dipartimento Tecnico</v>
          </cell>
          <cell r="Q1" t="str">
            <v>Dipartimento Amministrativo</v>
          </cell>
          <cell r="R1" t="str">
            <v>Direzione Strategica</v>
          </cell>
          <cell r="S1" t="str">
            <v>Pers comandato/convenzione</v>
          </cell>
          <cell r="T1" t="str">
            <v>Pers. Assegnaz. Iniziale</v>
          </cell>
          <cell r="U1" t="str">
            <v>Lauree Sanitarie</v>
          </cell>
          <cell r="V1" t="str">
            <v>Dipartimento Servizi Condivisi</v>
          </cell>
          <cell r="W1" t="str">
            <v>SOC Diagnostica Angio.e Rad. Interven.</v>
          </cell>
          <cell r="X1" t="str">
            <v>SOC Istituto di Radiologia Diagnostica</v>
          </cell>
          <cell r="Y1" t="str">
            <v>SOC NEURORADIOLOGIA</v>
          </cell>
          <cell r="Z1" t="str">
            <v>SOC MEDICINA NUCLEARE</v>
          </cell>
          <cell r="AA1" t="str">
            <v>SOC FISICA SANITARIA</v>
          </cell>
          <cell r="AB1" t="str">
            <v>SOS di Dpt Radiodiagnostica d'Urgenza ed Emergenza</v>
          </cell>
          <cell r="AC1" t="str">
            <v>DPT DIAGNOSTICA PER IMMAGINI - AREA  AMMINISTRATIVA</v>
          </cell>
          <cell r="AD1" t="str">
            <v>DPT DIAGNOSTICA PER IMMAGINI - AREA  ASSISTENZIALE</v>
          </cell>
          <cell r="AE1" t="str">
            <v>STAFF DPT DIAGNOSTICA PER IMMAGINI</v>
          </cell>
          <cell r="AF1" t="str">
            <v>SOC LABORATORIO ANALISI D'ELEZ.</v>
          </cell>
          <cell r="AG1" t="str">
            <v>SOC LAB. ANALISI D'URGENZA E CIVIDALE</v>
          </cell>
          <cell r="AH1" t="str">
            <v>SOS DI  DPT IMMUNOL. E ALLERG.DIAGNOSTICA</v>
          </cell>
          <cell r="AI1" t="str">
            <v>SOC ISTITUTO DI PATOLOGIA CLINICA</v>
          </cell>
          <cell r="AJ1" t="str">
            <v>SOC ISTITUTO  DI GENETICA MEDICA</v>
          </cell>
          <cell r="AK1" t="str">
            <v>SOC MICROBIOLOGIA</v>
          </cell>
          <cell r="AL1" t="str">
            <v xml:space="preserve">SOC ANATOMIA PATOLOGICA </v>
          </cell>
          <cell r="AM1" t="str">
            <v xml:space="preserve">SOC ISTITUTO DI  ANATOMIA PATOLOGICA </v>
          </cell>
          <cell r="AN1" t="str">
            <v>SOC CENTRO DI COORDINAMENTO REGIONALE MALATTIE RARE</v>
          </cell>
          <cell r="AO1" t="str">
            <v>STAFF DPT MEDICINA DI LABORATORIO</v>
          </cell>
          <cell r="AP1" t="str">
            <v>SOC MEDICINA INTERNA 1</v>
          </cell>
          <cell r="AQ1" t="str">
            <v>SOC MEDICINA INTERNA 2</v>
          </cell>
          <cell r="AR1" t="str">
            <v>SOC CLINICA MEDICA</v>
          </cell>
          <cell r="AS1" t="str">
            <v>SOC CLINICA PSICHIATRICA</v>
          </cell>
          <cell r="AT1" t="str">
            <v>SOC ISTITUTO  DI FARMACOLOGIA CLINICA</v>
          </cell>
          <cell r="AU1" t="str">
            <v>SOC PRONTO SOCCORSO E MEDICINA D'URGENZA</v>
          </cell>
          <cell r="AV1" t="str">
            <v>SOC ENDOC. E MAL. DEL METABOLISMO</v>
          </cell>
          <cell r="AW1" t="str">
            <v>SOS DI DPT MED. INTERNA CIV.</v>
          </cell>
          <cell r="AX1" t="str">
            <v>SOS DI DPT Trattamento del paziente a bassa intensità di cura</v>
          </cell>
          <cell r="AY1" t="str">
            <v>STAFF DPT MEDICINA INTERNA</v>
          </cell>
          <cell r="AZ1" t="str">
            <v>SOC CHIRURGIA GENERALE</v>
          </cell>
          <cell r="BA1" t="str">
            <v xml:space="preserve">SOC CLINICA CHIRURGICA </v>
          </cell>
          <cell r="BB1" t="str">
            <v>SOC UROLOGIA</v>
          </cell>
          <cell r="BC1" t="str">
            <v>SOC CLINICA UROLOGICA</v>
          </cell>
          <cell r="BD1" t="str">
            <v>SOC CH. VASCOLARE</v>
          </cell>
          <cell r="BE1" t="str">
            <v>SOC ORTOPEDIA E TRAUMAT.</v>
          </cell>
          <cell r="BF1" t="str">
            <v>SOC CLINICA ORTOPEDIA</v>
          </cell>
          <cell r="BG1" t="str">
            <v>SOC GASTROENTEROLOGIA</v>
          </cell>
          <cell r="BH1" t="str">
            <v>SOS DI DPT DAY SURGERY</v>
          </cell>
          <cell r="BI1" t="str">
            <v>STAFF DPT CHIRURGIA GENERALE</v>
          </cell>
          <cell r="BJ1" t="str">
            <v xml:space="preserve">SOC OCULISTICA  </v>
          </cell>
          <cell r="BK1" t="str">
            <v xml:space="preserve">SOC CLINICA OCULISTICA </v>
          </cell>
          <cell r="BL1" t="str">
            <v xml:space="preserve">SOC CLINICA OTORINOLARINGOIATRICA  </v>
          </cell>
          <cell r="BM1" t="str">
            <v>SOC OTORINOLARINGOIATRIA</v>
          </cell>
          <cell r="BN1" t="str">
            <v xml:space="preserve">SOC CH. MAXILLO FACCIALE  </v>
          </cell>
          <cell r="BO1" t="str">
            <v xml:space="preserve">SOC CLINICA CHIR. MAXILLO FACCIALE  </v>
          </cell>
          <cell r="BP1" t="str">
            <v xml:space="preserve">SOC CHIRURGIA PLASTICA  </v>
          </cell>
          <cell r="BQ1" t="str">
            <v xml:space="preserve">SOC CLINICA DI CHIRURGIA PLASTICA  </v>
          </cell>
          <cell r="BR1" t="str">
            <v>STAFF DPT CHIRURGIA SPECIALISTICA</v>
          </cell>
          <cell r="BS1" t="str">
            <v>SOC ANEST. E RIANIMAZ. 1</v>
          </cell>
          <cell r="BT1" t="str">
            <v>SOC ANEST. E RIANIMAZ. 2</v>
          </cell>
          <cell r="BU1" t="str">
            <v>SOC CLINICA DI ANEST. E RIANIMAZIONE</v>
          </cell>
          <cell r="BV1" t="str">
            <v>SOS DI DPT TERAPIA ANTALGICA</v>
          </cell>
          <cell r="BW1" t="str">
            <v>STAFF DPT ANESTESIA E RIANIM.</v>
          </cell>
          <cell r="BX1" t="str">
            <v>SOC CLINICA OSTETRICA E GINEC.</v>
          </cell>
          <cell r="BY1" t="str">
            <v>SOC CLINICA PEDIATRIA</v>
          </cell>
          <cell r="BZ1" t="str">
            <v>SOC PATOLOGIA NEONATALE</v>
          </cell>
          <cell r="CA1" t="str">
            <v>STAFF DPT MATERNO INFANTILE</v>
          </cell>
          <cell r="CB1" t="str">
            <v xml:space="preserve">SOC ONCOLOGIA  </v>
          </cell>
          <cell r="CC1" t="str">
            <v>SOC CLINICA ONCOLOGICA</v>
          </cell>
          <cell r="CD1" t="str">
            <v>SOC RADIOTERAPIA</v>
          </cell>
          <cell r="CE1" t="str">
            <v>STAFF DPT ONCOLOGIA</v>
          </cell>
          <cell r="CF1" t="str">
            <v xml:space="preserve">SOC NEFROLOGIA, DIALISI e Trapianto Renale </v>
          </cell>
          <cell r="CG1" t="str">
            <v>SOC CLINICA  EMATOLOGICA</v>
          </cell>
          <cell r="CH1" t="str">
            <v xml:space="preserve">SOC DERMATOLOGIA  </v>
          </cell>
          <cell r="CI1" t="str">
            <v xml:space="preserve">SOC CLINICA DERMATOLOGIA  </v>
          </cell>
          <cell r="CJ1" t="str">
            <v>SOC CLINICA DI MALATTIE INFETTIVE</v>
          </cell>
          <cell r="CK1" t="str">
            <v>SOC CLINICA DI REUMATOLOGIA</v>
          </cell>
          <cell r="CL1" t="str">
            <v>SOS DI DPT NUTRIZIONE CLINICA</v>
          </cell>
          <cell r="CM1" t="str">
            <v>STAFF DPT MEDICINA SPECIALISTICA</v>
          </cell>
          <cell r="CN1" t="str">
            <v>SOC NEUROCHIRURGIA</v>
          </cell>
          <cell r="CO1" t="str">
            <v>SOC NEUROLOGIA</v>
          </cell>
          <cell r="CP1" t="str">
            <v>SOC CLINICA NEUROLOGICA E NEURORIABILITAZIONE</v>
          </cell>
          <cell r="CQ1" t="str">
            <v>SOC CH VERTEBRO MIDOLLARE E UNITA' SPINALE</v>
          </cell>
          <cell r="CR1" t="str">
            <v>SOS di DPT NEUROFISIOLOGIA INTERVENTISTICA</v>
          </cell>
          <cell r="CS1" t="str">
            <v>STAFF DPT NEUROSCIENZE</v>
          </cell>
          <cell r="CT1" t="str">
            <v>SOC CARDIOCHIRURGIA</v>
          </cell>
          <cell r="CU1" t="str">
            <v>SOC CHIRURGIA TORACICA</v>
          </cell>
          <cell r="CV1" t="str">
            <v>SOC CARDIOLOGIA</v>
          </cell>
          <cell r="CW1" t="str">
            <v>SOC PNEUM. E FISIOPAT. RESP.</v>
          </cell>
          <cell r="CX1" t="str">
            <v>STAFF DPT CARDIOTORACICO</v>
          </cell>
          <cell r="CY1" t="str">
            <v>SOC MED. TRASF.  UDINE</v>
          </cell>
          <cell r="CZ1" t="str">
            <v>SOC MED. TRASF. PALMANOVA</v>
          </cell>
          <cell r="DA1" t="str">
            <v>SOS  DI DPT MED. TRASF. TOLMEZZO</v>
          </cell>
          <cell r="DB1" t="str">
            <v>SOS DI DPT MED. TRASF.SAN DANIELE</v>
          </cell>
          <cell r="DC1" t="str">
            <v>SOS di DPT Malattie Emorrag. e Tromb.</v>
          </cell>
          <cell r="DD1" t="str">
            <v>STAFF DPT MED.TRASF.AREA VASTA</v>
          </cell>
          <cell r="DE1" t="str">
            <v>SOC DIR. MEDICA DI PRESIDIO</v>
          </cell>
          <cell r="DF1" t="str">
            <v>SOC ISTITUTO DI IGIENE ED EPIDEM.CLINICA</v>
          </cell>
          <cell r="DG1" t="str">
            <v>SOC FARMACIA</v>
          </cell>
          <cell r="DH1" t="str">
            <v>SOC CENT. OP. 118 ED ELISOCCORSO</v>
          </cell>
          <cell r="DI1" t="str">
            <v>SOC Accr,Gest.Ris.Clin,Val.Perf.San.</v>
          </cell>
          <cell r="DJ1" t="str">
            <v>SOC Direzione Professioni Sanitarie</v>
          </cell>
          <cell r="DK1" t="str">
            <v>STAFF DPT ORGAN.SERV.OSPED.</v>
          </cell>
          <cell r="DL1" t="str">
            <v>CENTRO_REGIONALE_TRAPIANTI</v>
          </cell>
          <cell r="DM1" t="str">
            <v>SOC Ingegneria Clinica</v>
          </cell>
          <cell r="DN1" t="str">
            <v>SOC Uff. Spec. Nuovo Osp.</v>
          </cell>
          <cell r="DO1" t="str">
            <v>SOC Servizi Tecnici</v>
          </cell>
          <cell r="DP1" t="str">
            <v>SOS di DPT Gestione Tecnico Amministrativa e Patrimoniale</v>
          </cell>
          <cell r="DQ1" t="str">
            <v>SOC Tecnologia dell'informazione e della comunicazione</v>
          </cell>
          <cell r="DR1" t="str">
            <v>SOC Grandi Opere</v>
          </cell>
          <cell r="DS1" t="str">
            <v>SOC Gestione Risorse Umane</v>
          </cell>
          <cell r="DT1" t="str">
            <v>SOC Gestione Economico Finanziaria</v>
          </cell>
          <cell r="DU1" t="str">
            <v>SOC Approvvigionamenti e Logistica</v>
          </cell>
          <cell r="DV1" t="str">
            <v>SOC Affari Generali</v>
          </cell>
          <cell r="DW1" t="str">
            <v>SOC Gestione di Presidio</v>
          </cell>
          <cell r="DX1" t="str">
            <v>SOS DI DPT Affari Legali</v>
          </cell>
          <cell r="DY1" t="str">
            <v>Direzione Amministrativa</v>
          </cell>
          <cell r="DZ1" t="str">
            <v>Direzione Generale</v>
          </cell>
          <cell r="EA1" t="str">
            <v>Direzione Sanitaria</v>
          </cell>
          <cell r="EB1" t="str">
            <v>Organo di indirizzo</v>
          </cell>
          <cell r="EC1" t="str">
            <v>Personale assente</v>
          </cell>
          <cell r="ED1" t="str">
            <v>Pers comandato_convenzione</v>
          </cell>
          <cell r="EE1" t="str">
            <v>Pers. Assegnaz. Iniziale</v>
          </cell>
          <cell r="EF1" t="str">
            <v>Lauree Sanitarie</v>
          </cell>
          <cell r="EG1" t="str">
            <v>DIREZIONE AMMIN. AZIENDALE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 refreshError="1"/>
      <sheetData sheetId="141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0"/>
      <sheetName val="Codifiche"/>
      <sheetName val="Lists"/>
      <sheetName val="profili"/>
      <sheetName val="Cod. bd,cd,sett d"/>
      <sheetName val="legenda"/>
      <sheetName val="riepilogo_a curaReclutamento"/>
      <sheetName val="pivot assunti"/>
      <sheetName val="pivot cessati"/>
      <sheetName val="PIVOT RIEPILOGO"/>
      <sheetName val="PIVOT CESSATI TFR"/>
      <sheetName val="PIVOT pensionati"/>
      <sheetName val="ELENCO cessati DEF"/>
      <sheetName val="RIEPILOGO NUOVI ASSUNTI"/>
      <sheetName val="RIEPILOGO CESSATI DEFINITIV (2)"/>
      <sheetName val="RIEPILOGO CESSATI DIR"/>
      <sheetName val="RIEPILOGO ASSUNTI CESSATI"/>
      <sheetName val="pivot NUOVI assunti"/>
      <sheetName val="RIEPILOGO CESSATI DEFINITIVI"/>
      <sheetName val="Foglio1"/>
      <sheetName val="Foglio2"/>
      <sheetName val="Foglio3"/>
      <sheetName val="RIEPILOGO CESSATI DEFINITIV "/>
      <sheetName val="pivot NUOVI assunti CALT"/>
      <sheetName val="RIEPILOGO CESSATI DEF CALT"/>
      <sheetName val="pivot NUOVI assunti dirigenti"/>
      <sheetName val="RIEPILOGO CESSATI DEFINITIV dir"/>
      <sheetName val="pivot NUOVI assunti fis san"/>
      <sheetName val="RIEPILOGO CESSATI FIS SAN"/>
    </sheetNames>
    <sheetDataSet>
      <sheetData sheetId="0"/>
      <sheetData sheetId="1"/>
      <sheetData sheetId="2" refreshError="1"/>
      <sheetData sheetId="3">
        <row r="1">
          <cell r="A1" t="str">
            <v>RUOLO</v>
          </cell>
          <cell r="B1" t="str">
            <v>AMM</v>
          </cell>
          <cell r="C1" t="str">
            <v>PRO</v>
          </cell>
          <cell r="D1" t="str">
            <v>SANA</v>
          </cell>
          <cell r="E1" t="str">
            <v>SANM</v>
          </cell>
          <cell r="F1" t="str">
            <v>TEC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ANTONAMENTI"/>
      <sheetName val="riepilogo costi del personale"/>
      <sheetName val="personale altri enti"/>
      <sheetName val="Alim C.E."/>
      <sheetName val="Alim S.P."/>
      <sheetName val="Schema C.E."/>
      <sheetName val="Schema S.P."/>
      <sheetName val="FABB_COPERT 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"/>
      <sheetName val="prest.SSN (NI14)"/>
      <sheetName val="acc. rinnovi contr. (NI15)"/>
      <sheetName val="prov.oneri straord. (NI16)"/>
      <sheetName val="personale (NI17-1)"/>
      <sheetName val="personale (NI17-2)"/>
      <sheetName val="2010"/>
      <sheetName val="profili"/>
    </sheetNames>
    <sheetDataSet>
      <sheetData sheetId="0"/>
      <sheetData sheetId="1"/>
      <sheetData sheetId="2"/>
      <sheetData sheetId="3" refreshError="1">
        <row r="28">
          <cell r="D28" t="str">
            <v>Servizi per manutenzione di strutture edilizie</v>
          </cell>
        </row>
        <row r="33">
          <cell r="D33" t="str">
            <v>Servizi per manutenzione di attrezz. sanitarie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ANTONAMENTI"/>
      <sheetName val="riepilogo costi del personale"/>
      <sheetName val="personale altri enti"/>
      <sheetName val="Alim C.E."/>
      <sheetName val="Alim S.P."/>
      <sheetName val="Schema C.E."/>
      <sheetName val="Schema S.P."/>
      <sheetName val="FABB_COPERT 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"/>
      <sheetName val="prest.SSN (NI14)"/>
      <sheetName val="acc. rinnovi contr. (NI15)"/>
      <sheetName val="prov.oneri straord. (NI16)"/>
      <sheetName val="personale (NI17-1)"/>
      <sheetName val="personale (NI17-2)"/>
      <sheetName val="2010"/>
      <sheetName val="profili"/>
      <sheetName val="riepilogo_costi_del_personale"/>
      <sheetName val="personale_altri_enti"/>
      <sheetName val="Alim_C_E_"/>
      <sheetName val="Alim_S_P_"/>
      <sheetName val="Schema_C_E_"/>
      <sheetName val="Schema_S_P_"/>
      <sheetName val="FABB_COPERT_"/>
      <sheetName val="imm_immat__(NI1)"/>
      <sheetName val="imm_mater__(NI2)"/>
      <sheetName val="imm_finanz__(NI3)"/>
      <sheetName val="crediti_(NI4)"/>
      <sheetName val="att_finanz_-disp_liq_(NI5)"/>
      <sheetName val="patrim_netto_(NI6)"/>
      <sheetName val="fondi_(NI7)"/>
      <sheetName val="fondi_(NI7_-_bis)"/>
      <sheetName val="debiti_(NI8)"/>
      <sheetName val="comp_cr_dr__(NI9)"/>
      <sheetName val="ratei_e_risc__(NI10)"/>
      <sheetName val="cr_dr_infra_(NI11)"/>
      <sheetName val="ric-costi_infra__(NI12)"/>
      <sheetName val="contributi_(NI13)"/>
      <sheetName val="prest_SSN_(NI14)"/>
      <sheetName val="acc__rinnovi_contr__(NI15)"/>
      <sheetName val="prov_oneri_straord__(NI16)"/>
      <sheetName val="personale_(NI17-1)"/>
      <sheetName val="personale_(NI17-2)"/>
    </sheetNames>
    <sheetDataSet>
      <sheetData sheetId="0"/>
      <sheetData sheetId="1"/>
      <sheetData sheetId="2"/>
      <sheetData sheetId="3">
        <row r="28">
          <cell r="D28" t="str">
            <v>Servizi per manutenzione di strutture edilizie</v>
          </cell>
        </row>
        <row r="33">
          <cell r="D33" t="str">
            <v>Servizi per manutenzione di attrezz. sanitarie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  <sheetName val="Alimentazione_CE012"/>
      <sheetName val="AO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/>
      <sheetData sheetId="134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S.P."/>
      <sheetName val="Alim C.E."/>
      <sheetName val="Schema C.E."/>
      <sheetName val="Schema S.P."/>
      <sheetName val="Alim S_P_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ma C.E."/>
      <sheetName val="Schema S.P. "/>
      <sheetName val="FABB_COPERTURE"/>
      <sheetName val="Alim C.E."/>
      <sheetName val="Alim S.P.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 (2)"/>
      <sheetName val="prest.SSN (NI14)"/>
      <sheetName val="acc. rinnovi contr. (NI15)"/>
      <sheetName val="prov.oneri straord. (NI16)"/>
      <sheetName val="personale (NI17-1"/>
      <sheetName val="personale (NI17-2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contributi"/>
      <sheetName val="Schema C.E."/>
      <sheetName val="Schema S.P. "/>
      <sheetName val="FABB_COPERTURE"/>
      <sheetName val="ric-costi infragruppo "/>
      <sheetName val="modifich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ma C.E."/>
      <sheetName val="Schema S.P. "/>
      <sheetName val="FABB_COPERTURE"/>
      <sheetName val="Alim C.E."/>
      <sheetName val="Alim S.P.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 (2)"/>
      <sheetName val="prest.SSN (NI14)"/>
      <sheetName val="acc. rinnovi contr. (NI15)"/>
      <sheetName val="prov.oneri straord. (NI16)"/>
      <sheetName val="personale (NI17-1"/>
      <sheetName val="personale (NI17-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"/>
      <sheetName val="Alim C.E."/>
      <sheetName val="CE"/>
      <sheetName val="Schema C.E."/>
      <sheetName val="Schema C.E. in Euro"/>
      <sheetName val="tab.1 contributi"/>
      <sheetName val="Alim C_E_"/>
      <sheetName val="Alim. ASS 5"/>
      <sheetName val="Alim_C_E_2"/>
      <sheetName val="Schema_C_E_1"/>
      <sheetName val="Schema_C_E__in_Euro1"/>
      <sheetName val="tab_1_contributi1"/>
      <sheetName val="Alim_C_E_3"/>
      <sheetName val="Alim__ASS_51"/>
      <sheetName val="Alim_C_E_"/>
      <sheetName val="Schema_C_E_"/>
      <sheetName val="Schema_C_E__in_Euro"/>
      <sheetName val="tab_1_contributi"/>
      <sheetName val="Alim_C_E_1"/>
      <sheetName val="Alim__ASS_5"/>
      <sheetName val="Alim_C_E_4"/>
      <sheetName val="Schema_C_E_2"/>
      <sheetName val="Schema_C_E__in_Euro2"/>
      <sheetName val="tab_1_contributi2"/>
      <sheetName val="Alim_C_E_5"/>
      <sheetName val="Alim__ASS_52"/>
    </sheetNames>
    <sheetDataSet>
      <sheetData sheetId="0" refreshError="1"/>
      <sheetData sheetId="1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"/>
      <sheetName val="Alim C.E."/>
      <sheetName val="CE"/>
      <sheetName val="Schema C.E."/>
      <sheetName val="Schema C.E. in Euro"/>
      <sheetName val="tab.1 contributi"/>
      <sheetName val="Alim C_E_"/>
      <sheetName val="Alim. ASS 5"/>
    </sheetNames>
    <sheetDataSet>
      <sheetData sheetId="0" refreshError="1"/>
      <sheetData sheetId="1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"/>
      <sheetName val="Alim C.E."/>
      <sheetName val="CE"/>
      <sheetName val="Schema C.E."/>
      <sheetName val="Schema C.E. in Euro"/>
      <sheetName val="tab.1 contributi"/>
      <sheetName val="Alim C_E_"/>
      <sheetName val="Alim. ASS 5"/>
      <sheetName val="Alim_C_E_2"/>
      <sheetName val="Schema_C_E_1"/>
      <sheetName val="Schema_C_E__in_Euro1"/>
      <sheetName val="tab_1_contributi1"/>
      <sheetName val="Alim_C_E_3"/>
      <sheetName val="Alim__ASS_51"/>
      <sheetName val="Alim_C_E_"/>
      <sheetName val="Schema_C_E_"/>
      <sheetName val="Schema_C_E__in_Euro"/>
      <sheetName val="tab_1_contributi"/>
      <sheetName val="Alim_C_E_1"/>
      <sheetName val="Alim__ASS_5"/>
      <sheetName val="Alim_C_E_4"/>
      <sheetName val="Schema_C_E_2"/>
      <sheetName val="Schema_C_E__in_Euro2"/>
      <sheetName val="tab_1_contributi2"/>
      <sheetName val="Alim_C_E_5"/>
      <sheetName val="Alim__ASS_52"/>
      <sheetName val="Alim_C_E_6"/>
      <sheetName val="Schema_C_E_3"/>
      <sheetName val="Schema_C_E__in_Euro3"/>
      <sheetName val="tab_1_contributi3"/>
      <sheetName val="Alim_C_E_7"/>
      <sheetName val="Alim__ASS_53"/>
      <sheetName val="Alim_C_E_8"/>
      <sheetName val="Schema_C_E_4"/>
      <sheetName val="Schema_C_E__in_Euro4"/>
      <sheetName val="tab_1_contributi4"/>
      <sheetName val="Alim_C_E_9"/>
      <sheetName val="Alim__ASS_54"/>
      <sheetName val="Alim_C_E_10"/>
      <sheetName val="Schema_C_E_5"/>
      <sheetName val="Schema_C_E__in_Euro5"/>
      <sheetName val="tab_1_contributi5"/>
      <sheetName val="Alim_C_E_11"/>
      <sheetName val="Alim__ASS_55"/>
      <sheetName val="Alim_C_E_12"/>
      <sheetName val="Schema_C_E_6"/>
      <sheetName val="Schema_C_E__in_Euro6"/>
      <sheetName val="tab_1_contributi6"/>
      <sheetName val="Alim_C_E_13"/>
      <sheetName val="Alim__ASS_56"/>
      <sheetName val="Alim_C_E_14"/>
      <sheetName val="Schema_C_E_7"/>
      <sheetName val="Schema_C_E__in_Euro7"/>
      <sheetName val="tab_1_contributi7"/>
      <sheetName val="Alim_C_E_15"/>
      <sheetName val="Alim__ASS_57"/>
      <sheetName val="Codifiche"/>
      <sheetName val="alim s.p."/>
      <sheetName val="Alimentazione CE01"/>
      <sheetName val="Alimentazione"/>
    </sheetNames>
    <sheetDataSet>
      <sheetData sheetId="0" refreshError="1"/>
      <sheetData sheetId="1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S.P."/>
      <sheetName val="Alim C.E."/>
      <sheetName val="C_E__preventivo1"/>
      <sheetName val="BGT_Patrim_1"/>
      <sheetName val="fabbis_copert__1"/>
      <sheetName val="Deb_vs_forn_1"/>
      <sheetName val="imm_mater_1"/>
      <sheetName val="pluriennale_99-001"/>
      <sheetName val="Alim_C_E_1"/>
      <sheetName val="Alim_S_P_1"/>
      <sheetName val="C_E__preventivo"/>
      <sheetName val="BGT_Patrim_"/>
      <sheetName val="fabbis_copert__"/>
      <sheetName val="Deb_vs_forn_"/>
      <sheetName val="imm_mater_"/>
      <sheetName val="pluriennale_99-00"/>
      <sheetName val="Alim_C_E_"/>
      <sheetName val="Alim_S_P_"/>
      <sheetName val="C_E__preventivo2"/>
      <sheetName val="BGT_Patrim_2"/>
      <sheetName val="fabbis_copert__2"/>
      <sheetName val="Deb_vs_forn_2"/>
      <sheetName val="imm_mater_2"/>
      <sheetName val="pluriennale_99-002"/>
      <sheetName val="Alim_C_E_2"/>
      <sheetName val="Alim_S_P_2"/>
      <sheetName val="C_E__preventivo3"/>
      <sheetName val="BGT_Patrim_3"/>
      <sheetName val="fabbis_copert__3"/>
      <sheetName val="Deb_vs_forn_3"/>
      <sheetName val="imm_mater_3"/>
      <sheetName val="pluriennale_99-003"/>
      <sheetName val="C_E__preventivo4"/>
      <sheetName val="BGT_Patrim_4"/>
      <sheetName val="fabbis_copert__4"/>
      <sheetName val="Deb_vs_forn_4"/>
      <sheetName val="imm_mater_4"/>
      <sheetName val="pluriennale_99-004"/>
      <sheetName val="C_E__preventivo5"/>
      <sheetName val="BGT_Patrim_5"/>
      <sheetName val="fabbis_copert__5"/>
      <sheetName val="Deb_vs_forn_5"/>
      <sheetName val="imm_mater_5"/>
      <sheetName val="pluriennale_99-005"/>
      <sheetName val="Alim_C_E_3"/>
      <sheetName val="Alim_S_P_3"/>
      <sheetName val="C_E__preventivo6"/>
      <sheetName val="BGT_Patrim_6"/>
      <sheetName val="fabbis_copert__6"/>
      <sheetName val="Deb_vs_forn_6"/>
      <sheetName val="imm_mater_6"/>
      <sheetName val="pluriennale_99-006"/>
      <sheetName val="Alim_C_E_4"/>
      <sheetName val="Alim_S_P_4"/>
      <sheetName val="C_E__preventivo7"/>
      <sheetName val="BGT_Patrim_7"/>
      <sheetName val="fabbis_copert__7"/>
      <sheetName val="Deb_vs_forn_7"/>
      <sheetName val="imm_mater_7"/>
      <sheetName val="pluriennale_99-007"/>
      <sheetName val="Alim_C_E_5"/>
      <sheetName val="Alim_S_P_5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C_E__preventivo"/>
      <sheetName val="BGT_Patrim_"/>
      <sheetName val="fabbis_copert__"/>
      <sheetName val="Deb_vs_forn_"/>
      <sheetName val="imm_mater_"/>
      <sheetName val="pluriennale_99-00"/>
      <sheetName val="C_E__preventivo1"/>
      <sheetName val="BGT_Patrim_1"/>
      <sheetName val="fabbis_copert__1"/>
      <sheetName val="Deb_vs_forn_1"/>
      <sheetName val="imm_mater_1"/>
      <sheetName val="pluriennale_99-001"/>
      <sheetName val="alim s.p.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  <sheetName val="Alimentazione_CE012"/>
      <sheetName val="AO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/>
      <sheetData sheetId="134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Alim_S_P_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Alim_S_P_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E COND.APPL. 2004"/>
      <sheetName val="COMPARA 2003-2004 (2)"/>
      <sheetName val="COMPARA 2003-2004"/>
      <sheetName val="A0-AnagrafeSan.-Cond.SISR-2004"/>
      <sheetName val="B0-Er.Serv.San.-dettaglio"/>
      <sheetName val="C0-Sist.Ammin.-Cond.SISR-2004"/>
      <sheetName val="D0-Scamb.Inform.-Cond.SISR-2004"/>
      <sheetName val="E0-Sist.Governo-Cond.SISR-2004"/>
      <sheetName val="Formule"/>
      <sheetName val="nuovi servizi"/>
      <sheetName val="TOTALE_COND_APPL__2004"/>
      <sheetName val="COMPARA_2003-2004_(2)"/>
      <sheetName val="COMPARA_2003-2004"/>
      <sheetName val="A0-AnagrafeSan_-Cond_SISR-2004"/>
      <sheetName val="B0-Er_Serv_San_-dettaglio"/>
      <sheetName val="C0-Sist_Ammin_-Cond_SISR-2004"/>
      <sheetName val="D0-Scamb_Inform_-Cond_SISR-2004"/>
      <sheetName val="E0-Sist_Governo-Cond_SISR-2004"/>
      <sheetName val="nuovi_servizi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31">
          <cell r="W31">
            <v>0.1</v>
          </cell>
        </row>
        <row r="32">
          <cell r="W32">
            <v>65</v>
          </cell>
        </row>
      </sheetData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E COND.APPL. 2004"/>
      <sheetName val="COMPARA 2003-2004 (2)"/>
      <sheetName val="COMPARA 2003-2004"/>
      <sheetName val="A0-AnagrafeSan.-Cond.SISR-2004"/>
      <sheetName val="B0-Er.Serv.San.-dettaglio"/>
      <sheetName val="C0-Sist.Ammin.-Cond.SISR-2004"/>
      <sheetName val="D0-Scamb.Inform.-Cond.SISR-2004"/>
      <sheetName val="E0-Sist.Governo-Cond.SISR-2004"/>
      <sheetName val="Formule"/>
      <sheetName val="nuovi servizi"/>
      <sheetName val="TOTALE_COND_APPL__2004"/>
      <sheetName val="COMPARA_2003-2004_(2)"/>
      <sheetName val="COMPARA_2003-2004"/>
      <sheetName val="A0-AnagrafeSan_-Cond_SISR-2004"/>
      <sheetName val="B0-Er_Serv_San_-dettaglio"/>
      <sheetName val="C0-Sist_Ammin_-Cond_SISR-2004"/>
      <sheetName val="D0-Scamb_Inform_-Cond_SISR-2004"/>
      <sheetName val="E0-Sist_Governo-Cond_SISR-2004"/>
      <sheetName val="nuovi_servizi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31">
          <cell r="W31">
            <v>0.1</v>
          </cell>
        </row>
        <row r="32">
          <cell r="W32">
            <v>65</v>
          </cell>
        </row>
      </sheetData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E COND.APPL. 2004"/>
      <sheetName val="COMPARA 2003-2004 (2)"/>
      <sheetName val="COMPARA 2003-2004"/>
      <sheetName val="A0-AnagrafeSan.-Cond.SISR-2004"/>
      <sheetName val="B0-Er.Serv.San.-dettaglio"/>
      <sheetName val="C0-Sist.Ammin.-Cond.SISR-2004"/>
      <sheetName val="D0-Scamb.Inform.-Cond.SISR-2004"/>
      <sheetName val="E0-Sist.Governo-Cond.SISR-2004"/>
      <sheetName val="Formule"/>
      <sheetName val="nuovi servizi"/>
      <sheetName val="TOTALE_COND_APPL__2004"/>
      <sheetName val="COMPARA_2003-2004_(2)"/>
      <sheetName val="COMPARA_2003-2004"/>
      <sheetName val="A0-AnagrafeSan_-Cond_SISR-2004"/>
      <sheetName val="B0-Er_Serv_San_-dettaglio"/>
      <sheetName val="C0-Sist_Ammin_-Cond_SISR-2004"/>
      <sheetName val="D0-Scamb_Inform_-Cond_SISR-2004"/>
      <sheetName val="E0-Sist_Governo-Cond_SISR-2004"/>
      <sheetName val="nuovi_servizi"/>
      <sheetName val="TOTALE_COND_APPL__20041"/>
      <sheetName val="COMPARA_2003-2004_(2)1"/>
      <sheetName val="COMPARA_2003-20041"/>
      <sheetName val="A0-AnagrafeSan_-Cond_SISR-20041"/>
      <sheetName val="B0-Er_Serv_San_-dettaglio1"/>
      <sheetName val="C0-Sist_Ammin_-Cond_SISR-20041"/>
      <sheetName val="D0-Scamb_Inform_-Cond_SISR-2001"/>
      <sheetName val="E0-Sist_Governo-Cond_SISR-20041"/>
      <sheetName val="nuovi_servizi1"/>
      <sheetName val="TOTALE_COND_APPL__20042"/>
      <sheetName val="COMPARA_2003-2004_(2)2"/>
      <sheetName val="COMPARA_2003-20042"/>
      <sheetName val="A0-AnagrafeSan_-Cond_SISR-20042"/>
      <sheetName val="B0-Er_Serv_San_-dettaglio2"/>
      <sheetName val="C0-Sist_Ammin_-Cond_SISR-20042"/>
      <sheetName val="D0-Scamb_Inform_-Cond_SISR-2002"/>
      <sheetName val="E0-Sist_Governo-Cond_SISR-20042"/>
      <sheetName val="nuovi_servizi2"/>
      <sheetName val="TOTALE_COND_APPL__20043"/>
      <sheetName val="COMPARA_2003-2004_(2)3"/>
      <sheetName val="COMPARA_2003-20043"/>
      <sheetName val="A0-AnagrafeSan_-Cond_SISR-20043"/>
      <sheetName val="B0-Er_Serv_San_-dettaglio3"/>
      <sheetName val="C0-Sist_Ammin_-Cond_SISR-20043"/>
      <sheetName val="D0-Scamb_Inform_-Cond_SISR-2003"/>
      <sheetName val="E0-Sist_Governo-Cond_SISR-20043"/>
      <sheetName val="nuovi_servizi3"/>
      <sheetName val="Alimentazione"/>
      <sheetName val="alim s.p."/>
      <sheetName val="Alim C.E.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31">
          <cell r="W31">
            <v>0.1</v>
          </cell>
        </row>
        <row r="32">
          <cell r="W32">
            <v>65</v>
          </cell>
        </row>
      </sheetData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0-Sist.Governo-Cond.SISR-2004"/>
      <sheetName val="E0-Cond.SISR-2004_Variazione"/>
      <sheetName val="E0-Cond.SISR-2004_Aziende"/>
      <sheetName val="E0-Cond.SISR-2004_ASS1"/>
      <sheetName val="E0-Cond.SISR-2004_ASS2"/>
      <sheetName val="E0-Cond.SISR-2004_ASS3"/>
      <sheetName val="E0-Cond.SISR-2004_ASS4"/>
      <sheetName val="E0-Cond.SISR-2004_ASS5"/>
      <sheetName val="E0-Cond.SISR-2004_ASS6"/>
      <sheetName val="E0-Cond.SISR-2004_AOTS"/>
      <sheetName val="E0-Cond.SISR-2004_AOUD"/>
      <sheetName val="E0-Cond.SISR-2004_AOPN"/>
      <sheetName val="E0-Cond.SISR-2004_BURLO"/>
      <sheetName val="E0-Cond.SISR-2004_CRO"/>
      <sheetName val="E0-Cond.SISR-2004_POL.UD"/>
      <sheetName val="E0-Cond.SISR-2004_AG.REG.SAN."/>
      <sheetName val="E0-Cond.SISR-2004_DIR.REG.SAN."/>
      <sheetName val="E0-Sist_Governo-Cond_SISR-2004"/>
      <sheetName val="E0-Cond_SISR-2004_Variazione"/>
      <sheetName val="E0-Cond_SISR-2004_Aziende"/>
      <sheetName val="E0-Cond_SISR-2004_ASS1"/>
      <sheetName val="E0-Cond_SISR-2004_ASS2"/>
      <sheetName val="E0-Cond_SISR-2004_ASS3"/>
      <sheetName val="E0-Cond_SISR-2004_ASS4"/>
      <sheetName val="E0-Cond_SISR-2004_ASS5"/>
      <sheetName val="E0-Cond_SISR-2004_ASS6"/>
      <sheetName val="E0-Cond_SISR-2004_AOTS"/>
      <sheetName val="E0-Cond_SISR-2004_AOUD"/>
      <sheetName val="E0-Cond_SISR-2004_AOPN"/>
      <sheetName val="E0-Cond_SISR-2004_BURLO"/>
      <sheetName val="E0-Cond_SISR-2004_CRO"/>
      <sheetName val="E0-Cond_SISR-2004_POL_UD"/>
      <sheetName val="E0-Cond_SISR-2004_AG_REG_SAN_"/>
      <sheetName val="E0-Cond_SISR-2004_DIR_REG_SAN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0-Sist.Governo-Cond.SISR-2004"/>
      <sheetName val="E0-Cond.SISR-2004_Variazione"/>
      <sheetName val="E0-Cond.SISR-2004_Aziende"/>
      <sheetName val="E0-Cond.SISR-2004_ASS1"/>
      <sheetName val="E0-Cond.SISR-2004_ASS2"/>
      <sheetName val="E0-Cond.SISR-2004_ASS3"/>
      <sheetName val="E0-Cond.SISR-2004_ASS4"/>
      <sheetName val="E0-Cond.SISR-2004_ASS5"/>
      <sheetName val="E0-Cond.SISR-2004_ASS6"/>
      <sheetName val="E0-Cond.SISR-2004_AOTS"/>
      <sheetName val="E0-Cond.SISR-2004_AOUD"/>
      <sheetName val="E0-Cond.SISR-2004_AOPN"/>
      <sheetName val="E0-Cond.SISR-2004_BURLO"/>
      <sheetName val="E0-Cond.SISR-2004_CRO"/>
      <sheetName val="E0-Cond.SISR-2004_POL.UD"/>
      <sheetName val="E0-Cond.SISR-2004_AG.REG.SAN."/>
      <sheetName val="E0-Cond.SISR-2004_DIR.REG.SAN."/>
      <sheetName val="E0-Sist_Governo-Cond_SISR-2004"/>
      <sheetName val="E0-Cond_SISR-2004_Variazione"/>
      <sheetName val="E0-Cond_SISR-2004_Aziende"/>
      <sheetName val="E0-Cond_SISR-2004_ASS1"/>
      <sheetName val="E0-Cond_SISR-2004_ASS2"/>
      <sheetName val="E0-Cond_SISR-2004_ASS3"/>
      <sheetName val="E0-Cond_SISR-2004_ASS4"/>
      <sheetName val="E0-Cond_SISR-2004_ASS5"/>
      <sheetName val="E0-Cond_SISR-2004_ASS6"/>
      <sheetName val="E0-Cond_SISR-2004_AOTS"/>
      <sheetName val="E0-Cond_SISR-2004_AOUD"/>
      <sheetName val="E0-Cond_SISR-2004_AOPN"/>
      <sheetName val="E0-Cond_SISR-2004_BURLO"/>
      <sheetName val="E0-Cond_SISR-2004_CRO"/>
      <sheetName val="E0-Cond_SISR-2004_POL_UD"/>
      <sheetName val="E0-Cond_SISR-2004_AG_REG_SAN_"/>
      <sheetName val="E0-Cond_SISR-2004_DIR_REG_SAN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0-Sist.Governo-Cond.SISR-2004"/>
      <sheetName val="E0-Cond.SISR-2004_Variazione"/>
      <sheetName val="E0-Cond.SISR-2004_Aziende"/>
      <sheetName val="E0-Cond.SISR-2004_ASS1"/>
      <sheetName val="E0-Cond.SISR-2004_ASS2"/>
      <sheetName val="E0-Cond.SISR-2004_ASS3"/>
      <sheetName val="E0-Cond.SISR-2004_ASS4"/>
      <sheetName val="E0-Cond.SISR-2004_ASS5"/>
      <sheetName val="E0-Cond.SISR-2004_ASS6"/>
      <sheetName val="E0-Cond.SISR-2004_AOTS"/>
      <sheetName val="E0-Cond.SISR-2004_AOUD"/>
      <sheetName val="E0-Cond.SISR-2004_AOPN"/>
      <sheetName val="E0-Cond.SISR-2004_BURLO"/>
      <sheetName val="E0-Cond.SISR-2004_CRO"/>
      <sheetName val="E0-Cond.SISR-2004_POL.UD"/>
      <sheetName val="E0-Cond.SISR-2004_AG.REG.SAN."/>
      <sheetName val="E0-Cond.SISR-2004_DIR.REG.SAN."/>
      <sheetName val="E0-Sist_Governo-Cond_SISR-2004"/>
      <sheetName val="E0-Cond_SISR-2004_Variazione"/>
      <sheetName val="E0-Cond_SISR-2004_Aziende"/>
      <sheetName val="E0-Cond_SISR-2004_ASS1"/>
      <sheetName val="E0-Cond_SISR-2004_ASS2"/>
      <sheetName val="E0-Cond_SISR-2004_ASS3"/>
      <sheetName val="E0-Cond_SISR-2004_ASS4"/>
      <sheetName val="E0-Cond_SISR-2004_ASS5"/>
      <sheetName val="E0-Cond_SISR-2004_ASS6"/>
      <sheetName val="E0-Cond_SISR-2004_AOTS"/>
      <sheetName val="E0-Cond_SISR-2004_AOUD"/>
      <sheetName val="E0-Cond_SISR-2004_AOPN"/>
      <sheetName val="E0-Cond_SISR-2004_BURLO"/>
      <sheetName val="E0-Cond_SISR-2004_CRO"/>
      <sheetName val="E0-Cond_SISR-2004_POL_UD"/>
      <sheetName val="E0-Cond_SISR-2004_AG_REG_SAN_"/>
      <sheetName val="E0-Cond_SISR-2004_DIR_REG_SAN_"/>
      <sheetName val="E0-Sist_Governo-Cond_SISR-20041"/>
      <sheetName val="E0-Cond_SISR-2004_Variazione1"/>
      <sheetName val="E0-Cond_SISR-2004_Aziende1"/>
      <sheetName val="E0-Cond_SISR-2004_ASS11"/>
      <sheetName val="E0-Cond_SISR-2004_ASS21"/>
      <sheetName val="E0-Cond_SISR-2004_ASS31"/>
      <sheetName val="E0-Cond_SISR-2004_ASS41"/>
      <sheetName val="E0-Cond_SISR-2004_ASS51"/>
      <sheetName val="E0-Cond_SISR-2004_ASS61"/>
      <sheetName val="E0-Cond_SISR-2004_AOTS1"/>
      <sheetName val="E0-Cond_SISR-2004_AOUD1"/>
      <sheetName val="E0-Cond_SISR-2004_AOPN1"/>
      <sheetName val="E0-Cond_SISR-2004_BURLO1"/>
      <sheetName val="E0-Cond_SISR-2004_CRO1"/>
      <sheetName val="E0-Cond_SISR-2004_POL_UD1"/>
      <sheetName val="E0-Cond_SISR-2004_AG_REG_SAN_1"/>
      <sheetName val="E0-Cond_SISR-2004_DIR_REG_SAN_1"/>
      <sheetName val="E0-Sist_Governo-Cond_SISR-20042"/>
      <sheetName val="E0-Cond_SISR-2004_Variazione2"/>
      <sheetName val="E0-Cond_SISR-2004_Aziende2"/>
      <sheetName val="E0-Cond_SISR-2004_ASS12"/>
      <sheetName val="E0-Cond_SISR-2004_ASS22"/>
      <sheetName val="E0-Cond_SISR-2004_ASS32"/>
      <sheetName val="E0-Cond_SISR-2004_ASS42"/>
      <sheetName val="E0-Cond_SISR-2004_ASS52"/>
      <sheetName val="E0-Cond_SISR-2004_ASS62"/>
      <sheetName val="E0-Cond_SISR-2004_AOTS2"/>
      <sheetName val="E0-Cond_SISR-2004_AOUD2"/>
      <sheetName val="E0-Cond_SISR-2004_AOPN2"/>
      <sheetName val="E0-Cond_SISR-2004_BURLO2"/>
      <sheetName val="E0-Cond_SISR-2004_CRO2"/>
      <sheetName val="E0-Cond_SISR-2004_POL_UD2"/>
      <sheetName val="E0-Cond_SISR-2004_AG_REG_SAN_2"/>
      <sheetName val="E0-Cond_SISR-2004_DIR_REG_SAN_2"/>
      <sheetName val="E0-Sist_Governo-Cond_SISR-20043"/>
      <sheetName val="E0-Cond_SISR-2004_Variazione3"/>
      <sheetName val="E0-Cond_SISR-2004_Aziende3"/>
      <sheetName val="E0-Cond_SISR-2004_ASS13"/>
      <sheetName val="E0-Cond_SISR-2004_ASS23"/>
      <sheetName val="E0-Cond_SISR-2004_ASS33"/>
      <sheetName val="E0-Cond_SISR-2004_ASS43"/>
      <sheetName val="E0-Cond_SISR-2004_ASS53"/>
      <sheetName val="E0-Cond_SISR-2004_ASS63"/>
      <sheetName val="E0-Cond_SISR-2004_AOTS3"/>
      <sheetName val="E0-Cond_SISR-2004_AOUD3"/>
      <sheetName val="E0-Cond_SISR-2004_AOPN3"/>
      <sheetName val="E0-Cond_SISR-2004_BURLO3"/>
      <sheetName val="E0-Cond_SISR-2004_CRO3"/>
      <sheetName val="E0-Cond_SISR-2004_POL_UD3"/>
      <sheetName val="E0-Cond_SISR-2004_AG_REG_SAN_3"/>
      <sheetName val="E0-Cond_SISR-2004_DIR_REG_SAN_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4"/>
      <sheetName val="Alimentazione_CE012"/>
      <sheetName val="AOTS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Fisse_Pers_SSR4"/>
      <sheetName val="Fisse_Pers_SSR5"/>
      <sheetName val="camp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  <sheetName val="Consolidato_1999"/>
      <sheetName val="BILANCIO_DEL_SSR"/>
      <sheetName val="RICOVERI_INFRAGRUPPO"/>
      <sheetName val="PREST__AMBULAT___INFRAGRUPPO"/>
      <sheetName val="nuovi_tetti_ricoveroASS1_AO_TS"/>
      <sheetName val="quote_non_rip__e_integr_"/>
      <sheetName val="nuovi_tetti_ricovero"/>
      <sheetName val="nuovi_tetti_ricovero_(2)"/>
      <sheetName val="nuovi_tetti_ambulatoriale"/>
      <sheetName val="nuovi_tetti_ambulatoriale_(2)"/>
      <sheetName val="rettifiche_di_eliminaz_'99"/>
      <sheetName val="variazioni_'99"/>
      <sheetName val="PREST__AMM&amp;GEST_INFRAGRUPPO"/>
      <sheetName val="PERSONALE_COM_"/>
      <sheetName val="ALTRE_VOCI"/>
      <sheetName val="MOBILITA'_EXTRAREGIONALE"/>
      <sheetName val="RICONCILIAZ_"/>
      <sheetName val="CONTRIB__REGIONALI"/>
      <sheetName val="erogazioni_REGIONALI"/>
      <sheetName val="erogazione_mobiltà_calcoli"/>
      <sheetName val="erogazione_mobilità_prospetto"/>
      <sheetName val="Alimentazione CE01"/>
      <sheetName val="Alimentazio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  <sheetName val="Consolidato_19991"/>
      <sheetName val="BILANCIO_DEL_SSR1"/>
      <sheetName val="RICOVERI_INFRAGRUPPO1"/>
      <sheetName val="PREST__AMBULAT___INFRAGRUPPO1"/>
      <sheetName val="nuovi_tetti_ricoveroASS1_AO_TS1"/>
      <sheetName val="quote_non_rip__e_integr_1"/>
      <sheetName val="nuovi_tetti_ricovero1"/>
      <sheetName val="nuovi_tetti_ricovero_(2)1"/>
      <sheetName val="nuovi_tetti_ambulatoriale1"/>
      <sheetName val="nuovi_tetti_ambulatoriale_(2)1"/>
      <sheetName val="rettifiche_di_eliminaz_'991"/>
      <sheetName val="variazioni_'991"/>
      <sheetName val="PREST__AMM&amp;GEST_INFRAGRUPPO1"/>
      <sheetName val="PERSONALE_COM_1"/>
      <sheetName val="ALTRE_VOCI1"/>
      <sheetName val="MOBILITA'_EXTRAREGIONALE1"/>
      <sheetName val="RICONCILIAZ_1"/>
      <sheetName val="CONTRIB__REGIONALI1"/>
      <sheetName val="erogazioni_REGIONALI1"/>
      <sheetName val="erogazione_mobiltà_calcoli1"/>
      <sheetName val="erogazione_mobilità_prospetto1"/>
      <sheetName val="Consolidato_1999"/>
      <sheetName val="BILANCIO_DEL_SSR"/>
      <sheetName val="RICOVERI_INFRAGRUPPO"/>
      <sheetName val="PREST__AMBULAT___INFRAGRUPPO"/>
      <sheetName val="nuovi_tetti_ricoveroASS1_AO_TS"/>
      <sheetName val="quote_non_rip__e_integr_"/>
      <sheetName val="nuovi_tetti_ricovero"/>
      <sheetName val="nuovi_tetti_ricovero_(2)"/>
      <sheetName val="nuovi_tetti_ambulatoriale"/>
      <sheetName val="nuovi_tetti_ambulatoriale_(2)"/>
      <sheetName val="rettifiche_di_eliminaz_'99"/>
      <sheetName val="variazioni_'99"/>
      <sheetName val="PREST__AMM&amp;GEST_INFRAGRUPPO"/>
      <sheetName val="PERSONALE_COM_"/>
      <sheetName val="ALTRE_VOCI"/>
      <sheetName val="MOBILITA'_EXTRAREGIONALE"/>
      <sheetName val="RICONCILIAZ_"/>
      <sheetName val="CONTRIB__REGIONALI"/>
      <sheetName val="erogazioni_REGIONALI"/>
      <sheetName val="erogazione_mobiltà_calcoli"/>
      <sheetName val="erogazione_mobilità_prospetto"/>
      <sheetName val="Consolidato_19992"/>
      <sheetName val="BILANCIO_DEL_SSR2"/>
      <sheetName val="RICOVERI_INFRAGRUPPO2"/>
      <sheetName val="PREST__AMBULAT___INFRAGRUPPO2"/>
      <sheetName val="nuovi_tetti_ricoveroASS1_AO_TS2"/>
      <sheetName val="quote_non_rip__e_integr_2"/>
      <sheetName val="nuovi_tetti_ricovero2"/>
      <sheetName val="nuovi_tetti_ricovero_(2)2"/>
      <sheetName val="nuovi_tetti_ambulatoriale2"/>
      <sheetName val="nuovi_tetti_ambulatoriale_(2)2"/>
      <sheetName val="rettifiche_di_eliminaz_'992"/>
      <sheetName val="variazioni_'992"/>
      <sheetName val="PREST__AMM&amp;GEST_INFRAGRUPPO2"/>
      <sheetName val="PERSONALE_COM_2"/>
      <sheetName val="ALTRE_VOCI2"/>
      <sheetName val="MOBILITA'_EXTRAREGIONALE2"/>
      <sheetName val="RICONCILIAZ_2"/>
      <sheetName val="CONTRIB__REGIONALI2"/>
      <sheetName val="erogazioni_REGIONALI2"/>
      <sheetName val="erogazione_mobiltà_calcoli2"/>
      <sheetName val="erogazione_mobilità_prospetto2"/>
      <sheetName val="Consolidato_19993"/>
      <sheetName val="BILANCIO_DEL_SSR3"/>
      <sheetName val="RICOVERI_INFRAGRUPPO3"/>
      <sheetName val="PREST__AMBULAT___INFRAGRUPPO3"/>
      <sheetName val="nuovi_tetti_ricoveroASS1_AO_TS3"/>
      <sheetName val="quote_non_rip__e_integr_3"/>
      <sheetName val="nuovi_tetti_ricovero3"/>
      <sheetName val="nuovi_tetti_ricovero_(2)3"/>
      <sheetName val="nuovi_tetti_ambulatoriale3"/>
      <sheetName val="nuovi_tetti_ambulatoriale_(2)3"/>
      <sheetName val="rettifiche_di_eliminaz_'993"/>
      <sheetName val="variazioni_'993"/>
      <sheetName val="PREST__AMM&amp;GEST_INFRAGRUPPO3"/>
      <sheetName val="PERSONALE_COM_3"/>
      <sheetName val="ALTRE_VOCI3"/>
      <sheetName val="MOBILITA'_EXTRAREGIONALE3"/>
      <sheetName val="RICONCILIAZ_3"/>
      <sheetName val="CONTRIB__REGIONALI3"/>
      <sheetName val="erogazioni_REGIONALI3"/>
      <sheetName val="erogazione_mobiltà_calcoli3"/>
      <sheetName val="erogazione_mobilità_prospetto3"/>
      <sheetName val="Alimentazione"/>
      <sheetName val="Consolidato_19994"/>
      <sheetName val="BILANCIO_DEL_SSR4"/>
      <sheetName val="RICOVERI_INFRAGRUPPO4"/>
      <sheetName val="PREST__AMBULAT___INFRAGRUPPO4"/>
      <sheetName val="nuovi_tetti_ricoveroASS1_AO_TS4"/>
      <sheetName val="quote_non_rip__e_integr_4"/>
      <sheetName val="nuovi_tetti_ricovero4"/>
      <sheetName val="nuovi_tetti_ricovero_(2)4"/>
      <sheetName val="nuovi_tetti_ambulatoriale4"/>
      <sheetName val="nuovi_tetti_ambulatoriale_(2)4"/>
      <sheetName val="rettifiche_di_eliminaz_'994"/>
      <sheetName val="variazioni_'994"/>
      <sheetName val="PREST__AMM&amp;GEST_INFRAGRUPPO4"/>
      <sheetName val="PERSONALE_COM_4"/>
      <sheetName val="ALTRE_VOCI4"/>
      <sheetName val="MOBILITA'_EXTRAREGIONALE4"/>
      <sheetName val="RICONCILIAZ_4"/>
      <sheetName val="CONTRIB__REGIONALI4"/>
      <sheetName val="erogazioni_REGIONALI4"/>
      <sheetName val="erogazione_mobiltà_calcoli4"/>
      <sheetName val="erogazione_mobilità_prospetto4"/>
      <sheetName val="Consolidato_19995"/>
      <sheetName val="BILANCIO_DEL_SSR5"/>
      <sheetName val="RICOVERI_INFRAGRUPPO5"/>
      <sheetName val="PREST__AMBULAT___INFRAGRUPPO5"/>
      <sheetName val="nuovi_tetti_ricoveroASS1_AO_TS5"/>
      <sheetName val="quote_non_rip__e_integr_5"/>
      <sheetName val="nuovi_tetti_ricovero5"/>
      <sheetName val="nuovi_tetti_ricovero_(2)5"/>
      <sheetName val="nuovi_tetti_ambulatoriale5"/>
      <sheetName val="nuovi_tetti_ambulatoriale_(2)5"/>
      <sheetName val="rettifiche_di_eliminaz_'995"/>
      <sheetName val="variazioni_'995"/>
      <sheetName val="PREST__AMM&amp;GEST_INFRAGRUPPO5"/>
      <sheetName val="PERSONALE_COM_5"/>
      <sheetName val="ALTRE_VOCI5"/>
      <sheetName val="MOBILITA'_EXTRAREGIONALE5"/>
      <sheetName val="RICONCILIAZ_5"/>
      <sheetName val="CONTRIB__REGIONALI5"/>
      <sheetName val="erogazioni_REGIONALI5"/>
      <sheetName val="erogazione_mobiltà_calcoli5"/>
      <sheetName val="erogazione_mobilità_prospetto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  <sheetName val="Consolidato_19991"/>
      <sheetName val="BILANCIO_DEL_SSR1"/>
      <sheetName val="RICOVERI_INFRAGRUPPO1"/>
      <sheetName val="PREST__AMBULAT___INFRAGRUPPO1"/>
      <sheetName val="nuovi_tetti_ricoveroASS1_AO_TS1"/>
      <sheetName val="quote_non_rip__e_integr_1"/>
      <sheetName val="nuovi_tetti_ricovero1"/>
      <sheetName val="nuovi_tetti_ricovero_(2)1"/>
      <sheetName val="nuovi_tetti_ambulatoriale1"/>
      <sheetName val="nuovi_tetti_ambulatoriale_(2)1"/>
      <sheetName val="rettifiche_di_eliminaz_'991"/>
      <sheetName val="variazioni_'991"/>
      <sheetName val="PREST__AMM&amp;GEST_INFRAGRUPPO1"/>
      <sheetName val="PERSONALE_COM_1"/>
      <sheetName val="ALTRE_VOCI1"/>
      <sheetName val="MOBILITA'_EXTRAREGIONALE1"/>
      <sheetName val="RICONCILIAZ_1"/>
      <sheetName val="CONTRIB__REGIONALI1"/>
      <sheetName val="erogazioni_REGIONALI1"/>
      <sheetName val="erogazione_mobiltà_calcoli1"/>
      <sheetName val="erogazione_mobilità_prospetto1"/>
      <sheetName val="Consolidato_1999"/>
      <sheetName val="BILANCIO_DEL_SSR"/>
      <sheetName val="RICOVERI_INFRAGRUPPO"/>
      <sheetName val="PREST__AMBULAT___INFRAGRUPPO"/>
      <sheetName val="nuovi_tetti_ricoveroASS1_AO_TS"/>
      <sheetName val="quote_non_rip__e_integr_"/>
      <sheetName val="nuovi_tetti_ricovero"/>
      <sheetName val="nuovi_tetti_ricovero_(2)"/>
      <sheetName val="nuovi_tetti_ambulatoriale"/>
      <sheetName val="nuovi_tetti_ambulatoriale_(2)"/>
      <sheetName val="rettifiche_di_eliminaz_'99"/>
      <sheetName val="variazioni_'99"/>
      <sheetName val="PREST__AMM&amp;GEST_INFRAGRUPPO"/>
      <sheetName val="PERSONALE_COM_"/>
      <sheetName val="ALTRE_VOCI"/>
      <sheetName val="MOBILITA'_EXTRAREGIONALE"/>
      <sheetName val="RICONCILIAZ_"/>
      <sheetName val="CONTRIB__REGIONALI"/>
      <sheetName val="erogazioni_REGIONALI"/>
      <sheetName val="erogazione_mobiltà_calcoli"/>
      <sheetName val="erogazione_mobilità_prospetto"/>
      <sheetName val="Consolidato_19992"/>
      <sheetName val="BILANCIO_DEL_SSR2"/>
      <sheetName val="RICOVERI_INFRAGRUPPO2"/>
      <sheetName val="PREST__AMBULAT___INFRAGRUPPO2"/>
      <sheetName val="nuovi_tetti_ricoveroASS1_AO_TS2"/>
      <sheetName val="quote_non_rip__e_integr_2"/>
      <sheetName val="nuovi_tetti_ricovero2"/>
      <sheetName val="nuovi_tetti_ricovero_(2)2"/>
      <sheetName val="nuovi_tetti_ambulatoriale2"/>
      <sheetName val="nuovi_tetti_ambulatoriale_(2)2"/>
      <sheetName val="rettifiche_di_eliminaz_'992"/>
      <sheetName val="variazioni_'992"/>
      <sheetName val="PREST__AMM&amp;GEST_INFRAGRUPPO2"/>
      <sheetName val="PERSONALE_COM_2"/>
      <sheetName val="ALTRE_VOCI2"/>
      <sheetName val="MOBILITA'_EXTRAREGIONALE2"/>
      <sheetName val="RICONCILIAZ_2"/>
      <sheetName val="CONTRIB__REGIONALI2"/>
      <sheetName val="erogazioni_REGIONALI2"/>
      <sheetName val="erogazione_mobiltà_calcoli2"/>
      <sheetName val="erogazione_mobilità_prospetto2"/>
      <sheetName val="Consolidato_19993"/>
      <sheetName val="BILANCIO_DEL_SSR3"/>
      <sheetName val="RICOVERI_INFRAGRUPPO3"/>
      <sheetName val="PREST__AMBULAT___INFRAGRUPPO3"/>
      <sheetName val="nuovi_tetti_ricoveroASS1_AO_TS3"/>
      <sheetName val="quote_non_rip__e_integr_3"/>
      <sheetName val="nuovi_tetti_ricovero3"/>
      <sheetName val="nuovi_tetti_ricovero_(2)3"/>
      <sheetName val="nuovi_tetti_ambulatoriale3"/>
      <sheetName val="nuovi_tetti_ambulatoriale_(2)3"/>
      <sheetName val="rettifiche_di_eliminaz_'993"/>
      <sheetName val="variazioni_'993"/>
      <sheetName val="PREST__AMM&amp;GEST_INFRAGRUPPO3"/>
      <sheetName val="PERSONALE_COM_3"/>
      <sheetName val="ALTRE_VOCI3"/>
      <sheetName val="MOBILITA'_EXTRAREGIONALE3"/>
      <sheetName val="RICONCILIAZ_3"/>
      <sheetName val="CONTRIB__REGIONALI3"/>
      <sheetName val="erogazioni_REGIONALI3"/>
      <sheetName val="erogazione_mobiltà_calcoli3"/>
      <sheetName val="erogazione_mobilità_prospetto3"/>
      <sheetName val="Consolidato_19994"/>
      <sheetName val="BILANCIO_DEL_SSR4"/>
      <sheetName val="RICOVERI_INFRAGRUPPO4"/>
      <sheetName val="PREST__AMBULAT___INFRAGRUPPO4"/>
      <sheetName val="nuovi_tetti_ricoveroASS1_AO_TS4"/>
      <sheetName val="quote_non_rip__e_integr_4"/>
      <sheetName val="nuovi_tetti_ricovero4"/>
      <sheetName val="nuovi_tetti_ricovero_(2)4"/>
      <sheetName val="nuovi_tetti_ambulatoriale4"/>
      <sheetName val="nuovi_tetti_ambulatoriale_(2)4"/>
      <sheetName val="rettifiche_di_eliminaz_'994"/>
      <sheetName val="variazioni_'994"/>
      <sheetName val="PREST__AMM&amp;GEST_INFRAGRUPPO4"/>
      <sheetName val="PERSONALE_COM_4"/>
      <sheetName val="ALTRE_VOCI4"/>
      <sheetName val="MOBILITA'_EXTRAREGIONALE4"/>
      <sheetName val="RICONCILIAZ_4"/>
      <sheetName val="CONTRIB__REGIONALI4"/>
      <sheetName val="erogazioni_REGIONALI4"/>
      <sheetName val="erogazione_mobiltà_calcoli4"/>
      <sheetName val="erogazione_mobilità_prospetto4"/>
      <sheetName val="Consolidato_19995"/>
      <sheetName val="BILANCIO_DEL_SSR5"/>
      <sheetName val="RICOVERI_INFRAGRUPPO5"/>
      <sheetName val="PREST__AMBULAT___INFRAGRUPPO5"/>
      <sheetName val="nuovi_tetti_ricoveroASS1_AO_TS5"/>
      <sheetName val="quote_non_rip__e_integr_5"/>
      <sheetName val="nuovi_tetti_ricovero5"/>
      <sheetName val="nuovi_tetti_ricovero_(2)5"/>
      <sheetName val="nuovi_tetti_ambulatoriale5"/>
      <sheetName val="nuovi_tetti_ambulatoriale_(2)5"/>
      <sheetName val="rettifiche_di_eliminaz_'995"/>
      <sheetName val="variazioni_'995"/>
      <sheetName val="PREST__AMM&amp;GEST_INFRAGRUPPO5"/>
      <sheetName val="PERSONALE_COM_5"/>
      <sheetName val="ALTRE_VOCI5"/>
      <sheetName val="MOBILITA'_EXTRAREGIONALE5"/>
      <sheetName val="RICONCILIAZ_5"/>
      <sheetName val="CONTRIB__REGIONALI5"/>
      <sheetName val="erogazioni_REGIONALI5"/>
      <sheetName val="erogazione_mobiltà_calcoli5"/>
      <sheetName val="erogazione_mobilità_prospetto5"/>
      <sheetName val="Consolidato_19996"/>
      <sheetName val="BILANCIO_DEL_SSR6"/>
      <sheetName val="RICOVERI_INFRAGRUPPO6"/>
      <sheetName val="PREST__AMBULAT___INFRAGRUPPO6"/>
      <sheetName val="nuovi_tetti_ricoveroASS1_AO_TS6"/>
      <sheetName val="quote_non_rip__e_integr_6"/>
      <sheetName val="nuovi_tetti_ricovero6"/>
      <sheetName val="nuovi_tetti_ricovero_(2)6"/>
      <sheetName val="nuovi_tetti_ambulatoriale6"/>
      <sheetName val="nuovi_tetti_ambulatoriale_(2)6"/>
      <sheetName val="rettifiche_di_eliminaz_'996"/>
      <sheetName val="variazioni_'996"/>
      <sheetName val="PREST__AMM&amp;GEST_INFRAGRUPPO6"/>
      <sheetName val="PERSONALE_COM_6"/>
      <sheetName val="ALTRE_VOCI6"/>
      <sheetName val="MOBILITA'_EXTRAREGIONALE6"/>
      <sheetName val="RICONCILIAZ_6"/>
      <sheetName val="CONTRIB__REGIONALI6"/>
      <sheetName val="erogazioni_REGIONALI6"/>
      <sheetName val="erogazione_mobiltà_calcoli6"/>
      <sheetName val="erogazione_mobilità_prospetto6"/>
      <sheetName val="Consolidato_19997"/>
      <sheetName val="BILANCIO_DEL_SSR7"/>
      <sheetName val="RICOVERI_INFRAGRUPPO7"/>
      <sheetName val="PREST__AMBULAT___INFRAGRUPPO7"/>
      <sheetName val="nuovi_tetti_ricoveroASS1_AO_TS7"/>
      <sheetName val="quote_non_rip__e_integr_7"/>
      <sheetName val="nuovi_tetti_ricovero7"/>
      <sheetName val="nuovi_tetti_ricovero_(2)7"/>
      <sheetName val="nuovi_tetti_ambulatoriale7"/>
      <sheetName val="nuovi_tetti_ambulatoriale_(2)7"/>
      <sheetName val="rettifiche_di_eliminaz_'997"/>
      <sheetName val="variazioni_'997"/>
      <sheetName val="PREST__AMM&amp;GEST_INFRAGRUPPO7"/>
      <sheetName val="PERSONALE_COM_7"/>
      <sheetName val="ALTRE_VOCI7"/>
      <sheetName val="MOBILITA'_EXTRAREGIONALE7"/>
      <sheetName val="RICONCILIAZ_7"/>
      <sheetName val="CONTRIB__REGIONALI7"/>
      <sheetName val="erogazioni_REGIONALI7"/>
      <sheetName val="erogazione_mobiltà_calcoli7"/>
      <sheetName val="erogazione_mobilità_prospetto7"/>
      <sheetName val="rettifiche_di_eliv´b_x0000__x0000__x0019__x0001_0."/>
      <sheetName val="rettifiche_di_eliv´b"/>
      <sheetName val="rettifiche_di_eliv´b??_x0019__x0001_0."/>
      <sheetName val="Alimentazione CE01"/>
      <sheetName val="alim s.p."/>
      <sheetName val="Alim C.E."/>
      <sheetName val="mesi"/>
      <sheetName val="pazienti"/>
      <sheetName val="prestazioni"/>
      <sheetName val="sta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0"/>
      <sheetName val="Codifiche"/>
      <sheetName val="Lists"/>
      <sheetName val="profili"/>
      <sheetName val="Cod. bd,cd,sett d"/>
      <sheetName val="legenda"/>
      <sheetName val="PIVOT CESSATI TFR"/>
      <sheetName val="PIVOT RIEPILOGO"/>
      <sheetName val="PIVOT pensionati"/>
      <sheetName val="RIEPILOGO NUOVI ASSUNTI"/>
      <sheetName val="RIEPILOGO CESSATI DEFINITIV (2)"/>
      <sheetName val="RIEPILOGO CESSATI DIR"/>
      <sheetName val="RIEPILOGO ASSUNTI CESSATI"/>
      <sheetName val="pivot NUOVI assunti"/>
      <sheetName val="RIEPILOGO CESSATI DEFINITIVI "/>
      <sheetName val="pivot NUOVI assunti CALT"/>
      <sheetName val="RIEPILOGO CESSATI DEF CALT"/>
      <sheetName val="pivot NUOVI assunti dirigenti"/>
      <sheetName val="RIEPILOGO CESSATI DEFINITIV dir"/>
      <sheetName val="pivot NUOVI assunti fis san"/>
      <sheetName val="RIEPILOGO CESSATI FIS SAN"/>
      <sheetName val="riepilogo NUOVI assunti dipart"/>
      <sheetName val="CESSATI QUALIFICHE"/>
      <sheetName val="pivot assunti monitoraggio"/>
      <sheetName val="CESSATI monitoraggio"/>
      <sheetName val="pivot budget medv"/>
      <sheetName val="pivot budget medv 30giu2011"/>
      <sheetName val="pivot budget medv 30sett2011"/>
      <sheetName val="pivot budget medv 31dic2011"/>
      <sheetName val="pivot budget medv 31gen2012"/>
      <sheetName val="pivot budget medv 31marz2012"/>
      <sheetName val="pivot budget medv 30giu2012"/>
      <sheetName val="pivot budget medv 30sett2012"/>
      <sheetName val="pivot budget medv 31dic2012"/>
      <sheetName val="pivot budget medv 31marzo2013"/>
      <sheetName val="pivot budget medv 30giugno2013"/>
      <sheetName val="pivot budget medv 30sett.2013"/>
      <sheetName val="pivot budget medv 31dic.2013"/>
      <sheetName val="RIEPILOG NUOVI ASSUNTI dan"/>
      <sheetName val="RIEPILOGO CESSATI DEFINIT. dan"/>
      <sheetName val="RIEPILOG NUOVI ASSUNTI Nomi"/>
      <sheetName val="RIEPILOGO CESS. DEFINIT. Nomi"/>
      <sheetName val="RIEPILOGO ASS.-CESS. 2010Prof"/>
      <sheetName val="RIEPILOGO ASS.-CESS. 2010Nom"/>
      <sheetName val="RIEP. ASS.-CESS. 2010DetIndet"/>
      <sheetName val="RIEPILOGO CESS. DEFINIT. Motivo"/>
      <sheetName val="RIEP. AS.-CES. Mag-Dic2011Prof"/>
      <sheetName val="RIEP. AS.-CES. Lug-Dic2011TSLB"/>
      <sheetName val="RIEP. AS.-CES. Gen-Sett 2011TOT"/>
      <sheetName val="RIEP. AS.-CES. Ago-Sett 2011"/>
      <sheetName val="RIEP. AS.-CES. Ott-Dic 2011TOT"/>
      <sheetName val="RIEP. AS.-CES. Ott-Dic 2011 Nom"/>
      <sheetName val="RIEP. AS.-CES. Dic 2011TOT"/>
      <sheetName val="RIEP. AS.-CES. Dic 2011 Nom"/>
      <sheetName val="RIEP. AS.-CES. 2012 Tot"/>
      <sheetName val="RIEP. AS.-CES. 2012 Nom"/>
      <sheetName val="RIEP. AS.-CES. 1°sem2012 Tot"/>
      <sheetName val="RIEP. AS.-CES. 1°sem2012 Nom"/>
      <sheetName val="RIEP. AS.-CES. Gen-Sett2012 Tot"/>
      <sheetName val="RIEP. AS.-CES. Gen-Sett2012 Nom"/>
      <sheetName val="RIEP. Altri ASSUNTI 1°sem2012"/>
      <sheetName val="RIEP. AS.-CES. 31lug2012 Tot"/>
      <sheetName val="RIEP. AS.-CES. 31lug2012 Nom"/>
      <sheetName val="RIEP. AS.-CES. ago-dic 2012 Tot"/>
      <sheetName val="RIEP. AS.-CES. ago-dic2012 Nom"/>
      <sheetName val="RIEP. AS.-CES. ott-dic 2012 Tot"/>
      <sheetName val="RIEP. AS.-CES. ott-dic2012 Nom"/>
      <sheetName val="RIEP. AS.-CES. nov-dic 2012"/>
      <sheetName val="RIEP. AS.-CES. nov-dic2012 Nom"/>
      <sheetName val="RIEP. AS.-CES. 2°sem2012 Tot"/>
      <sheetName val="RIEP. AS.-CES. 2°sem2012 Nom"/>
      <sheetName val="RIEP. AS.-CES. anno2012 Tot"/>
      <sheetName val="RIEP. AS.-CES. anno2012 Nom"/>
      <sheetName val="RIEP. AS.-CES. 2°trim2012 Tot"/>
      <sheetName val="RIEP. AS.-CES. 2°trim2012 Nom"/>
      <sheetName val="RIEP.AS.-CES.2012InfMedOss "/>
      <sheetName val="RIEP. AS.-CES. 2011 Nom (2)"/>
      <sheetName val="RIEP. AS.-CES. 2011 Nom (3)"/>
      <sheetName val="piv. NUOV. Ass. Car.Ascot&gt;11giu"/>
      <sheetName val="RIEP. ASSUNTI Gen-Giu2011TOT"/>
      <sheetName val="PIVOT RIEPILOGO (2)"/>
      <sheetName val="INF. AS.-CES. Ago-Dic2011"/>
      <sheetName val="cessazioni amm ag-dic 2011 N"/>
      <sheetName val="AMM. AS.-CES. 2011TOT"/>
      <sheetName val="AMM. AS.-CES. 2012 Nom"/>
      <sheetName val="AMM. AS.-CES. 2011-12 Nom"/>
      <sheetName val="AMM. AS.-CES. 2011 Nom"/>
      <sheetName val="RIEP.CES. 2011 motivi"/>
      <sheetName val="RIEP. CESSATI DEFINITIVI 2012"/>
      <sheetName val="RIEP. TERM.INC.PROVV.  DIC 2011"/>
      <sheetName val="RIEP. TERM.INC.PROVV.  GEN 2012"/>
      <sheetName val="MOB. ASS.-CES. 2011"/>
      <sheetName val="RIEP. ASS.-CESS. 2010 Inf+Oss"/>
      <sheetName val="PIVOT CESSATI TFR 2011"/>
      <sheetName val="RIEP.CES.DEF.D.MED.giu.dic.2012"/>
      <sheetName val="PIVOT CESSATI D.L. n. 95-2012"/>
      <sheetName val="NUOVI Assunti Tutti"/>
      <sheetName val="AMM. AS.-CES. 2010-11-12 Nom"/>
      <sheetName val="AMM-DIR. AS.-CES. 2010-11-12Nom"/>
      <sheetName val="Tec-DIR. AS.-CES. 2010-11-12Nom"/>
      <sheetName val="RIEP. CES. per anno TOT"/>
      <sheetName val="RIEP. CES.  per anno NOM"/>
      <sheetName val="RIEP. AS.-CES. dic 2012"/>
      <sheetName val="RIEP. AS.-CES. Nom dic2012"/>
      <sheetName val="RIEP. AS.-CES. Nom2012Agnese"/>
      <sheetName val="RIEP. AS.-CES. 2013 generale"/>
      <sheetName val="RIEP. AS.-CES. 2013 nomin"/>
      <sheetName val="RIEP. AS.-CES. II Trim.2013 gen"/>
      <sheetName val="RIEP. AS.-CES. II Trim.2013 nom"/>
      <sheetName val="RIEP. AS.-CES. I Sem.2013 gen"/>
      <sheetName val="RIEP. AS.-CES. I Sem.2013 nom"/>
      <sheetName val="RIEP. AS.-CES. Gen-Set2013 gene"/>
      <sheetName val="RIEP. AS.-CES. Gen-Set2013 nom"/>
      <sheetName val="RIEP. AS.-CES. Dic2013 gene"/>
      <sheetName val="RIEP. AS.-CES. Dic2013nom"/>
      <sheetName val="RIEP. AS.-CES. Gen-Dic2014 gene"/>
      <sheetName val="RIEP. AS.-CES. Gen-Dic2014nom"/>
      <sheetName val="2013 Antonella"/>
      <sheetName val="2014 Antonella"/>
      <sheetName val="TURNOVER AS.-CES. 2012"/>
      <sheetName val="Assunti DiriMed.San 31mag13"/>
      <sheetName val="CESS. DEF.DIRMED.SAN 31mag13"/>
      <sheetName val="Riepilogo NEOASSUNTI 2012"/>
      <sheetName val="Riepilogo NEOASSUNTI 2013"/>
      <sheetName val="Riepilogo NEOASSUNTI 2014"/>
    </sheetNames>
    <sheetDataSet>
      <sheetData sheetId="0"/>
      <sheetData sheetId="1">
        <row r="3">
          <cell r="M3" t="str">
            <v>C=cessazione</v>
          </cell>
        </row>
        <row r="4">
          <cell r="M4" t="str">
            <v>NA=nuovo assunto</v>
          </cell>
        </row>
        <row r="5">
          <cell r="M5" t="str">
            <v>CPRO=cambio profilo</v>
          </cell>
        </row>
        <row r="6">
          <cell r="M6" t="str">
            <v>CCTR=cambio contratto</v>
          </cell>
        </row>
        <row r="7">
          <cell r="M7" t="str">
            <v>CCTRDO=Pass T.Det previsto DO a T.Indet</v>
          </cell>
        </row>
        <row r="8">
          <cell r="M8" t="str">
            <v>P=proroga</v>
          </cell>
        </row>
        <row r="9">
          <cell r="M9" t="str">
            <v>TMOB=trasferito per mobilità</v>
          </cell>
        </row>
        <row r="10">
          <cell r="M10" t="str">
            <v>PEV=Progressione Verticale</v>
          </cell>
        </row>
        <row r="11">
          <cell r="M11" t="str">
            <v>STAB=Stabilizzazione</v>
          </cell>
        </row>
        <row r="12">
          <cell r="M12" t="str">
            <v>RIC=Ricostituzione rapporto di lavoro</v>
          </cell>
        </row>
        <row r="13">
          <cell r="M13" t="str">
            <v>Trasferimento da AOU a DSC</v>
          </cell>
        </row>
        <row r="14">
          <cell r="M14" t="str">
            <v>Trasferimento da DSC a AOU</v>
          </cell>
        </row>
        <row r="15">
          <cell r="M15" t="str">
            <v>CPROV = cessazione provvisoria</v>
          </cell>
        </row>
        <row r="16">
          <cell r="M16" t="str">
            <v>CCTR CESS=cessazione contr.</v>
          </cell>
        </row>
        <row r="17">
          <cell r="M17" t="str">
            <v>CCTR DIR SOC=contr. Direttore</v>
          </cell>
        </row>
        <row r="18">
          <cell r="M18" t="str">
            <v>RA=rientro aspettativa p.p.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ma SP"/>
      <sheetName val="SP Min"/>
      <sheetName val="Alimentazione SP A"/>
      <sheetName val="Alimentazione SP P"/>
      <sheetName val="Schema CE"/>
      <sheetName val="CE Min"/>
      <sheetName val="Alimentazione CE Ricavi"/>
      <sheetName val="Alimentazione CE Costi"/>
      <sheetName val="Alimentazione Rag"/>
      <sheetName val="Rendiconto finanziario"/>
      <sheetName val="13 Contr."/>
      <sheetName val="14.a Ricavi infragruppo"/>
      <sheetName val="14.b Costi infragruppo "/>
      <sheetName val="racc. util costi ricavi Ri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65">
          <cell r="H465">
            <v>0</v>
          </cell>
          <cell r="J465">
            <v>0</v>
          </cell>
        </row>
        <row r="482">
          <cell r="H482">
            <v>0</v>
          </cell>
          <cell r="J482">
            <v>0</v>
          </cell>
        </row>
        <row r="497">
          <cell r="H497">
            <v>0</v>
          </cell>
          <cell r="J497">
            <v>0</v>
          </cell>
        </row>
        <row r="507">
          <cell r="H507">
            <v>0</v>
          </cell>
          <cell r="J507">
            <v>0</v>
          </cell>
        </row>
        <row r="520">
          <cell r="H520">
            <v>0</v>
          </cell>
          <cell r="J520">
            <v>0</v>
          </cell>
        </row>
        <row r="531">
          <cell r="H531">
            <v>0</v>
          </cell>
          <cell r="J531">
            <v>0</v>
          </cell>
        </row>
        <row r="544">
          <cell r="H544">
            <v>0</v>
          </cell>
          <cell r="J544">
            <v>0</v>
          </cell>
        </row>
        <row r="554">
          <cell r="H554">
            <v>0</v>
          </cell>
          <cell r="J554">
            <v>0</v>
          </cell>
        </row>
        <row r="567">
          <cell r="H567">
            <v>0</v>
          </cell>
          <cell r="J567">
            <v>0</v>
          </cell>
        </row>
        <row r="578">
          <cell r="H578">
            <v>0</v>
          </cell>
          <cell r="J578">
            <v>0</v>
          </cell>
        </row>
        <row r="591">
          <cell r="H591">
            <v>0</v>
          </cell>
          <cell r="J591">
            <v>0</v>
          </cell>
        </row>
        <row r="601">
          <cell r="J601">
            <v>0</v>
          </cell>
        </row>
        <row r="614">
          <cell r="H614">
            <v>0</v>
          </cell>
          <cell r="J614">
            <v>0</v>
          </cell>
        </row>
        <row r="625">
          <cell r="H625">
            <v>0</v>
          </cell>
          <cell r="J625">
            <v>0</v>
          </cell>
        </row>
        <row r="638">
          <cell r="H638">
            <v>0</v>
          </cell>
          <cell r="J638">
            <v>0</v>
          </cell>
        </row>
        <row r="648">
          <cell r="H648">
            <v>0</v>
          </cell>
          <cell r="J648">
            <v>0</v>
          </cell>
        </row>
        <row r="661">
          <cell r="H661">
            <v>0</v>
          </cell>
          <cell r="J661">
            <v>0</v>
          </cell>
        </row>
        <row r="672">
          <cell r="H672">
            <v>0</v>
          </cell>
          <cell r="J672">
            <v>0</v>
          </cell>
        </row>
        <row r="822">
          <cell r="H822">
            <v>0</v>
          </cell>
          <cell r="J822"/>
        </row>
        <row r="823">
          <cell r="H823">
            <v>0</v>
          </cell>
          <cell r="J823"/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  <sheetName val="Previsione_amm_ti3"/>
      <sheetName val="immobilizz_3"/>
      <sheetName val="Alim_C_E_3"/>
      <sheetName val="Alim_S_P_6"/>
      <sheetName val="Schema_C_E_3"/>
      <sheetName val="Schema_S_P_3"/>
      <sheetName val="Alim_S_P_7"/>
      <sheetName val="Alimentazione_CE012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1"/>
  <sheetViews>
    <sheetView zoomScaleNormal="100" workbookViewId="0">
      <pane xSplit="1" ySplit="2" topLeftCell="B3" activePane="bottomRight" state="frozen"/>
      <selection activeCell="K15" sqref="K15:K16"/>
      <selection pane="topRight" activeCell="K15" sqref="K15:K16"/>
      <selection pane="bottomLeft" activeCell="K15" sqref="K15:K16"/>
      <selection pane="bottomRight" activeCell="L17" sqref="L17"/>
    </sheetView>
  </sheetViews>
  <sheetFormatPr defaultColWidth="9.109375" defaultRowHeight="13.8"/>
  <cols>
    <col min="1" max="1" width="20.6640625" style="512" customWidth="1"/>
    <col min="2" max="2" width="14.44140625" style="510" customWidth="1"/>
    <col min="3" max="3" width="14.88671875" style="509" customWidth="1"/>
    <col min="4" max="4" width="16.33203125" style="509" customWidth="1"/>
    <col min="5" max="5" width="14.44140625" style="509" customWidth="1"/>
    <col min="6" max="6" width="14.6640625" style="509" customWidth="1"/>
    <col min="7" max="8" width="12.88671875" style="509" customWidth="1"/>
    <col min="9" max="9" width="13.33203125" style="509" customWidth="1"/>
    <col min="10" max="10" width="13.88671875" style="509" customWidth="1"/>
    <col min="11" max="11" width="18.33203125" style="509" customWidth="1"/>
    <col min="12" max="12" width="15" style="509" customWidth="1"/>
    <col min="13" max="13" width="12.88671875" style="509" bestFit="1" customWidth="1"/>
    <col min="14" max="14" width="17.88671875" style="509" customWidth="1"/>
    <col min="15" max="15" width="14" style="509" customWidth="1"/>
    <col min="16" max="16" width="16.44140625" style="509" customWidth="1"/>
    <col min="17" max="17" width="12.88671875" style="509" customWidth="1"/>
    <col min="18" max="18" width="11.33203125" style="509" customWidth="1"/>
    <col min="19" max="23" width="15.6640625" style="509" customWidth="1"/>
    <col min="24" max="24" width="10.88671875" style="509" customWidth="1"/>
    <col min="25" max="16384" width="9.109375" style="509"/>
  </cols>
  <sheetData>
    <row r="1" spans="1:16">
      <c r="B1" s="540"/>
      <c r="C1" s="1483" t="s">
        <v>2308</v>
      </c>
      <c r="D1" s="1484"/>
      <c r="E1" s="1484"/>
      <c r="F1" s="541"/>
      <c r="G1" s="542"/>
      <c r="H1" s="514"/>
    </row>
    <row r="2" spans="1:16" s="514" customFormat="1">
      <c r="B2" s="543" t="s">
        <v>2309</v>
      </c>
      <c r="C2" s="544">
        <v>2014</v>
      </c>
      <c r="D2" s="544" t="s">
        <v>2310</v>
      </c>
      <c r="E2" s="544" t="s">
        <v>2311</v>
      </c>
      <c r="F2" s="544" t="s">
        <v>2312</v>
      </c>
      <c r="G2" s="544" t="s">
        <v>2313</v>
      </c>
      <c r="H2" s="544" t="s">
        <v>2314</v>
      </c>
      <c r="I2" s="544" t="s">
        <v>2315</v>
      </c>
      <c r="J2" s="544" t="s">
        <v>2316</v>
      </c>
      <c r="K2" s="544" t="s">
        <v>2317</v>
      </c>
      <c r="L2" s="512"/>
    </row>
    <row r="3" spans="1:16" s="514" customFormat="1">
      <c r="A3" s="545" t="s">
        <v>2318</v>
      </c>
      <c r="B3" s="546"/>
      <c r="C3" s="546"/>
      <c r="D3" s="546"/>
      <c r="E3" s="546"/>
      <c r="F3" s="546">
        <v>1654525</v>
      </c>
      <c r="G3" s="546"/>
      <c r="H3" s="546"/>
      <c r="I3" s="546"/>
      <c r="J3" s="546"/>
      <c r="K3" s="547">
        <f t="shared" ref="K3:K23" si="0">SUM(B3:J3)</f>
        <v>1654525</v>
      </c>
      <c r="L3" s="512"/>
    </row>
    <row r="4" spans="1:16" s="514" customFormat="1">
      <c r="A4" s="545" t="s">
        <v>2319</v>
      </c>
      <c r="B4" s="548"/>
      <c r="C4" s="544"/>
      <c r="D4" s="544"/>
      <c r="E4" s="544"/>
      <c r="F4" s="544"/>
      <c r="G4" s="544"/>
      <c r="H4" s="544"/>
      <c r="I4" s="544"/>
      <c r="J4" s="544"/>
      <c r="K4" s="546">
        <f t="shared" si="0"/>
        <v>0</v>
      </c>
      <c r="L4" s="512"/>
    </row>
    <row r="5" spans="1:16">
      <c r="A5" s="545" t="s">
        <v>2185</v>
      </c>
      <c r="B5" s="546">
        <v>100000</v>
      </c>
      <c r="C5" s="546"/>
      <c r="D5" s="546">
        <v>50000</v>
      </c>
      <c r="E5" s="546"/>
      <c r="F5" s="546">
        <v>16000</v>
      </c>
      <c r="G5" s="546">
        <v>2500</v>
      </c>
      <c r="H5" s="546">
        <v>2000</v>
      </c>
      <c r="I5" s="546">
        <v>1000</v>
      </c>
      <c r="J5" s="546"/>
      <c r="K5" s="547">
        <f t="shared" si="0"/>
        <v>171500</v>
      </c>
      <c r="L5" s="517"/>
      <c r="M5" s="1485" t="s">
        <v>2320</v>
      </c>
      <c r="N5" s="1486"/>
      <c r="O5" s="1486"/>
      <c r="P5" s="1487"/>
    </row>
    <row r="6" spans="1:16">
      <c r="A6" s="545" t="s">
        <v>2188</v>
      </c>
      <c r="B6" s="546">
        <v>60000</v>
      </c>
      <c r="C6" s="546"/>
      <c r="D6" s="546"/>
      <c r="E6" s="546"/>
      <c r="F6" s="546">
        <v>46000</v>
      </c>
      <c r="G6" s="546"/>
      <c r="H6" s="546">
        <v>7500</v>
      </c>
      <c r="I6" s="546"/>
      <c r="J6" s="546"/>
      <c r="K6" s="547">
        <f t="shared" si="0"/>
        <v>113500</v>
      </c>
      <c r="L6" s="517"/>
      <c r="M6" s="549"/>
      <c r="N6" s="550"/>
      <c r="O6" s="550"/>
      <c r="P6" s="551"/>
    </row>
    <row r="7" spans="1:16">
      <c r="A7" s="545" t="s">
        <v>2321</v>
      </c>
      <c r="B7" s="546">
        <v>480000</v>
      </c>
      <c r="C7" s="546"/>
      <c r="D7" s="546">
        <v>110000</v>
      </c>
      <c r="E7" s="546"/>
      <c r="F7" s="546">
        <v>144693.4</v>
      </c>
      <c r="G7" s="546">
        <v>22000</v>
      </c>
      <c r="H7" s="546">
        <v>23000</v>
      </c>
      <c r="I7" s="546">
        <v>48000</v>
      </c>
      <c r="J7" s="546"/>
      <c r="K7" s="547">
        <f t="shared" si="0"/>
        <v>827693.4</v>
      </c>
      <c r="L7" s="517"/>
      <c r="M7" s="549"/>
      <c r="N7" s="550" t="s">
        <v>2322</v>
      </c>
      <c r="O7" s="550" t="s">
        <v>2323</v>
      </c>
      <c r="P7" s="551"/>
    </row>
    <row r="8" spans="1:16">
      <c r="A8" s="545" t="s">
        <v>2324</v>
      </c>
      <c r="B8" s="546"/>
      <c r="C8" s="546"/>
      <c r="D8" s="546"/>
      <c r="E8" s="546"/>
      <c r="F8" s="546"/>
      <c r="G8" s="546"/>
      <c r="H8" s="546"/>
      <c r="I8" s="546">
        <v>1000</v>
      </c>
      <c r="J8" s="546"/>
      <c r="K8" s="547">
        <f t="shared" si="0"/>
        <v>1000</v>
      </c>
      <c r="L8" s="517"/>
      <c r="M8" s="549"/>
      <c r="N8" s="550"/>
      <c r="O8" s="550"/>
      <c r="P8" s="551"/>
    </row>
    <row r="9" spans="1:16">
      <c r="A9" s="545" t="s">
        <v>2325</v>
      </c>
      <c r="B9" s="546">
        <v>50000</v>
      </c>
      <c r="C9" s="546"/>
      <c r="D9" s="546">
        <v>20000</v>
      </c>
      <c r="E9" s="546"/>
      <c r="F9" s="546">
        <v>28500</v>
      </c>
      <c r="G9" s="546">
        <v>3000</v>
      </c>
      <c r="H9" s="546"/>
      <c r="I9" s="546"/>
      <c r="J9" s="546"/>
      <c r="K9" s="547">
        <f t="shared" si="0"/>
        <v>101500</v>
      </c>
      <c r="L9" s="517"/>
      <c r="M9" s="552" t="s">
        <v>2326</v>
      </c>
      <c r="N9" s="553">
        <v>3376729.26</v>
      </c>
      <c r="O9" s="554"/>
      <c r="P9" s="555"/>
    </row>
    <row r="10" spans="1:16">
      <c r="A10" s="545" t="s">
        <v>2327</v>
      </c>
      <c r="B10" s="546"/>
      <c r="C10" s="546"/>
      <c r="D10" s="546"/>
      <c r="E10" s="546"/>
      <c r="F10" s="546"/>
      <c r="G10" s="546"/>
      <c r="H10" s="546"/>
      <c r="I10" s="546">
        <v>500</v>
      </c>
      <c r="J10" s="546"/>
      <c r="K10" s="547">
        <f t="shared" si="0"/>
        <v>500</v>
      </c>
      <c r="L10" s="517"/>
      <c r="M10" s="556" t="s">
        <v>2328</v>
      </c>
      <c r="N10" s="557">
        <v>123120</v>
      </c>
      <c r="O10" s="557"/>
      <c r="P10" s="555"/>
    </row>
    <row r="11" spans="1:16">
      <c r="A11" s="545" t="s">
        <v>2329</v>
      </c>
      <c r="B11" s="546">
        <v>260000</v>
      </c>
      <c r="C11" s="546"/>
      <c r="D11" s="546">
        <v>15000</v>
      </c>
      <c r="E11" s="546"/>
      <c r="F11" s="546">
        <v>32000</v>
      </c>
      <c r="G11" s="546">
        <v>132840</v>
      </c>
      <c r="H11" s="546">
        <v>42750</v>
      </c>
      <c r="I11" s="546">
        <v>16500</v>
      </c>
      <c r="J11" s="546"/>
      <c r="K11" s="547">
        <f t="shared" si="0"/>
        <v>499090</v>
      </c>
      <c r="L11" s="517"/>
      <c r="M11" s="549" t="s">
        <v>2330</v>
      </c>
      <c r="N11" s="550">
        <v>30000</v>
      </c>
      <c r="O11" s="550"/>
      <c r="P11" s="551"/>
    </row>
    <row r="12" spans="1:16">
      <c r="A12" s="545" t="s">
        <v>2331</v>
      </c>
      <c r="B12" s="546"/>
      <c r="C12" s="546">
        <v>144500</v>
      </c>
      <c r="D12" s="546"/>
      <c r="E12" s="546"/>
      <c r="F12" s="546"/>
      <c r="G12" s="546"/>
      <c r="H12" s="546">
        <v>20500</v>
      </c>
      <c r="I12" s="546"/>
      <c r="J12" s="546"/>
      <c r="K12" s="547">
        <f t="shared" si="0"/>
        <v>165000</v>
      </c>
      <c r="L12" s="517"/>
      <c r="M12" s="549" t="s">
        <v>2332</v>
      </c>
      <c r="N12" s="558">
        <v>153346.70000000001</v>
      </c>
      <c r="O12" s="550"/>
      <c r="P12" s="559"/>
    </row>
    <row r="13" spans="1:16">
      <c r="A13" s="545" t="s">
        <v>2333</v>
      </c>
      <c r="B13" s="546"/>
      <c r="C13" s="546"/>
      <c r="D13" s="546"/>
      <c r="E13" s="546"/>
      <c r="F13" s="546"/>
      <c r="G13" s="546"/>
      <c r="H13" s="546"/>
      <c r="I13" s="546"/>
      <c r="J13" s="546"/>
      <c r="K13" s="546">
        <f t="shared" si="0"/>
        <v>0</v>
      </c>
      <c r="L13" s="517"/>
      <c r="M13" s="549" t="s">
        <v>2334</v>
      </c>
      <c r="N13" s="560">
        <f>+N9-N10-N11-N12</f>
        <v>3070262.5599999996</v>
      </c>
      <c r="O13" s="550"/>
      <c r="P13" s="561"/>
    </row>
    <row r="14" spans="1:16">
      <c r="A14" s="545" t="s">
        <v>2335</v>
      </c>
      <c r="B14" s="546">
        <v>200000</v>
      </c>
      <c r="C14" s="546"/>
      <c r="D14" s="546"/>
      <c r="E14" s="546"/>
      <c r="F14" s="546"/>
      <c r="G14" s="546"/>
      <c r="H14" s="546"/>
      <c r="I14" s="546"/>
      <c r="J14" s="546"/>
      <c r="K14" s="547">
        <f t="shared" si="0"/>
        <v>200000</v>
      </c>
      <c r="L14" s="517"/>
      <c r="M14" s="556" t="s">
        <v>2336</v>
      </c>
      <c r="N14" s="562">
        <f>+N13*N15</f>
        <v>2456210.048</v>
      </c>
      <c r="O14" s="557"/>
      <c r="P14" s="555"/>
    </row>
    <row r="15" spans="1:16">
      <c r="A15" s="545" t="s">
        <v>2337</v>
      </c>
      <c r="B15" s="546">
        <v>425000</v>
      </c>
      <c r="C15" s="546">
        <v>56000</v>
      </c>
      <c r="D15" s="546">
        <v>160000</v>
      </c>
      <c r="E15" s="546">
        <v>22000</v>
      </c>
      <c r="F15" s="546">
        <v>78800</v>
      </c>
      <c r="G15" s="546">
        <v>125790</v>
      </c>
      <c r="H15" s="546">
        <v>8500</v>
      </c>
      <c r="I15" s="546">
        <v>165800</v>
      </c>
      <c r="J15" s="546"/>
      <c r="K15" s="547">
        <f t="shared" si="0"/>
        <v>1041890</v>
      </c>
      <c r="L15" s="517"/>
      <c r="M15" s="563"/>
      <c r="N15" s="564">
        <v>0.8</v>
      </c>
      <c r="O15" s="565"/>
      <c r="P15" s="566"/>
    </row>
    <row r="16" spans="1:16">
      <c r="A16" s="545" t="s">
        <v>2338</v>
      </c>
      <c r="B16" s="546">
        <v>200000</v>
      </c>
      <c r="C16" s="546">
        <v>22500</v>
      </c>
      <c r="D16" s="546">
        <v>45000</v>
      </c>
      <c r="E16" s="546"/>
      <c r="F16" s="546">
        <v>85000</v>
      </c>
      <c r="G16" s="546">
        <v>112905</v>
      </c>
      <c r="H16" s="546">
        <v>29500</v>
      </c>
      <c r="I16" s="546"/>
      <c r="J16" s="546"/>
      <c r="K16" s="547">
        <f t="shared" si="0"/>
        <v>494905</v>
      </c>
      <c r="L16" s="517"/>
    </row>
    <row r="17" spans="1:15">
      <c r="A17" s="545" t="s">
        <v>2339</v>
      </c>
      <c r="B17" s="546">
        <v>80000</v>
      </c>
      <c r="C17" s="546">
        <v>5000</v>
      </c>
      <c r="D17" s="546">
        <v>20000</v>
      </c>
      <c r="E17" s="546"/>
      <c r="F17" s="546">
        <v>40750</v>
      </c>
      <c r="G17" s="546">
        <v>2400</v>
      </c>
      <c r="H17" s="546">
        <v>11867</v>
      </c>
      <c r="I17" s="546">
        <v>33700</v>
      </c>
      <c r="J17" s="546"/>
      <c r="K17" s="547">
        <f t="shared" si="0"/>
        <v>193717</v>
      </c>
      <c r="L17" s="517"/>
      <c r="M17" s="515"/>
    </row>
    <row r="18" spans="1:15">
      <c r="A18" s="545" t="s">
        <v>2340</v>
      </c>
      <c r="B18" s="546">
        <v>33000</v>
      </c>
      <c r="C18" s="546"/>
      <c r="D18" s="546"/>
      <c r="E18" s="546"/>
      <c r="F18" s="546"/>
      <c r="G18" s="546"/>
      <c r="H18" s="546"/>
      <c r="I18" s="546">
        <v>33000</v>
      </c>
      <c r="J18" s="546"/>
      <c r="K18" s="547">
        <f t="shared" si="0"/>
        <v>66000</v>
      </c>
      <c r="L18" s="517"/>
      <c r="M18" s="515"/>
      <c r="N18" s="510">
        <v>1063148.05</v>
      </c>
      <c r="O18" s="509" t="s">
        <v>2341</v>
      </c>
    </row>
    <row r="19" spans="1:15">
      <c r="A19" s="545" t="s">
        <v>2342</v>
      </c>
      <c r="B19" s="546">
        <v>1000</v>
      </c>
      <c r="C19" s="546"/>
      <c r="D19" s="546"/>
      <c r="E19" s="546"/>
      <c r="F19" s="546">
        <v>6000</v>
      </c>
      <c r="G19" s="546"/>
      <c r="H19" s="546"/>
      <c r="I19" s="546"/>
      <c r="J19" s="546"/>
      <c r="K19" s="547">
        <f t="shared" si="0"/>
        <v>7000</v>
      </c>
      <c r="L19" s="517"/>
      <c r="M19" s="515"/>
      <c r="N19" s="510"/>
    </row>
    <row r="20" spans="1:15">
      <c r="A20" s="545" t="s">
        <v>2343</v>
      </c>
      <c r="B20" s="546">
        <v>350000</v>
      </c>
      <c r="C20" s="546"/>
      <c r="D20" s="546"/>
      <c r="E20" s="546"/>
      <c r="F20" s="546">
        <v>200</v>
      </c>
      <c r="G20" s="546">
        <v>3900</v>
      </c>
      <c r="H20" s="546"/>
      <c r="I20" s="546"/>
      <c r="J20" s="546"/>
      <c r="K20" s="547">
        <f t="shared" si="0"/>
        <v>354100</v>
      </c>
      <c r="L20" s="517"/>
      <c r="M20" s="515"/>
    </row>
    <row r="21" spans="1:15">
      <c r="A21" s="545" t="s">
        <v>2344</v>
      </c>
      <c r="B21" s="546">
        <v>1000</v>
      </c>
      <c r="C21" s="546"/>
      <c r="D21" s="546"/>
      <c r="E21" s="546"/>
      <c r="F21" s="546">
        <v>1000</v>
      </c>
      <c r="G21" s="546"/>
      <c r="H21" s="546"/>
      <c r="I21" s="546">
        <v>1000</v>
      </c>
      <c r="J21" s="546"/>
      <c r="K21" s="547">
        <f t="shared" si="0"/>
        <v>3000</v>
      </c>
      <c r="L21" s="517" t="s">
        <v>2345</v>
      </c>
      <c r="M21" s="515"/>
    </row>
    <row r="22" spans="1:15">
      <c r="A22" s="545" t="s">
        <v>2346</v>
      </c>
      <c r="B22" s="546">
        <v>40000</v>
      </c>
      <c r="C22" s="546"/>
      <c r="D22" s="546"/>
      <c r="E22" s="546"/>
      <c r="F22" s="546"/>
      <c r="G22" s="546"/>
      <c r="H22" s="546"/>
      <c r="I22" s="546"/>
      <c r="J22" s="546"/>
      <c r="K22" s="547">
        <f t="shared" si="0"/>
        <v>40000</v>
      </c>
      <c r="L22" s="517"/>
      <c r="M22" s="515"/>
    </row>
    <row r="23" spans="1:15">
      <c r="A23" s="545" t="s">
        <v>2347</v>
      </c>
      <c r="B23" s="546">
        <v>50000</v>
      </c>
      <c r="C23" s="546"/>
      <c r="D23" s="546">
        <v>20000</v>
      </c>
      <c r="E23" s="546"/>
      <c r="F23" s="546">
        <f>641000</f>
        <v>641000</v>
      </c>
      <c r="G23" s="546">
        <f>87000+20000</f>
        <v>107000</v>
      </c>
      <c r="H23" s="546">
        <v>224532</v>
      </c>
      <c r="I23" s="546"/>
      <c r="J23" s="546"/>
      <c r="K23" s="546">
        <f t="shared" si="0"/>
        <v>1042532</v>
      </c>
      <c r="L23" s="567"/>
      <c r="M23" s="515"/>
    </row>
    <row r="24" spans="1:15" s="512" customFormat="1">
      <c r="A24" s="512" t="s">
        <v>2348</v>
      </c>
      <c r="B24" s="568">
        <f>SUM(B3:B23)</f>
        <v>2330000</v>
      </c>
      <c r="C24" s="568">
        <f t="shared" ref="C24:J24" si="1">SUM(C3:C23)</f>
        <v>228000</v>
      </c>
      <c r="D24" s="568">
        <f t="shared" si="1"/>
        <v>440000</v>
      </c>
      <c r="E24" s="568">
        <f t="shared" si="1"/>
        <v>22000</v>
      </c>
      <c r="F24" s="568">
        <f t="shared" si="1"/>
        <v>2774468.4</v>
      </c>
      <c r="G24" s="568">
        <f t="shared" si="1"/>
        <v>512335</v>
      </c>
      <c r="H24" s="568">
        <f t="shared" si="1"/>
        <v>370149</v>
      </c>
      <c r="I24" s="568">
        <f t="shared" si="1"/>
        <v>300500</v>
      </c>
      <c r="J24" s="568">
        <f t="shared" si="1"/>
        <v>0</v>
      </c>
      <c r="K24" s="568">
        <f>SUM(K3:K23)</f>
        <v>6977452.4000000004</v>
      </c>
      <c r="L24" s="568"/>
      <c r="M24" s="568"/>
    </row>
    <row r="25" spans="1:15" s="512" customFormat="1">
      <c r="B25" s="568"/>
      <c r="C25" s="568"/>
      <c r="D25" s="568"/>
      <c r="E25" s="568"/>
      <c r="F25" s="568"/>
      <c r="G25" s="568"/>
      <c r="H25" s="568"/>
      <c r="I25" s="568"/>
      <c r="J25" s="568"/>
      <c r="K25" s="568"/>
      <c r="L25" s="568"/>
      <c r="M25" s="568"/>
      <c r="N25" s="568"/>
    </row>
    <row r="26" spans="1:15" s="512" customFormat="1">
      <c r="A26" s="512" t="s">
        <v>2349</v>
      </c>
      <c r="B26" s="569"/>
      <c r="C26" s="570"/>
      <c r="D26" s="570"/>
      <c r="E26" s="570"/>
      <c r="F26" s="570"/>
      <c r="G26" s="569"/>
      <c r="H26" s="570"/>
      <c r="I26" s="570"/>
      <c r="J26" s="569"/>
      <c r="K26" s="570">
        <f>SUM(B26:J26)</f>
        <v>0</v>
      </c>
      <c r="L26" s="1488">
        <f>SUM(K26:K27)</f>
        <v>249187.41</v>
      </c>
      <c r="M26" s="568" t="s">
        <v>2350</v>
      </c>
    </row>
    <row r="27" spans="1:15">
      <c r="A27" s="512" t="s">
        <v>2351</v>
      </c>
      <c r="B27" s="569">
        <v>248887.41</v>
      </c>
      <c r="C27" s="569"/>
      <c r="D27" s="569"/>
      <c r="E27" s="569"/>
      <c r="F27" s="569"/>
      <c r="G27" s="569">
        <v>300</v>
      </c>
      <c r="H27" s="569"/>
      <c r="I27" s="569"/>
      <c r="J27" s="569"/>
      <c r="K27" s="570">
        <f>SUM(B27:J27)</f>
        <v>249187.41</v>
      </c>
      <c r="L27" s="1488"/>
      <c r="M27" s="515"/>
      <c r="N27" s="571"/>
    </row>
    <row r="28" spans="1:15">
      <c r="A28" s="512" t="s">
        <v>2348</v>
      </c>
      <c r="B28" s="570">
        <f>+B24</f>
        <v>2330000</v>
      </c>
      <c r="C28" s="570">
        <f>SUM(C24:C27)</f>
        <v>228000</v>
      </c>
      <c r="D28" s="570">
        <f t="shared" ref="D28:J28" si="2">SUM(D24:D27)</f>
        <v>440000</v>
      </c>
      <c r="E28" s="570">
        <f t="shared" si="2"/>
        <v>22000</v>
      </c>
      <c r="F28" s="570">
        <f>SUM(F24:F27)</f>
        <v>2774468.4</v>
      </c>
      <c r="G28" s="570">
        <f>SUM(G24:G27)-300</f>
        <v>512335</v>
      </c>
      <c r="H28" s="570">
        <f t="shared" si="2"/>
        <v>370149</v>
      </c>
      <c r="I28" s="570">
        <f t="shared" si="2"/>
        <v>300500</v>
      </c>
      <c r="J28" s="570">
        <f t="shared" si="2"/>
        <v>0</v>
      </c>
      <c r="K28" s="570">
        <f>SUM(B28:J28)</f>
        <v>6977452.4000000004</v>
      </c>
      <c r="L28" s="515"/>
      <c r="M28" s="515"/>
    </row>
    <row r="29" spans="1:15">
      <c r="A29" s="512" t="s">
        <v>2352</v>
      </c>
      <c r="B29" s="570"/>
      <c r="C29" s="572"/>
      <c r="D29" s="572"/>
      <c r="E29" s="572"/>
      <c r="F29" s="570"/>
      <c r="G29" s="572"/>
      <c r="H29" s="572"/>
      <c r="I29" s="572"/>
      <c r="J29" s="572"/>
      <c r="K29" s="570">
        <f>SUM(B29:J29)</f>
        <v>0</v>
      </c>
    </row>
    <row r="30" spans="1:15">
      <c r="A30" s="512" t="s">
        <v>2353</v>
      </c>
      <c r="B30" s="570">
        <f>SUM(B27:B29)</f>
        <v>2578887.41</v>
      </c>
      <c r="C30" s="570">
        <f t="shared" ref="C30:J30" si="3">SUM(C27:C29)</f>
        <v>228000</v>
      </c>
      <c r="D30" s="570">
        <f t="shared" si="3"/>
        <v>440000</v>
      </c>
      <c r="E30" s="570">
        <f t="shared" si="3"/>
        <v>22000</v>
      </c>
      <c r="F30" s="570">
        <f>SUM(F27:F29)</f>
        <v>2774468.4</v>
      </c>
      <c r="G30" s="570">
        <f t="shared" si="3"/>
        <v>512635</v>
      </c>
      <c r="H30" s="570">
        <f t="shared" si="3"/>
        <v>370149</v>
      </c>
      <c r="I30" s="570">
        <f t="shared" si="3"/>
        <v>300500</v>
      </c>
      <c r="J30" s="570">
        <f t="shared" si="3"/>
        <v>0</v>
      </c>
      <c r="K30" s="570">
        <f>SUM(K27:K29)</f>
        <v>7226639.8100000005</v>
      </c>
      <c r="L30" s="568"/>
      <c r="M30" s="573"/>
    </row>
    <row r="31" spans="1:15">
      <c r="A31" s="512" t="s">
        <v>2354</v>
      </c>
      <c r="B31" s="570"/>
      <c r="C31" s="570"/>
      <c r="D31" s="570"/>
      <c r="E31" s="570"/>
      <c r="F31" s="570">
        <v>335506</v>
      </c>
      <c r="G31" s="569"/>
      <c r="H31" s="569"/>
      <c r="I31" s="569">
        <v>10500</v>
      </c>
      <c r="J31" s="569">
        <v>100000</v>
      </c>
      <c r="K31" s="570">
        <f>SUM(B31:J31)</f>
        <v>446006</v>
      </c>
      <c r="L31" s="515"/>
      <c r="M31" s="515"/>
    </row>
    <row r="32" spans="1:15">
      <c r="A32" s="514" t="s">
        <v>2355</v>
      </c>
      <c r="B32" s="513"/>
      <c r="G32" s="516"/>
      <c r="H32" s="516"/>
      <c r="I32" s="516"/>
      <c r="M32" s="573"/>
    </row>
    <row r="33" spans="1:23" ht="32.25" customHeight="1">
      <c r="A33" s="574" t="s">
        <v>2319</v>
      </c>
      <c r="B33" s="574" t="s">
        <v>2185</v>
      </c>
      <c r="C33" s="574" t="s">
        <v>2188</v>
      </c>
      <c r="D33" s="574" t="s">
        <v>2321</v>
      </c>
      <c r="E33" s="574" t="s">
        <v>2324</v>
      </c>
      <c r="F33" s="574" t="s">
        <v>2356</v>
      </c>
      <c r="G33" s="574" t="s">
        <v>2357</v>
      </c>
      <c r="H33" s="574" t="s">
        <v>2358</v>
      </c>
      <c r="I33" s="574" t="s">
        <v>2359</v>
      </c>
      <c r="J33" s="574" t="s">
        <v>1074</v>
      </c>
      <c r="K33" s="574" t="s">
        <v>2360</v>
      </c>
      <c r="L33" s="574" t="s">
        <v>2361</v>
      </c>
      <c r="M33" s="574" t="s">
        <v>2362</v>
      </c>
      <c r="N33" s="574" t="s">
        <v>2363</v>
      </c>
      <c r="O33" s="574" t="s">
        <v>2364</v>
      </c>
      <c r="P33" s="574" t="s">
        <v>2365</v>
      </c>
      <c r="Q33" s="574" t="s">
        <v>2340</v>
      </c>
      <c r="R33" s="575" t="s">
        <v>2366</v>
      </c>
      <c r="S33" s="574" t="s">
        <v>1009</v>
      </c>
      <c r="T33" s="574" t="s">
        <v>2367</v>
      </c>
      <c r="U33" s="574" t="s">
        <v>875</v>
      </c>
      <c r="V33" s="574" t="s">
        <v>2368</v>
      </c>
    </row>
    <row r="34" spans="1:23" s="506" customFormat="1" ht="43.5" customHeight="1">
      <c r="A34" s="576" t="s">
        <v>2369</v>
      </c>
      <c r="B34" s="576" t="s">
        <v>2370</v>
      </c>
      <c r="C34" s="576" t="s">
        <v>2371</v>
      </c>
      <c r="D34" s="576" t="s">
        <v>2372</v>
      </c>
      <c r="E34" s="576" t="s">
        <v>2373</v>
      </c>
      <c r="F34" s="576" t="s">
        <v>2374</v>
      </c>
      <c r="G34" s="576"/>
      <c r="H34" s="576" t="s">
        <v>2375</v>
      </c>
      <c r="I34" s="576" t="s">
        <v>2376</v>
      </c>
      <c r="J34" s="576" t="s">
        <v>2377</v>
      </c>
      <c r="K34" s="576" t="s">
        <v>2378</v>
      </c>
      <c r="L34" s="576" t="s">
        <v>2379</v>
      </c>
      <c r="M34" s="576" t="s">
        <v>2380</v>
      </c>
      <c r="N34" s="576" t="s">
        <v>2381</v>
      </c>
      <c r="O34" s="576" t="s">
        <v>2382</v>
      </c>
      <c r="P34" s="576" t="s">
        <v>2383</v>
      </c>
      <c r="Q34" s="576" t="s">
        <v>2384</v>
      </c>
      <c r="R34" s="577" t="s">
        <v>2385</v>
      </c>
      <c r="S34" s="576" t="s">
        <v>2386</v>
      </c>
      <c r="T34" s="576" t="s">
        <v>2387</v>
      </c>
      <c r="U34" s="576" t="s">
        <v>2388</v>
      </c>
      <c r="V34" s="576" t="s">
        <v>2389</v>
      </c>
      <c r="W34" s="576" t="s">
        <v>2390</v>
      </c>
    </row>
    <row r="35" spans="1:23">
      <c r="A35" s="578">
        <f>+K4</f>
        <v>0</v>
      </c>
      <c r="B35" s="572"/>
      <c r="C35" s="579"/>
      <c r="D35" s="578"/>
      <c r="E35" s="578"/>
      <c r="F35" s="569"/>
      <c r="G35" s="580"/>
      <c r="H35" s="580"/>
      <c r="I35" s="578"/>
      <c r="J35" s="569"/>
      <c r="K35" s="569"/>
      <c r="L35" s="569"/>
      <c r="M35" s="569"/>
      <c r="N35" s="569"/>
      <c r="O35" s="581"/>
      <c r="P35" s="569"/>
      <c r="Q35" s="569"/>
      <c r="R35" s="572"/>
      <c r="S35" s="569"/>
      <c r="T35" s="569"/>
      <c r="U35" s="569"/>
      <c r="V35" s="569"/>
      <c r="W35" s="546">
        <f t="shared" ref="W35:W55" si="4">SUM(A35:V35)</f>
        <v>0</v>
      </c>
    </row>
    <row r="36" spans="1:23">
      <c r="A36" s="569"/>
      <c r="B36" s="578">
        <f>+K5</f>
        <v>171500</v>
      </c>
      <c r="C36" s="546"/>
      <c r="D36" s="569"/>
      <c r="E36" s="569"/>
      <c r="F36" s="578"/>
      <c r="G36" s="582"/>
      <c r="H36" s="582"/>
      <c r="I36" s="569"/>
      <c r="J36" s="569"/>
      <c r="K36" s="569"/>
      <c r="L36" s="569"/>
      <c r="M36" s="569"/>
      <c r="N36" s="569"/>
      <c r="O36" s="581"/>
      <c r="P36" s="569"/>
      <c r="Q36" s="569"/>
      <c r="R36" s="572"/>
      <c r="S36" s="569"/>
      <c r="T36" s="569"/>
      <c r="U36" s="578"/>
      <c r="V36" s="569"/>
      <c r="W36" s="546">
        <f t="shared" si="4"/>
        <v>171500</v>
      </c>
    </row>
    <row r="37" spans="1:23">
      <c r="A37" s="569"/>
      <c r="B37" s="569"/>
      <c r="C37" s="546">
        <f>+K6</f>
        <v>113500</v>
      </c>
      <c r="D37" s="569"/>
      <c r="E37" s="569"/>
      <c r="F37" s="569"/>
      <c r="G37" s="580"/>
      <c r="H37" s="580"/>
      <c r="I37" s="569"/>
      <c r="J37" s="569"/>
      <c r="K37" s="569"/>
      <c r="L37" s="572"/>
      <c r="M37" s="572"/>
      <c r="N37" s="569"/>
      <c r="O37" s="581"/>
      <c r="P37" s="569"/>
      <c r="Q37" s="569"/>
      <c r="R37" s="572"/>
      <c r="S37" s="569"/>
      <c r="T37" s="569"/>
      <c r="U37" s="569"/>
      <c r="V37" s="569"/>
      <c r="W37" s="546">
        <f t="shared" si="4"/>
        <v>113500</v>
      </c>
    </row>
    <row r="38" spans="1:23">
      <c r="A38" s="569"/>
      <c r="B38" s="569"/>
      <c r="C38" s="546"/>
      <c r="D38" s="569">
        <f>+K7</f>
        <v>827693.4</v>
      </c>
      <c r="E38" s="569"/>
      <c r="F38" s="569"/>
      <c r="G38" s="580"/>
      <c r="H38" s="580"/>
      <c r="I38" s="569"/>
      <c r="J38" s="569"/>
      <c r="K38" s="569"/>
      <c r="L38" s="569"/>
      <c r="M38" s="569"/>
      <c r="N38" s="569"/>
      <c r="O38" s="581"/>
      <c r="P38" s="569"/>
      <c r="Q38" s="569"/>
      <c r="R38" s="572"/>
      <c r="S38" s="569"/>
      <c r="T38" s="569"/>
      <c r="U38" s="569"/>
      <c r="V38" s="569"/>
      <c r="W38" s="546">
        <f t="shared" si="4"/>
        <v>827693.4</v>
      </c>
    </row>
    <row r="39" spans="1:23">
      <c r="A39" s="569"/>
      <c r="B39" s="569"/>
      <c r="C39" s="546"/>
      <c r="D39" s="569"/>
      <c r="E39" s="569">
        <f>+K8</f>
        <v>1000</v>
      </c>
      <c r="F39" s="569"/>
      <c r="G39" s="580"/>
      <c r="H39" s="580"/>
      <c r="I39" s="569"/>
      <c r="J39" s="569"/>
      <c r="K39" s="569"/>
      <c r="L39" s="569"/>
      <c r="M39" s="569"/>
      <c r="N39" s="569"/>
      <c r="O39" s="581"/>
      <c r="P39" s="569"/>
      <c r="Q39" s="569"/>
      <c r="R39" s="572"/>
      <c r="S39" s="569"/>
      <c r="T39" s="569"/>
      <c r="U39" s="569"/>
      <c r="V39" s="569"/>
      <c r="W39" s="546">
        <f t="shared" si="4"/>
        <v>1000</v>
      </c>
    </row>
    <row r="40" spans="1:23">
      <c r="A40" s="546"/>
      <c r="B40" s="546"/>
      <c r="C40" s="546"/>
      <c r="D40" s="546"/>
      <c r="E40" s="546"/>
      <c r="F40" s="546">
        <f>+K9</f>
        <v>101500</v>
      </c>
      <c r="G40" s="583"/>
      <c r="H40" s="583"/>
      <c r="I40" s="546"/>
      <c r="J40" s="546"/>
      <c r="K40" s="546"/>
      <c r="L40" s="546"/>
      <c r="M40" s="546"/>
      <c r="N40" s="546"/>
      <c r="O40" s="584"/>
      <c r="P40" s="546"/>
      <c r="Q40" s="546"/>
      <c r="R40" s="572"/>
      <c r="S40" s="546"/>
      <c r="T40" s="546"/>
      <c r="U40" s="546"/>
      <c r="V40" s="546"/>
      <c r="W40" s="546">
        <f t="shared" si="4"/>
        <v>101500</v>
      </c>
    </row>
    <row r="41" spans="1:23">
      <c r="A41" s="546"/>
      <c r="B41" s="546"/>
      <c r="C41" s="546"/>
      <c r="D41" s="546"/>
      <c r="E41" s="546"/>
      <c r="F41" s="546"/>
      <c r="G41" s="583">
        <f>+K10</f>
        <v>500</v>
      </c>
      <c r="H41" s="583"/>
      <c r="I41" s="546"/>
      <c r="J41" s="546"/>
      <c r="K41" s="546"/>
      <c r="L41" s="546"/>
      <c r="M41" s="546"/>
      <c r="N41" s="546"/>
      <c r="O41" s="584"/>
      <c r="P41" s="546"/>
      <c r="Q41" s="546"/>
      <c r="R41" s="572"/>
      <c r="S41" s="546"/>
      <c r="T41" s="546"/>
      <c r="U41" s="546"/>
      <c r="V41" s="546"/>
      <c r="W41" s="546">
        <f t="shared" si="4"/>
        <v>500</v>
      </c>
    </row>
    <row r="42" spans="1:23">
      <c r="A42" s="546"/>
      <c r="B42" s="546"/>
      <c r="C42" s="546"/>
      <c r="D42" s="546"/>
      <c r="E42" s="546"/>
      <c r="F42" s="546"/>
      <c r="G42" s="583"/>
      <c r="H42" s="583">
        <f>+K11</f>
        <v>499090</v>
      </c>
      <c r="I42" s="546"/>
      <c r="J42" s="546"/>
      <c r="K42" s="546"/>
      <c r="L42" s="546"/>
      <c r="M42" s="546"/>
      <c r="N42" s="546"/>
      <c r="O42" s="584"/>
      <c r="P42" s="546"/>
      <c r="Q42" s="546"/>
      <c r="R42" s="572"/>
      <c r="S42" s="546"/>
      <c r="T42" s="546"/>
      <c r="U42" s="546"/>
      <c r="V42" s="546"/>
      <c r="W42" s="546">
        <f t="shared" si="4"/>
        <v>499090</v>
      </c>
    </row>
    <row r="43" spans="1:23">
      <c r="A43" s="546"/>
      <c r="B43" s="546"/>
      <c r="C43" s="546"/>
      <c r="D43" s="546"/>
      <c r="E43" s="546"/>
      <c r="F43" s="546"/>
      <c r="G43" s="583"/>
      <c r="H43" s="583"/>
      <c r="I43" s="585">
        <f>+K12</f>
        <v>165000</v>
      </c>
      <c r="J43" s="546"/>
      <c r="K43" s="546"/>
      <c r="L43" s="546"/>
      <c r="M43" s="546"/>
      <c r="N43" s="546"/>
      <c r="O43" s="584"/>
      <c r="P43" s="546"/>
      <c r="Q43" s="546"/>
      <c r="R43" s="572"/>
      <c r="S43" s="546"/>
      <c r="T43" s="546"/>
      <c r="U43" s="546"/>
      <c r="V43" s="546"/>
      <c r="W43" s="546">
        <f t="shared" si="4"/>
        <v>165000</v>
      </c>
    </row>
    <row r="44" spans="1:23">
      <c r="A44" s="546"/>
      <c r="B44" s="546"/>
      <c r="C44" s="546"/>
      <c r="D44" s="546"/>
      <c r="E44" s="546"/>
      <c r="F44" s="546"/>
      <c r="G44" s="583"/>
      <c r="H44" s="583"/>
      <c r="I44" s="546"/>
      <c r="J44" s="546">
        <f>+K13</f>
        <v>0</v>
      </c>
      <c r="K44" s="546"/>
      <c r="L44" s="546"/>
      <c r="M44" s="546"/>
      <c r="N44" s="546"/>
      <c r="O44" s="584"/>
      <c r="P44" s="546"/>
      <c r="Q44" s="546"/>
      <c r="R44" s="572"/>
      <c r="S44" s="546"/>
      <c r="T44" s="546"/>
      <c r="U44" s="546"/>
      <c r="V44" s="546"/>
      <c r="W44" s="546">
        <f t="shared" si="4"/>
        <v>0</v>
      </c>
    </row>
    <row r="45" spans="1:23">
      <c r="A45" s="546"/>
      <c r="B45" s="546"/>
      <c r="C45" s="546"/>
      <c r="D45" s="546"/>
      <c r="E45" s="546"/>
      <c r="F45" s="546"/>
      <c r="G45" s="583"/>
      <c r="H45" s="583"/>
      <c r="I45" s="546"/>
      <c r="J45" s="546"/>
      <c r="K45" s="546">
        <f>+K14</f>
        <v>200000</v>
      </c>
      <c r="L45" s="546"/>
      <c r="M45" s="546"/>
      <c r="N45" s="546"/>
      <c r="O45" s="584"/>
      <c r="P45" s="546"/>
      <c r="Q45" s="546"/>
      <c r="R45" s="572"/>
      <c r="S45" s="546"/>
      <c r="T45" s="546"/>
      <c r="U45" s="546"/>
      <c r="V45" s="546"/>
      <c r="W45" s="546">
        <f t="shared" si="4"/>
        <v>200000</v>
      </c>
    </row>
    <row r="46" spans="1:23">
      <c r="A46" s="546"/>
      <c r="B46" s="546"/>
      <c r="C46" s="546"/>
      <c r="D46" s="546"/>
      <c r="E46" s="546"/>
      <c r="F46" s="546"/>
      <c r="G46" s="583"/>
      <c r="H46" s="583"/>
      <c r="I46" s="546"/>
      <c r="J46" s="546"/>
      <c r="K46" s="546"/>
      <c r="L46" s="569">
        <f>+B61+A61</f>
        <v>388875</v>
      </c>
      <c r="M46" s="546"/>
      <c r="N46" s="546"/>
      <c r="O46" s="584"/>
      <c r="P46" s="546"/>
      <c r="Q46" s="546"/>
      <c r="R46" s="586"/>
      <c r="S46" s="546"/>
      <c r="T46" s="546"/>
      <c r="U46" s="546"/>
      <c r="V46" s="546">
        <f>+C61</f>
        <v>36125</v>
      </c>
      <c r="W46" s="546">
        <f t="shared" si="4"/>
        <v>425000</v>
      </c>
    </row>
    <row r="47" spans="1:23">
      <c r="A47" s="546"/>
      <c r="B47" s="546"/>
      <c r="C47" s="546"/>
      <c r="D47" s="546"/>
      <c r="E47" s="546"/>
      <c r="F47" s="546"/>
      <c r="G47" s="546"/>
      <c r="H47" s="546"/>
      <c r="I47" s="546"/>
      <c r="J47" s="546"/>
      <c r="K47" s="546"/>
      <c r="L47" s="546"/>
      <c r="M47" s="569">
        <f>+A66+B66</f>
        <v>564454.35</v>
      </c>
      <c r="N47" s="546"/>
      <c r="O47" s="546"/>
      <c r="P47" s="546"/>
      <c r="Q47" s="546"/>
      <c r="R47" s="572"/>
      <c r="S47" s="546"/>
      <c r="T47" s="546"/>
      <c r="U47" s="546"/>
      <c r="V47" s="546">
        <f>+C66</f>
        <v>52435.65</v>
      </c>
      <c r="W47" s="546">
        <f t="shared" si="4"/>
        <v>616890</v>
      </c>
    </row>
    <row r="48" spans="1:23">
      <c r="A48" s="546"/>
      <c r="B48" s="546"/>
      <c r="C48" s="546"/>
      <c r="D48" s="546"/>
      <c r="E48" s="546"/>
      <c r="F48" s="546"/>
      <c r="G48" s="546"/>
      <c r="H48" s="546"/>
      <c r="I48" s="546"/>
      <c r="J48" s="546"/>
      <c r="K48" s="546"/>
      <c r="L48" s="546"/>
      <c r="M48" s="546"/>
      <c r="N48" s="546">
        <f>+A71</f>
        <v>183000</v>
      </c>
      <c r="O48" s="546"/>
      <c r="P48" s="546"/>
      <c r="Q48" s="546"/>
      <c r="R48" s="572"/>
      <c r="S48" s="546"/>
      <c r="T48" s="546"/>
      <c r="U48" s="546"/>
      <c r="V48" s="546">
        <f>+C71</f>
        <v>17000</v>
      </c>
      <c r="W48" s="546">
        <f t="shared" si="4"/>
        <v>200000</v>
      </c>
    </row>
    <row r="49" spans="1:24">
      <c r="A49" s="546"/>
      <c r="B49" s="546"/>
      <c r="C49" s="546"/>
      <c r="D49" s="546"/>
      <c r="E49" s="546"/>
      <c r="F49" s="546"/>
      <c r="G49" s="583"/>
      <c r="H49" s="583"/>
      <c r="I49" s="546"/>
      <c r="J49" s="546"/>
      <c r="K49" s="546"/>
      <c r="L49" s="546"/>
      <c r="M49" s="546"/>
      <c r="N49" s="546"/>
      <c r="O49" s="584">
        <f>+A76</f>
        <v>269838.07500000001</v>
      </c>
      <c r="P49" s="546"/>
      <c r="Q49" s="546"/>
      <c r="R49" s="572"/>
      <c r="S49" s="546"/>
      <c r="T49" s="546"/>
      <c r="U49" s="546"/>
      <c r="V49" s="546">
        <f>+C76</f>
        <v>25066.925000000003</v>
      </c>
      <c r="W49" s="546">
        <f t="shared" si="4"/>
        <v>294905</v>
      </c>
    </row>
    <row r="50" spans="1:24">
      <c r="A50" s="546"/>
      <c r="B50" s="546"/>
      <c r="C50" s="546"/>
      <c r="D50" s="546"/>
      <c r="E50" s="546"/>
      <c r="F50" s="546"/>
      <c r="G50" s="583"/>
      <c r="H50" s="583"/>
      <c r="I50" s="546"/>
      <c r="J50" s="546"/>
      <c r="K50" s="546"/>
      <c r="L50" s="546"/>
      <c r="M50" s="546"/>
      <c r="N50" s="546"/>
      <c r="O50" s="546"/>
      <c r="P50" s="546">
        <f>+K17</f>
        <v>193717</v>
      </c>
      <c r="Q50" s="546"/>
      <c r="R50" s="572"/>
      <c r="S50" s="546"/>
      <c r="T50" s="546"/>
      <c r="U50" s="546"/>
      <c r="V50" s="546"/>
      <c r="W50" s="546">
        <f t="shared" si="4"/>
        <v>193717</v>
      </c>
    </row>
    <row r="51" spans="1:24">
      <c r="A51" s="546"/>
      <c r="B51" s="546"/>
      <c r="C51" s="546"/>
      <c r="D51" s="546"/>
      <c r="E51" s="546"/>
      <c r="F51" s="546"/>
      <c r="G51" s="583"/>
      <c r="H51" s="583"/>
      <c r="I51" s="546"/>
      <c r="J51" s="546"/>
      <c r="K51" s="546"/>
      <c r="L51" s="546"/>
      <c r="M51" s="546"/>
      <c r="N51" s="546"/>
      <c r="O51" s="546"/>
      <c r="P51" s="546"/>
      <c r="Q51" s="546">
        <f>+K18</f>
        <v>66000</v>
      </c>
      <c r="R51" s="572"/>
      <c r="S51" s="546"/>
      <c r="T51" s="546"/>
      <c r="U51" s="546"/>
      <c r="V51" s="546"/>
      <c r="W51" s="546">
        <f t="shared" si="4"/>
        <v>66000</v>
      </c>
    </row>
    <row r="52" spans="1:24">
      <c r="A52" s="546"/>
      <c r="B52" s="546"/>
      <c r="C52" s="546"/>
      <c r="D52" s="546"/>
      <c r="E52" s="546"/>
      <c r="F52" s="546"/>
      <c r="G52" s="583"/>
      <c r="H52" s="583"/>
      <c r="I52" s="546"/>
      <c r="J52" s="546"/>
      <c r="K52" s="546"/>
      <c r="L52" s="546"/>
      <c r="M52" s="546"/>
      <c r="N52" s="546"/>
      <c r="O52" s="546"/>
      <c r="P52" s="546"/>
      <c r="Q52" s="546"/>
      <c r="R52" s="586">
        <f>+K19</f>
        <v>7000</v>
      </c>
      <c r="S52" s="546"/>
      <c r="T52" s="546"/>
      <c r="U52" s="546"/>
      <c r="V52" s="546"/>
      <c r="W52" s="546">
        <f t="shared" si="4"/>
        <v>7000</v>
      </c>
    </row>
    <row r="53" spans="1:24">
      <c r="A53" s="546"/>
      <c r="B53" s="546"/>
      <c r="C53" s="546"/>
      <c r="D53" s="546"/>
      <c r="E53" s="546"/>
      <c r="F53" s="546"/>
      <c r="G53" s="583"/>
      <c r="H53" s="583"/>
      <c r="I53" s="546"/>
      <c r="J53" s="546"/>
      <c r="K53" s="546"/>
      <c r="L53" s="546"/>
      <c r="M53" s="546"/>
      <c r="N53" s="546"/>
      <c r="O53" s="546"/>
      <c r="P53" s="546"/>
      <c r="Q53" s="546"/>
      <c r="R53" s="572"/>
      <c r="S53" s="546">
        <f>+K20+K21</f>
        <v>357100</v>
      </c>
      <c r="T53" s="546"/>
      <c r="U53" s="546"/>
      <c r="V53" s="546"/>
      <c r="W53" s="546">
        <f t="shared" si="4"/>
        <v>357100</v>
      </c>
    </row>
    <row r="54" spans="1:24">
      <c r="A54" s="546"/>
      <c r="B54" s="546"/>
      <c r="C54" s="546"/>
      <c r="D54" s="546"/>
      <c r="E54" s="546"/>
      <c r="F54" s="546"/>
      <c r="G54" s="583"/>
      <c r="H54" s="583"/>
      <c r="I54" s="546"/>
      <c r="J54" s="546"/>
      <c r="K54" s="546"/>
      <c r="L54" s="546"/>
      <c r="M54" s="546"/>
      <c r="N54" s="546"/>
      <c r="O54" s="584"/>
      <c r="P54" s="546"/>
      <c r="Q54" s="546"/>
      <c r="R54" s="572"/>
      <c r="S54" s="546"/>
      <c r="T54" s="546">
        <f>+K22</f>
        <v>40000</v>
      </c>
      <c r="U54" s="546"/>
      <c r="V54" s="546"/>
      <c r="W54" s="546">
        <f t="shared" si="4"/>
        <v>40000</v>
      </c>
    </row>
    <row r="55" spans="1:24">
      <c r="A55" s="569"/>
      <c r="B55" s="569"/>
      <c r="C55" s="546"/>
      <c r="D55" s="569"/>
      <c r="E55" s="569"/>
      <c r="F55" s="569"/>
      <c r="G55" s="580"/>
      <c r="H55" s="580"/>
      <c r="I55" s="569"/>
      <c r="J55" s="569"/>
      <c r="K55" s="569"/>
      <c r="L55" s="569"/>
      <c r="M55" s="569"/>
      <c r="N55" s="569"/>
      <c r="O55" s="581"/>
      <c r="P55" s="569"/>
      <c r="Q55" s="569"/>
      <c r="R55" s="572"/>
      <c r="S55" s="569"/>
      <c r="T55" s="569"/>
      <c r="U55" s="569">
        <f>+K23</f>
        <v>1042532</v>
      </c>
      <c r="V55" s="569"/>
      <c r="W55" s="546">
        <f t="shared" si="4"/>
        <v>1042532</v>
      </c>
    </row>
    <row r="56" spans="1:24">
      <c r="A56" s="568">
        <f>SUM(A35:A55)</f>
        <v>0</v>
      </c>
      <c r="B56" s="568">
        <f t="shared" ref="B56:V56" si="5">SUM(B35:B55)</f>
        <v>171500</v>
      </c>
      <c r="C56" s="568">
        <f t="shared" si="5"/>
        <v>113500</v>
      </c>
      <c r="D56" s="568">
        <f t="shared" si="5"/>
        <v>827693.4</v>
      </c>
      <c r="E56" s="568">
        <f t="shared" si="5"/>
        <v>1000</v>
      </c>
      <c r="F56" s="568">
        <f t="shared" si="5"/>
        <v>101500</v>
      </c>
      <c r="G56" s="568">
        <f t="shared" si="5"/>
        <v>500</v>
      </c>
      <c r="H56" s="568">
        <f t="shared" si="5"/>
        <v>499090</v>
      </c>
      <c r="I56" s="568">
        <f t="shared" si="5"/>
        <v>165000</v>
      </c>
      <c r="J56" s="568">
        <f t="shared" si="5"/>
        <v>0</v>
      </c>
      <c r="K56" s="568">
        <f t="shared" si="5"/>
        <v>200000</v>
      </c>
      <c r="L56" s="568">
        <f t="shared" si="5"/>
        <v>388875</v>
      </c>
      <c r="M56" s="568">
        <f t="shared" si="5"/>
        <v>564454.35</v>
      </c>
      <c r="N56" s="568">
        <f t="shared" si="5"/>
        <v>183000</v>
      </c>
      <c r="O56" s="568">
        <f t="shared" si="5"/>
        <v>269838.07500000001</v>
      </c>
      <c r="P56" s="568">
        <f t="shared" si="5"/>
        <v>193717</v>
      </c>
      <c r="Q56" s="568">
        <f t="shared" si="5"/>
        <v>66000</v>
      </c>
      <c r="R56" s="568">
        <f t="shared" si="5"/>
        <v>7000</v>
      </c>
      <c r="S56" s="568">
        <f t="shared" si="5"/>
        <v>357100</v>
      </c>
      <c r="T56" s="568">
        <f t="shared" si="5"/>
        <v>40000</v>
      </c>
      <c r="U56" s="568">
        <f t="shared" si="5"/>
        <v>1042532</v>
      </c>
      <c r="V56" s="568">
        <f t="shared" si="5"/>
        <v>130627.575</v>
      </c>
      <c r="W56" s="568">
        <f>SUM(W35:W55)</f>
        <v>5322927.4000000004</v>
      </c>
    </row>
    <row r="57" spans="1:24">
      <c r="A57" s="568"/>
      <c r="B57" s="515"/>
      <c r="C57" s="515"/>
      <c r="D57" s="515"/>
      <c r="E57" s="515"/>
      <c r="G57" s="515"/>
      <c r="H57" s="515"/>
      <c r="I57" s="515"/>
      <c r="J57" s="515"/>
      <c r="K57" s="515"/>
      <c r="L57" s="515"/>
      <c r="M57" s="515"/>
      <c r="N57" s="515"/>
      <c r="O57" s="515"/>
      <c r="P57" s="515"/>
      <c r="Q57" s="515"/>
      <c r="T57" s="515"/>
      <c r="W57" s="568">
        <f>+K3</f>
        <v>1654525</v>
      </c>
    </row>
    <row r="58" spans="1:24">
      <c r="L58" s="516"/>
      <c r="M58" s="516"/>
      <c r="V58" s="573"/>
      <c r="W58" s="587">
        <f>SUM(W56:W57)</f>
        <v>6977452.4000000004</v>
      </c>
      <c r="X58" s="568">
        <f>+K28</f>
        <v>6977452.4000000004</v>
      </c>
    </row>
    <row r="59" spans="1:24">
      <c r="A59" s="1482" t="s">
        <v>2391</v>
      </c>
      <c r="B59" s="1482"/>
      <c r="C59" s="1482"/>
      <c r="D59" s="1482"/>
      <c r="E59" s="1482"/>
      <c r="F59" s="1482"/>
      <c r="M59" s="516"/>
      <c r="W59" s="573">
        <f>+W58-X58</f>
        <v>0</v>
      </c>
    </row>
    <row r="60" spans="1:24">
      <c r="A60" s="588">
        <v>0.91500000000000004</v>
      </c>
      <c r="B60" s="589"/>
      <c r="C60" s="588">
        <v>8.5000000000000006E-2</v>
      </c>
      <c r="D60" s="589">
        <v>1</v>
      </c>
      <c r="F60" s="509" t="s">
        <v>2392</v>
      </c>
      <c r="N60" s="540"/>
    </row>
    <row r="61" spans="1:24">
      <c r="A61" s="540">
        <f>+A60*D61</f>
        <v>388875</v>
      </c>
      <c r="B61" s="540"/>
      <c r="C61" s="540">
        <f>+D61*C60</f>
        <v>36125</v>
      </c>
      <c r="D61" s="590">
        <f>+B15</f>
        <v>425000</v>
      </c>
      <c r="I61" s="591"/>
      <c r="J61" s="591"/>
      <c r="K61" s="592"/>
      <c r="L61" s="592"/>
      <c r="N61" s="540"/>
    </row>
    <row r="62" spans="1:24">
      <c r="A62" s="509"/>
      <c r="B62" s="516">
        <f>+A61+B61+C61</f>
        <v>425000</v>
      </c>
      <c r="I62" s="509" t="s">
        <v>2393</v>
      </c>
      <c r="J62" s="591"/>
      <c r="K62" s="592"/>
      <c r="L62" s="592"/>
      <c r="N62" s="540"/>
    </row>
    <row r="63" spans="1:24">
      <c r="A63" s="509"/>
      <c r="G63" s="593"/>
      <c r="H63" s="509" t="s">
        <v>2394</v>
      </c>
      <c r="I63" s="509" t="s">
        <v>2309</v>
      </c>
      <c r="J63" s="517">
        <f>+B30</f>
        <v>2578887.41</v>
      </c>
      <c r="K63" s="591"/>
      <c r="L63" s="591"/>
      <c r="N63" s="510"/>
    </row>
    <row r="64" spans="1:24">
      <c r="A64" s="1482" t="s">
        <v>2395</v>
      </c>
      <c r="B64" s="1482"/>
      <c r="C64" s="1482"/>
      <c r="D64" s="1482"/>
      <c r="E64" s="1482"/>
      <c r="F64" s="1482"/>
      <c r="H64" s="509" t="s">
        <v>2396</v>
      </c>
      <c r="I64" s="509" t="s">
        <v>2397</v>
      </c>
      <c r="J64" s="517">
        <f>+F30</f>
        <v>2774468.4</v>
      </c>
      <c r="K64" s="591"/>
      <c r="L64" s="594"/>
      <c r="N64" s="510"/>
    </row>
    <row r="65" spans="1:16">
      <c r="A65" s="588">
        <v>0.91500000000000004</v>
      </c>
      <c r="B65" s="589"/>
      <c r="C65" s="588">
        <v>8.5000000000000006E-2</v>
      </c>
      <c r="D65" s="589">
        <v>1</v>
      </c>
      <c r="H65" s="509" t="s">
        <v>2398</v>
      </c>
      <c r="I65" s="509" t="s">
        <v>2399</v>
      </c>
      <c r="J65" s="517">
        <f>+G30</f>
        <v>512635</v>
      </c>
      <c r="K65" s="591"/>
      <c r="L65" s="594"/>
      <c r="N65" s="540"/>
    </row>
    <row r="66" spans="1:16">
      <c r="A66" s="540">
        <f>+A65*D66</f>
        <v>564454.35</v>
      </c>
      <c r="B66" s="540"/>
      <c r="C66" s="540">
        <f>+D66*C65</f>
        <v>52435.65</v>
      </c>
      <c r="D66" s="590">
        <f>SUM(C15:I15)</f>
        <v>616890</v>
      </c>
      <c r="H66" s="509" t="s">
        <v>2400</v>
      </c>
      <c r="I66" s="509" t="s">
        <v>2401</v>
      </c>
      <c r="J66" s="517">
        <f>+H30+C30+D30+E30</f>
        <v>1060149</v>
      </c>
      <c r="K66" s="592"/>
      <c r="L66" s="592"/>
      <c r="N66" s="540"/>
    </row>
    <row r="67" spans="1:16">
      <c r="A67" s="509"/>
      <c r="B67" s="516">
        <f>+A66+B66+C66</f>
        <v>616890</v>
      </c>
      <c r="H67" s="509" t="s">
        <v>2402</v>
      </c>
      <c r="I67" s="509" t="s">
        <v>2403</v>
      </c>
      <c r="J67" s="595">
        <f>+I28</f>
        <v>300500</v>
      </c>
      <c r="K67" s="592"/>
      <c r="L67" s="592"/>
      <c r="N67" s="540"/>
      <c r="O67" s="540">
        <f>+O63-P10-P11-P12</f>
        <v>0</v>
      </c>
      <c r="P67" s="540"/>
    </row>
    <row r="68" spans="1:16">
      <c r="A68" s="509"/>
      <c r="J68" s="518">
        <f>SUM(J63:J67)</f>
        <v>7226639.8100000005</v>
      </c>
      <c r="N68" s="510"/>
      <c r="O68" s="573"/>
      <c r="P68" s="540"/>
    </row>
    <row r="69" spans="1:16">
      <c r="A69" s="1482" t="s">
        <v>2404</v>
      </c>
      <c r="B69" s="1482"/>
      <c r="C69" s="1482"/>
      <c r="D69" s="1482"/>
      <c r="E69" s="1482"/>
      <c r="F69" s="1482"/>
      <c r="J69" s="540"/>
      <c r="N69" s="510"/>
      <c r="P69" s="510"/>
    </row>
    <row r="70" spans="1:16">
      <c r="A70" s="596">
        <f>(100-8.5)/100</f>
        <v>0.91500000000000004</v>
      </c>
      <c r="B70" s="589"/>
      <c r="C70" s="588">
        <v>8.5000000000000006E-2</v>
      </c>
      <c r="D70" s="589">
        <v>1</v>
      </c>
      <c r="J70" s="540"/>
      <c r="K70" s="540"/>
      <c r="L70" s="540"/>
      <c r="M70" s="540"/>
      <c r="N70" s="540"/>
      <c r="P70" s="540"/>
    </row>
    <row r="71" spans="1:16">
      <c r="A71" s="540">
        <f>+A70*D71</f>
        <v>183000</v>
      </c>
      <c r="B71" s="540">
        <f>+D71*B70</f>
        <v>0</v>
      </c>
      <c r="C71" s="540">
        <f>+D71*C70</f>
        <v>17000</v>
      </c>
      <c r="D71" s="597">
        <f>+B16</f>
        <v>200000</v>
      </c>
      <c r="J71" s="540"/>
      <c r="K71" s="540"/>
      <c r="L71" s="540"/>
      <c r="M71" s="540"/>
      <c r="N71" s="598"/>
      <c r="P71" s="540"/>
    </row>
    <row r="72" spans="1:16">
      <c r="A72" s="509"/>
      <c r="B72" s="516">
        <f>+B16</f>
        <v>200000</v>
      </c>
      <c r="J72" s="510"/>
      <c r="K72" s="540"/>
      <c r="L72" s="540"/>
      <c r="M72" s="540"/>
      <c r="N72" s="540"/>
      <c r="P72" s="540"/>
    </row>
    <row r="73" spans="1:16">
      <c r="J73" s="510"/>
      <c r="K73" s="510"/>
      <c r="L73" s="510"/>
      <c r="M73" s="510"/>
      <c r="N73" s="510"/>
      <c r="P73" s="510"/>
    </row>
    <row r="74" spans="1:16">
      <c r="A74" s="1482" t="s">
        <v>2405</v>
      </c>
      <c r="B74" s="1482"/>
      <c r="C74" s="1482"/>
      <c r="D74" s="1482"/>
      <c r="E74" s="1482"/>
      <c r="F74" s="1482"/>
      <c r="K74" s="510"/>
      <c r="L74" s="510"/>
      <c r="M74" s="510"/>
      <c r="N74" s="510"/>
      <c r="P74" s="510"/>
    </row>
    <row r="75" spans="1:16">
      <c r="A75" s="596">
        <f>(100-8.5)/100</f>
        <v>0.91500000000000004</v>
      </c>
      <c r="B75" s="589"/>
      <c r="C75" s="588">
        <v>8.5000000000000006E-2</v>
      </c>
      <c r="D75" s="589">
        <v>1</v>
      </c>
      <c r="K75" s="599"/>
    </row>
    <row r="76" spans="1:16">
      <c r="A76" s="540">
        <f>+A75*D76</f>
        <v>269838.07500000001</v>
      </c>
      <c r="B76" s="540">
        <f>+D76*B75</f>
        <v>0</v>
      </c>
      <c r="C76" s="540">
        <f>+D76*C75</f>
        <v>25066.925000000003</v>
      </c>
      <c r="D76" s="597">
        <f>SUM(C16:J16)</f>
        <v>294905</v>
      </c>
    </row>
    <row r="77" spans="1:16">
      <c r="A77" s="509"/>
      <c r="B77" s="516">
        <f>+A76+B76+C76</f>
        <v>294905</v>
      </c>
    </row>
    <row r="79" spans="1:16">
      <c r="B79" s="574" t="s">
        <v>2359</v>
      </c>
    </row>
    <row r="80" spans="1:16">
      <c r="B80" s="600"/>
      <c r="C80" s="601" t="s">
        <v>2406</v>
      </c>
      <c r="D80" s="600"/>
      <c r="E80" s="600"/>
    </row>
    <row r="81" spans="2:6">
      <c r="B81" s="600"/>
      <c r="C81" s="600"/>
      <c r="D81" s="602" t="s">
        <v>2407</v>
      </c>
      <c r="E81" s="600"/>
    </row>
    <row r="82" spans="2:6">
      <c r="B82" s="600" t="s">
        <v>2408</v>
      </c>
      <c r="C82" s="600" t="s">
        <v>2409</v>
      </c>
      <c r="D82" s="603">
        <v>22650.1</v>
      </c>
      <c r="E82" s="600"/>
    </row>
    <row r="83" spans="2:6">
      <c r="B83" s="600" t="s">
        <v>2410</v>
      </c>
      <c r="C83" s="600" t="s">
        <v>2411</v>
      </c>
      <c r="D83" s="603">
        <v>151.51499999999999</v>
      </c>
      <c r="E83" s="600"/>
    </row>
    <row r="84" spans="2:6">
      <c r="B84" s="600" t="s">
        <v>2412</v>
      </c>
      <c r="C84" s="600" t="s">
        <v>2413</v>
      </c>
      <c r="D84" s="603">
        <v>6270.44</v>
      </c>
      <c r="E84" s="600"/>
    </row>
    <row r="85" spans="2:6">
      <c r="B85" s="600" t="s">
        <v>2182</v>
      </c>
      <c r="C85" s="600" t="s">
        <v>2414</v>
      </c>
      <c r="D85" s="604">
        <v>1938.14</v>
      </c>
      <c r="E85" s="600"/>
    </row>
    <row r="86" spans="2:6">
      <c r="B86" s="600"/>
      <c r="C86" s="600"/>
      <c r="D86" s="605">
        <v>31010.19</v>
      </c>
      <c r="E86" s="600"/>
    </row>
    <row r="87" spans="2:6">
      <c r="B87" s="600"/>
      <c r="C87" s="601" t="s">
        <v>2415</v>
      </c>
      <c r="D87" s="600"/>
      <c r="E87" s="600"/>
    </row>
    <row r="88" spans="2:6">
      <c r="B88" s="600"/>
      <c r="C88" s="600"/>
      <c r="D88" s="602" t="s">
        <v>2416</v>
      </c>
      <c r="E88" s="602" t="s">
        <v>2417</v>
      </c>
    </row>
    <row r="89" spans="2:6">
      <c r="B89" s="600" t="s">
        <v>2408</v>
      </c>
      <c r="C89" s="600" t="s">
        <v>2418</v>
      </c>
      <c r="D89" s="603">
        <v>23072.400000000001</v>
      </c>
      <c r="E89" s="603">
        <v>23072.400000000001</v>
      </c>
      <c r="F89" s="603">
        <f>SUM(D89:E89)</f>
        <v>46144.800000000003</v>
      </c>
    </row>
    <row r="90" spans="2:6">
      <c r="B90" s="600" t="s">
        <v>2410</v>
      </c>
      <c r="C90" s="600" t="s">
        <v>2419</v>
      </c>
      <c r="D90" s="603">
        <v>4196.21</v>
      </c>
      <c r="E90" s="603">
        <v>4196.21</v>
      </c>
      <c r="F90" s="603">
        <f>SUM(D90:E90)</f>
        <v>8392.42</v>
      </c>
    </row>
    <row r="91" spans="2:6">
      <c r="B91" s="600" t="s">
        <v>2412</v>
      </c>
      <c r="C91" s="600" t="s">
        <v>2420</v>
      </c>
      <c r="D91" s="603">
        <v>7498.87</v>
      </c>
      <c r="E91" s="603">
        <v>7498.87</v>
      </c>
      <c r="F91" s="603">
        <f>SUM(D91:E91)</f>
        <v>14997.74</v>
      </c>
    </row>
    <row r="92" spans="2:6">
      <c r="B92" s="600" t="s">
        <v>2182</v>
      </c>
      <c r="C92" s="600" t="s">
        <v>2414</v>
      </c>
      <c r="D92" s="604">
        <v>2317.83</v>
      </c>
      <c r="E92" s="604">
        <v>2317.83</v>
      </c>
      <c r="F92" s="604">
        <f>SUM(D92:E92)</f>
        <v>4635.66</v>
      </c>
    </row>
    <row r="93" spans="2:6">
      <c r="B93" s="600"/>
      <c r="C93" s="600"/>
      <c r="D93" s="605">
        <v>37085.300000000003</v>
      </c>
      <c r="E93" s="605">
        <v>37085.300000000003</v>
      </c>
      <c r="F93" s="605">
        <f>SUM(D93:E93)</f>
        <v>74170.600000000006</v>
      </c>
    </row>
    <row r="94" spans="2:6">
      <c r="B94" s="600"/>
      <c r="C94" s="601" t="s">
        <v>2421</v>
      </c>
      <c r="D94" s="600"/>
      <c r="E94" s="600"/>
    </row>
    <row r="95" spans="2:6">
      <c r="B95" s="600"/>
      <c r="C95" s="600"/>
      <c r="D95" s="600"/>
      <c r="E95" s="600"/>
    </row>
    <row r="96" spans="2:6">
      <c r="B96" s="600" t="s">
        <v>2408</v>
      </c>
      <c r="C96" s="600" t="s">
        <v>2422</v>
      </c>
      <c r="D96" s="603">
        <v>43625.66</v>
      </c>
      <c r="E96" s="600"/>
    </row>
    <row r="97" spans="2:5">
      <c r="B97" s="600" t="s">
        <v>2410</v>
      </c>
      <c r="C97" s="600" t="s">
        <v>2423</v>
      </c>
      <c r="D97" s="603">
        <v>654.29</v>
      </c>
      <c r="E97" s="600"/>
    </row>
    <row r="98" spans="2:5">
      <c r="B98" s="600" t="s">
        <v>2412</v>
      </c>
      <c r="C98" s="600" t="s">
        <v>2424</v>
      </c>
      <c r="D98" s="603">
        <v>12176.99</v>
      </c>
      <c r="E98" s="600"/>
    </row>
    <row r="99" spans="2:5">
      <c r="B99" s="600" t="s">
        <v>2182</v>
      </c>
      <c r="C99" s="600" t="s">
        <v>2414</v>
      </c>
      <c r="D99" s="604">
        <v>3763.8</v>
      </c>
      <c r="E99" s="600"/>
    </row>
    <row r="100" spans="2:5">
      <c r="B100" s="600"/>
      <c r="C100" s="600"/>
      <c r="D100" s="605">
        <v>60220.73</v>
      </c>
      <c r="E100" s="600"/>
    </row>
    <row r="101" spans="2:5">
      <c r="B101" s="600"/>
      <c r="C101" s="600"/>
      <c r="D101" s="600"/>
      <c r="E101" s="600"/>
    </row>
  </sheetData>
  <mergeCells count="7">
    <mergeCell ref="A74:F74"/>
    <mergeCell ref="C1:E1"/>
    <mergeCell ref="M5:P5"/>
    <mergeCell ref="L26:L27"/>
    <mergeCell ref="A59:F59"/>
    <mergeCell ref="A64:F64"/>
    <mergeCell ref="A69:F69"/>
  </mergeCells>
  <pageMargins left="0.15748031496062992" right="0.27559055118110237" top="0.62992125984251968" bottom="0.70866141732283472" header="0.43307086614173229" footer="0.51181102362204722"/>
  <pageSetup paperSize="8" scale="60" orientation="landscape" r:id="rId1"/>
  <headerFooter alignWithMargins="0">
    <oddHeader>&amp;C&amp;A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15"/>
  <sheetViews>
    <sheetView tabSelected="1" zoomScale="120" zoomScaleNormal="120" workbookViewId="0">
      <pane ySplit="1" topLeftCell="A98" activePane="bottomLeft" state="frozen"/>
      <selection activeCell="N81" sqref="N81"/>
      <selection pane="bottomLeft" activeCell="C51" sqref="C51"/>
    </sheetView>
  </sheetViews>
  <sheetFormatPr defaultColWidth="8.5546875" defaultRowHeight="13.2"/>
  <cols>
    <col min="1" max="1" width="6.33203125" style="1304" customWidth="1"/>
    <col min="2" max="2" width="80.5546875" style="1304" bestFit="1" customWidth="1"/>
    <col min="3" max="3" width="15" style="1342" customWidth="1"/>
    <col min="4" max="4" width="14.88671875" style="1343" customWidth="1"/>
    <col min="5" max="243" width="9.109375" style="1304" customWidth="1"/>
    <col min="244" max="244" width="6.33203125" style="1304" customWidth="1"/>
    <col min="245" max="245" width="72.33203125" style="1304" bestFit="1" customWidth="1"/>
    <col min="246" max="246" width="15" style="1304" customWidth="1"/>
    <col min="247" max="247" width="14.88671875" style="1304" customWidth="1"/>
    <col min="248" max="16384" width="8.5546875" style="1304"/>
  </cols>
  <sheetData>
    <row r="1" spans="1:4" ht="12.75" customHeight="1">
      <c r="A1" s="1558" t="s">
        <v>3824</v>
      </c>
      <c r="B1" s="1558"/>
      <c r="C1" s="1302" t="s">
        <v>3940</v>
      </c>
      <c r="D1" s="1303" t="s">
        <v>3825</v>
      </c>
    </row>
    <row r="2" spans="1:4">
      <c r="A2" s="1305"/>
      <c r="B2" s="1305"/>
      <c r="C2" s="1306"/>
      <c r="D2" s="1307"/>
    </row>
    <row r="3" spans="1:4">
      <c r="A3" s="1308" t="s">
        <v>3826</v>
      </c>
      <c r="B3" s="1309"/>
      <c r="C3" s="1310"/>
      <c r="D3" s="1311"/>
    </row>
    <row r="4" spans="1:4">
      <c r="A4" s="1312" t="s">
        <v>3827</v>
      </c>
      <c r="B4" s="1312" t="s">
        <v>3828</v>
      </c>
      <c r="C4" s="1313">
        <f>+'Schema SP'!I123</f>
        <v>19878</v>
      </c>
      <c r="D4" s="1313">
        <f>+'Schema SP'!J123</f>
        <v>106863</v>
      </c>
    </row>
    <row r="5" spans="1:4">
      <c r="A5" s="1312"/>
      <c r="B5" s="1314" t="s">
        <v>3829</v>
      </c>
      <c r="C5" s="1315"/>
      <c r="D5" s="1315"/>
    </row>
    <row r="6" spans="1:4">
      <c r="A6" s="1316" t="s">
        <v>3827</v>
      </c>
      <c r="B6" s="1317" t="s">
        <v>3830</v>
      </c>
      <c r="C6" s="1318">
        <f>+'Alimentazione CE Costi'!H718+'Alimentazione CE Costi'!H719</f>
        <v>799658.63</v>
      </c>
      <c r="D6" s="1318">
        <v>799008</v>
      </c>
    </row>
    <row r="7" spans="1:4">
      <c r="A7" s="1316" t="s">
        <v>3827</v>
      </c>
      <c r="B7" s="1317" t="s">
        <v>3831</v>
      </c>
      <c r="C7" s="1318">
        <f>+'Alimentazione CE Costi'!H721+'Alimentazione CE Costi'!H722+'Alimentazione CE Costi'!H723+'Alimentazione CE Costi'!H724+'Alimentazione CE Costi'!H725</f>
        <v>1361376.6999999997</v>
      </c>
      <c r="D7" s="1318">
        <v>924736</v>
      </c>
    </row>
    <row r="8" spans="1:4">
      <c r="A8" s="1316" t="s">
        <v>3827</v>
      </c>
      <c r="B8" s="1317" t="s">
        <v>3832</v>
      </c>
      <c r="C8" s="1318">
        <f>+'Alimentazione CE Costi'!H712</f>
        <v>3497.87</v>
      </c>
      <c r="D8" s="1318">
        <v>854</v>
      </c>
    </row>
    <row r="9" spans="1:4">
      <c r="A9" s="1308" t="s">
        <v>3833</v>
      </c>
      <c r="B9" s="1319"/>
      <c r="C9" s="1320">
        <f>SUM(C6:C8)</f>
        <v>2164533.1999999997</v>
      </c>
      <c r="D9" s="1320">
        <f>SUM(D6:D8)</f>
        <v>1724598</v>
      </c>
    </row>
    <row r="10" spans="1:4">
      <c r="A10" s="1316" t="s">
        <v>3834</v>
      </c>
      <c r="B10" s="1317" t="s">
        <v>3835</v>
      </c>
      <c r="C10" s="1318">
        <f>-('Alimentazione CE Ricavi'!H52+'Alimentazione CE Ricavi'!H53+'Alimentazione CE Ricavi'!H211+'Alimentazione CE Ricavi'!H212+'Alimentazione CE Ricavi'!H213+'Alimentazione CE Ricavi'!H214+'Alimentazione CE Ricavi'!H215+'Alimentazione CE Ricavi'!H216+'Alimentazione CE Ricavi'!H217)</f>
        <v>-2156637.2599999998</v>
      </c>
      <c r="D10" s="1318">
        <v>-1715773</v>
      </c>
    </row>
    <row r="11" spans="1:4">
      <c r="A11" s="1316" t="s">
        <v>3834</v>
      </c>
      <c r="B11" s="1317" t="s">
        <v>3836</v>
      </c>
      <c r="C11" s="1318">
        <f>-('Alimentazione CE Ricavi'!H55+'Alimentazione CE Ricavi'!H56+'Alimentazione CE Ricavi'!H57+'Alimentazione CE Ricavi'!H58+'Alimentazione CE Ricavi'!H59)</f>
        <v>-1673282.5600000001</v>
      </c>
      <c r="D11" s="1318">
        <v>-1254550</v>
      </c>
    </row>
    <row r="12" spans="1:4">
      <c r="A12" s="1308" t="s">
        <v>3837</v>
      </c>
      <c r="B12" s="1319"/>
      <c r="C12" s="1320">
        <f>SUM(C10:C11)</f>
        <v>-3829919.82</v>
      </c>
      <c r="D12" s="1320">
        <f>SUM(D10:D11)</f>
        <v>-2970323</v>
      </c>
    </row>
    <row r="13" spans="1:4">
      <c r="A13" s="1316" t="s">
        <v>3827</v>
      </c>
      <c r="B13" s="1316" t="s">
        <v>3838</v>
      </c>
      <c r="C13" s="1318">
        <f>+'[66]Alimentazione CE Costi'!H822+'[66]Alimentazione CE Costi'!H823</f>
        <v>0</v>
      </c>
      <c r="D13" s="1318">
        <f>+'[66]Alimentazione CE Costi'!J822+'[66]Alimentazione CE Costi'!J823</f>
        <v>0</v>
      </c>
    </row>
    <row r="14" spans="1:4">
      <c r="A14" s="1316" t="s">
        <v>3834</v>
      </c>
      <c r="B14" s="1317" t="s">
        <v>3839</v>
      </c>
      <c r="C14" s="1318">
        <f>'Alimentazione SP P'!H156-'Alimentazione SP P'!I156-'Rendiconto finanziario'!C13</f>
        <v>0</v>
      </c>
      <c r="D14" s="1321"/>
    </row>
    <row r="15" spans="1:4">
      <c r="A15" s="1316" t="s">
        <v>3827</v>
      </c>
      <c r="B15" s="1316" t="s">
        <v>3840</v>
      </c>
      <c r="C15" s="1322">
        <f>+'[66]Alimentazione CE Costi'!H465+'[66]Alimentazione CE Costi'!H482+'[66]Alimentazione CE Costi'!H497+'[66]Alimentazione CE Costi'!H507+'[66]Alimentazione CE Costi'!H520+'[66]Alimentazione CE Costi'!H531+'[66]Alimentazione CE Costi'!H544+'[66]Alimentazione CE Costi'!H554+'[66]Alimentazione CE Costi'!H567+'[66]Alimentazione CE Costi'!H578+'[66]Alimentazione CE Costi'!H591+'[66]Alimentazione CE Costi'!H614+'[66]Alimentazione CE Costi'!H625+'[66]Alimentazione CE Costi'!H638+'[66]Alimentazione CE Costi'!H648+'[66]Alimentazione CE Costi'!H661+'[66]Alimentazione CE Costi'!H672</f>
        <v>0</v>
      </c>
      <c r="D15" s="1322">
        <f>'[66]Alimentazione CE Costi'!J465+'[66]Alimentazione CE Costi'!J482+'[66]Alimentazione CE Costi'!J497+'[66]Alimentazione CE Costi'!J507+'[66]Alimentazione CE Costi'!J520+'[66]Alimentazione CE Costi'!J531+'[66]Alimentazione CE Costi'!J544+'[66]Alimentazione CE Costi'!J554+'[66]Alimentazione CE Costi'!J567+'[66]Alimentazione CE Costi'!J578+'[66]Alimentazione CE Costi'!J591+'[66]Alimentazione CE Costi'!J601+'[66]Alimentazione CE Costi'!J614+'[66]Alimentazione CE Costi'!J625+'[66]Alimentazione CE Costi'!J638+'[66]Alimentazione CE Costi'!J648+'[66]Alimentazione CE Costi'!J661+'[66]Alimentazione CE Costi'!J672</f>
        <v>0</v>
      </c>
    </row>
    <row r="16" spans="1:4">
      <c r="A16" s="1316" t="s">
        <v>3834</v>
      </c>
      <c r="B16" s="1317" t="s">
        <v>3841</v>
      </c>
      <c r="C16" s="1318">
        <f>'Alimentazione SP P'!H157-'Alimentazione SP P'!I157-'Rendiconto finanziario'!C15</f>
        <v>0</v>
      </c>
      <c r="D16" s="1321"/>
    </row>
    <row r="17" spans="1:4">
      <c r="A17" s="1308" t="s">
        <v>3842</v>
      </c>
      <c r="B17" s="1319"/>
      <c r="C17" s="1320">
        <f>SUM(C13:C16)</f>
        <v>0</v>
      </c>
      <c r="D17" s="1320">
        <f>SUM(D13:D16)</f>
        <v>0</v>
      </c>
    </row>
    <row r="18" spans="1:4">
      <c r="A18" s="1316" t="s">
        <v>3843</v>
      </c>
      <c r="B18" s="1317" t="s">
        <v>3844</v>
      </c>
      <c r="C18" s="1318">
        <v>0</v>
      </c>
      <c r="D18" s="1318"/>
    </row>
    <row r="19" spans="1:4">
      <c r="A19" s="1316" t="s">
        <v>3827</v>
      </c>
      <c r="B19" s="1316" t="s">
        <v>3845</v>
      </c>
      <c r="C19" s="1318">
        <f>SUM('Alimentazione CE Costi'!H729:H791)</f>
        <v>54782.96</v>
      </c>
      <c r="D19" s="1318">
        <v>90694</v>
      </c>
    </row>
    <row r="20" spans="1:4">
      <c r="A20" s="1323" t="s">
        <v>3834</v>
      </c>
      <c r="B20" s="1323" t="s">
        <v>3846</v>
      </c>
      <c r="C20" s="1318">
        <f>SUM('Alimentazione SP P'!H50:H114)-SUM('Alimentazione SP P'!I50:I114)-C19</f>
        <v>4.0000000000873115E-2</v>
      </c>
      <c r="D20" s="1318">
        <v>-96174</v>
      </c>
    </row>
    <row r="21" spans="1:4">
      <c r="A21" s="1308" t="s">
        <v>3847</v>
      </c>
      <c r="B21" s="1319"/>
      <c r="C21" s="1320">
        <f>SUM(C18:C20)</f>
        <v>54783</v>
      </c>
      <c r="D21" s="1320">
        <f>SUM(D18:D20)</f>
        <v>-5480</v>
      </c>
    </row>
    <row r="22" spans="1:4">
      <c r="A22" s="1316" t="s">
        <v>3827</v>
      </c>
      <c r="B22" s="1316" t="s">
        <v>3848</v>
      </c>
      <c r="C22" s="1322">
        <f>+'Alimentazione CE Costi'!H811+'Alimentazione CE Costi'!H843+'Alimentazione CE Costi'!H466+'Alimentazione CE Costi'!H483+'Alimentazione CE Costi'!H498+'Alimentazione CE Costi'!H508+'Alimentazione CE Costi'!H521+'Alimentazione CE Costi'!H532+'Alimentazione CE Costi'!H544+'Alimentazione CE Costi'!H555+'Alimentazione CE Costi'!H568+'Alimentazione CE Costi'!H579+'Alimentazione CE Costi'!H592+'Alimentazione CE Costi'!H602+'Alimentazione CE Costi'!H615+'Alimentazione CE Costi'!H626+'Alimentazione CE Costi'!H639+'Alimentazione CE Costi'!H649+'Alimentazione CE Costi'!H662+'Alimentazione CE Costi'!H673</f>
        <v>0</v>
      </c>
      <c r="D22" s="1322">
        <v>6105816</v>
      </c>
    </row>
    <row r="23" spans="1:4">
      <c r="A23" s="1316" t="s">
        <v>3834</v>
      </c>
      <c r="B23" s="1317" t="s">
        <v>3849</v>
      </c>
      <c r="C23" s="1318">
        <f>'Schema SP'!K131-'Rendiconto finanziario'!C22-'Rendiconto finanziario'!C11</f>
        <v>4715213.5600000005</v>
      </c>
      <c r="D23" s="1318">
        <v>-1231170</v>
      </c>
    </row>
    <row r="24" spans="1:4">
      <c r="A24" s="1308" t="s">
        <v>3850</v>
      </c>
      <c r="B24" s="1319"/>
      <c r="C24" s="1320">
        <f>SUM(C22:C23)</f>
        <v>4715213.5600000005</v>
      </c>
      <c r="D24" s="1320">
        <f>SUM(D22:D23)</f>
        <v>4874646</v>
      </c>
    </row>
    <row r="25" spans="1:4">
      <c r="A25" s="1324" t="s">
        <v>3851</v>
      </c>
      <c r="B25" s="1324"/>
      <c r="C25" s="1325">
        <f>C4+C9+C12+C17+C21+C24</f>
        <v>3124487.9400000004</v>
      </c>
      <c r="D25" s="1325">
        <f>D4+D9+D12+D17+D21+D24</f>
        <v>3730304</v>
      </c>
    </row>
    <row r="26" spans="1:4" ht="14.4">
      <c r="A26" s="1326"/>
      <c r="B26" s="1326"/>
      <c r="C26" s="1327"/>
      <c r="D26" s="1327"/>
    </row>
    <row r="27" spans="1:4" ht="20.399999999999999">
      <c r="A27" s="1316" t="s">
        <v>3852</v>
      </c>
      <c r="B27" s="1328" t="s">
        <v>3853</v>
      </c>
      <c r="C27" s="1318">
        <f>'Schema SP'!K140</f>
        <v>280293</v>
      </c>
      <c r="D27" s="1318"/>
    </row>
    <row r="28" spans="1:4">
      <c r="A28" s="1316" t="s">
        <v>3852</v>
      </c>
      <c r="B28" s="1329" t="s">
        <v>3854</v>
      </c>
      <c r="C28" s="1318">
        <f>'Schema SP'!K141</f>
        <v>-1626</v>
      </c>
      <c r="D28" s="1318">
        <v>1626</v>
      </c>
    </row>
    <row r="29" spans="1:4">
      <c r="A29" s="1316" t="s">
        <v>3852</v>
      </c>
      <c r="B29" s="1329" t="s">
        <v>3855</v>
      </c>
      <c r="C29" s="1318">
        <f>'Schema SP'!K142</f>
        <v>1467079</v>
      </c>
      <c r="D29" s="1318">
        <v>-1018874</v>
      </c>
    </row>
    <row r="30" spans="1:4">
      <c r="A30" s="1316" t="s">
        <v>3852</v>
      </c>
      <c r="B30" s="1329" t="s">
        <v>3856</v>
      </c>
      <c r="C30" s="1321"/>
      <c r="D30" s="1321"/>
    </row>
    <row r="31" spans="1:4">
      <c r="A31" s="1316" t="s">
        <v>3852</v>
      </c>
      <c r="B31" s="1329" t="s">
        <v>3857</v>
      </c>
      <c r="C31" s="1318">
        <f>'Schema SP'!K150-'Rendiconto finanziario'!C94</f>
        <v>1419799</v>
      </c>
      <c r="D31" s="1318">
        <v>-1911299</v>
      </c>
    </row>
    <row r="32" spans="1:4">
      <c r="A32" s="1316" t="s">
        <v>3852</v>
      </c>
      <c r="B32" s="1329" t="s">
        <v>3858</v>
      </c>
      <c r="C32" s="1318">
        <f>'Schema SP'!K152</f>
        <v>-88822</v>
      </c>
      <c r="D32" s="1318">
        <v>1665476</v>
      </c>
    </row>
    <row r="33" spans="1:4">
      <c r="A33" s="1316" t="s">
        <v>3852</v>
      </c>
      <c r="B33" s="1329" t="s">
        <v>3859</v>
      </c>
      <c r="C33" s="1318">
        <f>'Schema SP'!K154</f>
        <v>-29630</v>
      </c>
      <c r="D33" s="1318">
        <v>1676299</v>
      </c>
    </row>
    <row r="34" spans="1:4">
      <c r="A34" s="1316" t="s">
        <v>3852</v>
      </c>
      <c r="B34" s="1329" t="s">
        <v>3860</v>
      </c>
      <c r="C34" s="1318">
        <f>'Schema SP'!K139+'Schema SP'!K149+'Schema SP'!K153+'Schema SP'!K155-'Rendiconto finanziario'!C30</f>
        <v>-752229</v>
      </c>
      <c r="D34" s="1318">
        <v>-197084</v>
      </c>
    </row>
    <row r="35" spans="1:4">
      <c r="A35" s="1312" t="s">
        <v>3852</v>
      </c>
      <c r="B35" s="1312" t="s">
        <v>3861</v>
      </c>
      <c r="C35" s="1313">
        <f>SUM(C27:C34)</f>
        <v>2294864</v>
      </c>
      <c r="D35" s="1313">
        <v>216144</v>
      </c>
    </row>
    <row r="36" spans="1:4">
      <c r="A36" s="1312" t="s">
        <v>3852</v>
      </c>
      <c r="B36" s="1312" t="s">
        <v>3862</v>
      </c>
      <c r="C36" s="1307">
        <f>'Schema SP'!K158+'Schema SP'!K159</f>
        <v>-65</v>
      </c>
      <c r="D36" s="1307">
        <v>-1806</v>
      </c>
    </row>
    <row r="37" spans="1:4">
      <c r="A37" s="1316" t="s">
        <v>3852</v>
      </c>
      <c r="B37" s="1329" t="s">
        <v>3863</v>
      </c>
      <c r="C37" s="1318">
        <v>0</v>
      </c>
      <c r="D37" s="1318">
        <v>0</v>
      </c>
    </row>
    <row r="38" spans="1:4">
      <c r="A38" s="1316" t="s">
        <v>3852</v>
      </c>
      <c r="B38" s="1329" t="s">
        <v>3864</v>
      </c>
      <c r="C38" s="1318">
        <f>-('Schema SP'!K52-'Schema SP'!K56)-'Schema SP'!K48</f>
        <v>386398</v>
      </c>
      <c r="D38" s="1318">
        <v>-323235</v>
      </c>
    </row>
    <row r="39" spans="1:4">
      <c r="A39" s="1316" t="s">
        <v>3852</v>
      </c>
      <c r="B39" s="1329" t="s">
        <v>3865</v>
      </c>
      <c r="C39" s="1318">
        <v>0</v>
      </c>
      <c r="D39" s="1318">
        <v>0</v>
      </c>
    </row>
    <row r="40" spans="1:4">
      <c r="A40" s="1316" t="s">
        <v>3852</v>
      </c>
      <c r="B40" s="1329" t="s">
        <v>3866</v>
      </c>
      <c r="C40" s="1318">
        <v>0</v>
      </c>
      <c r="D40" s="1318">
        <v>0</v>
      </c>
    </row>
    <row r="41" spans="1:4">
      <c r="A41" s="1316" t="s">
        <v>3852</v>
      </c>
      <c r="B41" s="1329" t="s">
        <v>3867</v>
      </c>
      <c r="C41" s="1318">
        <v>0</v>
      </c>
      <c r="D41" s="1318">
        <v>0</v>
      </c>
    </row>
    <row r="42" spans="1:4">
      <c r="A42" s="1316" t="s">
        <v>3852</v>
      </c>
      <c r="B42" s="1329" t="s">
        <v>3868</v>
      </c>
      <c r="C42" s="1318">
        <v>0</v>
      </c>
      <c r="D42" s="1318">
        <v>0</v>
      </c>
    </row>
    <row r="43" spans="1:4">
      <c r="A43" s="1316" t="s">
        <v>3852</v>
      </c>
      <c r="B43" s="1329" t="s">
        <v>3869</v>
      </c>
      <c r="C43" s="1318">
        <v>0</v>
      </c>
      <c r="D43" s="1318">
        <v>0</v>
      </c>
    </row>
    <row r="44" spans="1:4">
      <c r="A44" s="1316"/>
      <c r="B44" s="1330"/>
      <c r="C44" s="1318"/>
      <c r="D44" s="1318"/>
    </row>
    <row r="45" spans="1:4">
      <c r="A45" s="1316" t="s">
        <v>3852</v>
      </c>
      <c r="B45" s="1329" t="s">
        <v>3870</v>
      </c>
      <c r="C45" s="1318">
        <f>-'Schema SP'!K58</f>
        <v>-3479821</v>
      </c>
      <c r="D45" s="1318">
        <v>112153</v>
      </c>
    </row>
    <row r="46" spans="1:4">
      <c r="A46" s="1316" t="s">
        <v>3852</v>
      </c>
      <c r="B46" s="1329" t="s">
        <v>3871</v>
      </c>
      <c r="C46" s="1318">
        <f>-'Schema SP'!K71</f>
        <v>0</v>
      </c>
      <c r="D46" s="1318">
        <v>0</v>
      </c>
    </row>
    <row r="47" spans="1:4">
      <c r="A47" s="1316" t="s">
        <v>3852</v>
      </c>
      <c r="B47" s="1329" t="s">
        <v>3872</v>
      </c>
      <c r="C47" s="1318">
        <f>-'Schema SP'!K72</f>
        <v>-2929264</v>
      </c>
      <c r="D47" s="1318">
        <v>5449065</v>
      </c>
    </row>
    <row r="48" spans="1:4">
      <c r="A48" s="1316" t="s">
        <v>3852</v>
      </c>
      <c r="B48" s="1329" t="s">
        <v>3873</v>
      </c>
      <c r="C48" s="1321"/>
      <c r="D48" s="1321"/>
    </row>
    <row r="49" spans="1:4">
      <c r="A49" s="1316" t="s">
        <v>3852</v>
      </c>
      <c r="B49" s="1329" t="s">
        <v>3874</v>
      </c>
      <c r="C49" s="1318">
        <f>-'Schema SP'!K76</f>
        <v>0</v>
      </c>
      <c r="D49" s="1318"/>
    </row>
    <row r="50" spans="1:4">
      <c r="A50" s="1316" t="s">
        <v>3852</v>
      </c>
      <c r="B50" s="1329" t="s">
        <v>3875</v>
      </c>
      <c r="C50" s="1318">
        <v>-471966</v>
      </c>
      <c r="D50" s="1318">
        <v>1449357</v>
      </c>
    </row>
    <row r="51" spans="1:4">
      <c r="A51" s="1312" t="s">
        <v>3852</v>
      </c>
      <c r="B51" s="1312" t="s">
        <v>3876</v>
      </c>
      <c r="C51" s="1307">
        <f>SUM(C37:C50)</f>
        <v>-6494653</v>
      </c>
      <c r="D51" s="1307">
        <v>6687340</v>
      </c>
    </row>
    <row r="52" spans="1:4">
      <c r="A52" s="1323" t="s">
        <v>3852</v>
      </c>
      <c r="B52" s="1329" t="s">
        <v>3877</v>
      </c>
      <c r="C52" s="1322">
        <f>-('Schema SP'!K41+'Schema SP'!K42)</f>
        <v>-31165</v>
      </c>
      <c r="D52" s="1322">
        <v>-52201</v>
      </c>
    </row>
    <row r="53" spans="1:4">
      <c r="A53" s="1323" t="s">
        <v>3852</v>
      </c>
      <c r="B53" s="1329" t="s">
        <v>3878</v>
      </c>
      <c r="C53" s="1322">
        <f>-('Schema SP'!K43+'Schema SP'!K44)</f>
        <v>0</v>
      </c>
      <c r="D53" s="1322">
        <v>0</v>
      </c>
    </row>
    <row r="54" spans="1:4">
      <c r="A54" s="1312" t="s">
        <v>3852</v>
      </c>
      <c r="B54" s="1331" t="s">
        <v>3879</v>
      </c>
      <c r="C54" s="1307">
        <f>SUM(C52:C53)</f>
        <v>-31165</v>
      </c>
      <c r="D54" s="1307">
        <v>-52201</v>
      </c>
    </row>
    <row r="55" spans="1:4">
      <c r="A55" s="1312" t="s">
        <v>3852</v>
      </c>
      <c r="B55" s="1312" t="s">
        <v>3880</v>
      </c>
      <c r="C55" s="1307">
        <f>-('Schema SP'!K88+'Schema SP'!K89)</f>
        <v>64109</v>
      </c>
      <c r="D55" s="1307">
        <v>404139</v>
      </c>
    </row>
    <row r="56" spans="1:4">
      <c r="A56" s="1324" t="s">
        <v>3881</v>
      </c>
      <c r="B56" s="1324"/>
      <c r="C56" s="1325">
        <f>C35+C36+C51+C54+C55+C25</f>
        <v>-1042422.0599999996</v>
      </c>
      <c r="D56" s="1325">
        <f>D35+D36+D51+D54+D55+D25</f>
        <v>10983920</v>
      </c>
    </row>
    <row r="57" spans="1:4" ht="14.4">
      <c r="A57" s="1326"/>
      <c r="B57" s="1326"/>
      <c r="C57" s="1327"/>
      <c r="D57" s="1327"/>
    </row>
    <row r="58" spans="1:4">
      <c r="A58" s="1308" t="s">
        <v>3882</v>
      </c>
      <c r="B58" s="1309"/>
      <c r="C58" s="1310"/>
      <c r="D58" s="1310"/>
    </row>
    <row r="59" spans="1:4">
      <c r="A59" s="1316" t="s">
        <v>3834</v>
      </c>
      <c r="B59" s="1317" t="s">
        <v>3883</v>
      </c>
      <c r="C59" s="1321"/>
      <c r="D59" s="1321"/>
    </row>
    <row r="60" spans="1:4">
      <c r="A60" s="1316" t="s">
        <v>3834</v>
      </c>
      <c r="B60" s="1317" t="s">
        <v>3884</v>
      </c>
      <c r="C60" s="1321"/>
      <c r="D60" s="1321"/>
    </row>
    <row r="61" spans="1:4">
      <c r="A61" s="1316" t="s">
        <v>3834</v>
      </c>
      <c r="B61" s="1317" t="s">
        <v>3885</v>
      </c>
      <c r="C61" s="1321"/>
      <c r="D61" s="1321"/>
    </row>
    <row r="62" spans="1:4">
      <c r="A62" s="1316" t="s">
        <v>3834</v>
      </c>
      <c r="B62" s="1317" t="s">
        <v>3886</v>
      </c>
      <c r="C62" s="1321"/>
      <c r="D62" s="1321"/>
    </row>
    <row r="63" spans="1:4">
      <c r="A63" s="1316" t="s">
        <v>3834</v>
      </c>
      <c r="B63" s="1317" t="s">
        <v>3887</v>
      </c>
      <c r="C63" s="1321">
        <v>-5781</v>
      </c>
      <c r="D63" s="1321">
        <v>-8540</v>
      </c>
    </row>
    <row r="64" spans="1:4">
      <c r="A64" s="1312" t="s">
        <v>3834</v>
      </c>
      <c r="B64" s="1331" t="s">
        <v>3888</v>
      </c>
      <c r="C64" s="1307">
        <f>SUM(C59:C63)</f>
        <v>-5781</v>
      </c>
      <c r="D64" s="1307">
        <f>SUM(D59:D63)</f>
        <v>-8540</v>
      </c>
    </row>
    <row r="65" spans="1:4">
      <c r="A65" s="1316" t="s">
        <v>3827</v>
      </c>
      <c r="B65" s="1317" t="s">
        <v>3889</v>
      </c>
      <c r="C65" s="1321"/>
      <c r="D65" s="1321"/>
    </row>
    <row r="66" spans="1:4">
      <c r="A66" s="1316" t="s">
        <v>3827</v>
      </c>
      <c r="B66" s="1317" t="s">
        <v>3890</v>
      </c>
      <c r="C66" s="1321"/>
      <c r="D66" s="1321"/>
    </row>
    <row r="67" spans="1:4">
      <c r="A67" s="1316" t="s">
        <v>3827</v>
      </c>
      <c r="B67" s="1317" t="s">
        <v>3891</v>
      </c>
      <c r="C67" s="1321"/>
      <c r="D67" s="1321"/>
    </row>
    <row r="68" spans="1:4">
      <c r="A68" s="1316" t="s">
        <v>3827</v>
      </c>
      <c r="B68" s="1317" t="s">
        <v>3892</v>
      </c>
      <c r="C68" s="1321"/>
      <c r="D68" s="1321"/>
    </row>
    <row r="69" spans="1:4">
      <c r="A69" s="1316" t="s">
        <v>3827</v>
      </c>
      <c r="B69" s="1317" t="s">
        <v>3893</v>
      </c>
      <c r="C69" s="1321"/>
      <c r="D69" s="1321"/>
    </row>
    <row r="70" spans="1:4">
      <c r="A70" s="1312" t="s">
        <v>3827</v>
      </c>
      <c r="B70" s="1331" t="s">
        <v>3894</v>
      </c>
      <c r="C70" s="1307">
        <f>SUM(C65:C69)</f>
        <v>0</v>
      </c>
      <c r="D70" s="1307">
        <f>SUM(D65:D69)</f>
        <v>0</v>
      </c>
    </row>
    <row r="71" spans="1:4">
      <c r="A71" s="1316" t="s">
        <v>3834</v>
      </c>
      <c r="B71" s="1317" t="s">
        <v>3895</v>
      </c>
      <c r="C71" s="1321"/>
      <c r="D71" s="1321"/>
    </row>
    <row r="72" spans="1:4">
      <c r="A72" s="1316" t="s">
        <v>3834</v>
      </c>
      <c r="B72" s="1317" t="s">
        <v>3896</v>
      </c>
      <c r="C72" s="1321">
        <v>-43346.6</v>
      </c>
      <c r="D72" s="1321"/>
    </row>
    <row r="73" spans="1:4">
      <c r="A73" s="1316" t="s">
        <v>3834</v>
      </c>
      <c r="B73" s="1317" t="s">
        <v>3897</v>
      </c>
      <c r="C73" s="1321"/>
      <c r="D73" s="1321"/>
    </row>
    <row r="74" spans="1:4">
      <c r="A74" s="1316" t="s">
        <v>3834</v>
      </c>
      <c r="B74" s="1317" t="s">
        <v>3898</v>
      </c>
      <c r="C74" s="1321">
        <v>-1953794.55</v>
      </c>
      <c r="D74" s="1321">
        <v>-1000651.35</v>
      </c>
    </row>
    <row r="75" spans="1:4">
      <c r="A75" s="1316" t="s">
        <v>3834</v>
      </c>
      <c r="B75" s="1317" t="s">
        <v>3899</v>
      </c>
      <c r="C75" s="1321">
        <v>-101309</v>
      </c>
      <c r="D75" s="1321">
        <v>-10536.4</v>
      </c>
    </row>
    <row r="76" spans="1:4">
      <c r="A76" s="1316" t="s">
        <v>3834</v>
      </c>
      <c r="B76" s="1317" t="s">
        <v>3900</v>
      </c>
      <c r="C76" s="1321">
        <v>0</v>
      </c>
      <c r="D76" s="1321">
        <v>-11332.83</v>
      </c>
    </row>
    <row r="77" spans="1:4">
      <c r="A77" s="1316" t="s">
        <v>3834</v>
      </c>
      <c r="B77" s="1317" t="s">
        <v>3901</v>
      </c>
      <c r="C77" s="1321">
        <v>-240247.95</v>
      </c>
      <c r="D77" s="1321">
        <v>-214246.56</v>
      </c>
    </row>
    <row r="78" spans="1:4">
      <c r="A78" s="1316" t="s">
        <v>3834</v>
      </c>
      <c r="B78" s="1317" t="s">
        <v>3902</v>
      </c>
      <c r="C78" s="1321">
        <v>-810838</v>
      </c>
      <c r="D78" s="1321">
        <v>-290788.61</v>
      </c>
    </row>
    <row r="79" spans="1:4">
      <c r="A79" s="1312" t="s">
        <v>3834</v>
      </c>
      <c r="B79" s="1331" t="s">
        <v>3903</v>
      </c>
      <c r="C79" s="1307">
        <f>SUM(C71:C78)</f>
        <v>-3149536.1000000006</v>
      </c>
      <c r="D79" s="1307">
        <f>SUM(D71:D78)</f>
        <v>-1527555.75</v>
      </c>
    </row>
    <row r="80" spans="1:4">
      <c r="A80" s="1316" t="s">
        <v>3827</v>
      </c>
      <c r="B80" s="1317" t="s">
        <v>3904</v>
      </c>
      <c r="C80" s="1321"/>
      <c r="D80" s="1321"/>
    </row>
    <row r="81" spans="1:4">
      <c r="A81" s="1316" t="s">
        <v>3827</v>
      </c>
      <c r="B81" s="1317" t="s">
        <v>3905</v>
      </c>
      <c r="C81" s="1321"/>
      <c r="D81" s="1321"/>
    </row>
    <row r="82" spans="1:4">
      <c r="A82" s="1316" t="s">
        <v>3827</v>
      </c>
      <c r="B82" s="1317" t="s">
        <v>3906</v>
      </c>
      <c r="C82" s="1321"/>
      <c r="D82" s="1321"/>
    </row>
    <row r="83" spans="1:4">
      <c r="A83" s="1316" t="s">
        <v>3827</v>
      </c>
      <c r="B83" s="1317" t="s">
        <v>3907</v>
      </c>
      <c r="C83" s="1321"/>
      <c r="D83" s="1321"/>
    </row>
    <row r="84" spans="1:4">
      <c r="A84" s="1316" t="s">
        <v>3827</v>
      </c>
      <c r="B84" s="1317" t="s">
        <v>3908</v>
      </c>
      <c r="C84" s="1321"/>
      <c r="D84" s="1321"/>
    </row>
    <row r="85" spans="1:4">
      <c r="A85" s="1316" t="s">
        <v>3827</v>
      </c>
      <c r="B85" s="1317" t="s">
        <v>3909</v>
      </c>
      <c r="C85" s="1321"/>
      <c r="D85" s="1321"/>
    </row>
    <row r="86" spans="1:4">
      <c r="A86" s="1316" t="s">
        <v>3827</v>
      </c>
      <c r="B86" s="1317" t="s">
        <v>3910</v>
      </c>
      <c r="C86" s="1321"/>
      <c r="D86" s="1321"/>
    </row>
    <row r="87" spans="1:4">
      <c r="A87" s="1312" t="s">
        <v>3827</v>
      </c>
      <c r="B87" s="1331" t="s">
        <v>3911</v>
      </c>
      <c r="C87" s="1307">
        <f>SUM(C80:C86)</f>
        <v>0</v>
      </c>
      <c r="D87" s="1307">
        <f>SUM(D80:D86)</f>
        <v>0</v>
      </c>
    </row>
    <row r="88" spans="1:4">
      <c r="A88" s="1316" t="s">
        <v>3834</v>
      </c>
      <c r="B88" s="1317" t="s">
        <v>3912</v>
      </c>
      <c r="C88" s="1321">
        <f>-'Schema SP'!K28</f>
        <v>16179000</v>
      </c>
      <c r="D88" s="1321">
        <v>-308604</v>
      </c>
    </row>
    <row r="89" spans="1:4">
      <c r="A89" s="1316" t="s">
        <v>3834</v>
      </c>
      <c r="B89" s="1317" t="s">
        <v>3913</v>
      </c>
      <c r="C89" s="1321"/>
      <c r="D89" s="1321"/>
    </row>
    <row r="90" spans="1:4">
      <c r="A90" s="1312" t="s">
        <v>3834</v>
      </c>
      <c r="B90" s="1331" t="s">
        <v>3914</v>
      </c>
      <c r="C90" s="1307">
        <f>SUM(C88:C89)</f>
        <v>16179000</v>
      </c>
      <c r="D90" s="1307">
        <f>SUM(D88:D89)</f>
        <v>-308604</v>
      </c>
    </row>
    <row r="91" spans="1:4">
      <c r="A91" s="1316" t="s">
        <v>3827</v>
      </c>
      <c r="B91" s="1317" t="s">
        <v>3915</v>
      </c>
      <c r="C91" s="1321"/>
      <c r="D91" s="1321"/>
    </row>
    <row r="92" spans="1:4">
      <c r="A92" s="1316" t="s">
        <v>3827</v>
      </c>
      <c r="B92" s="1317" t="s">
        <v>3916</v>
      </c>
      <c r="C92" s="1321"/>
      <c r="D92" s="1321"/>
    </row>
    <row r="93" spans="1:4">
      <c r="A93" s="1312" t="s">
        <v>3827</v>
      </c>
      <c r="B93" s="1331" t="s">
        <v>3917</v>
      </c>
      <c r="C93" s="1307">
        <f>SUM(C91:C92)</f>
        <v>0</v>
      </c>
      <c r="D93" s="1307">
        <f>SUM(D91:D92)</f>
        <v>0</v>
      </c>
    </row>
    <row r="94" spans="1:4">
      <c r="A94" s="1312" t="s">
        <v>3843</v>
      </c>
      <c r="B94" s="1331" t="s">
        <v>3918</v>
      </c>
      <c r="C94" s="1332"/>
      <c r="D94" s="1332"/>
    </row>
    <row r="95" spans="1:4">
      <c r="A95" s="1324" t="s">
        <v>3919</v>
      </c>
      <c r="B95" s="1324"/>
      <c r="C95" s="1325">
        <f>C64+C70+C79+C87+C90+C93+C94</f>
        <v>13023682.899999999</v>
      </c>
      <c r="D95" s="1325">
        <f>D64+D70+D79+D87+D90+D93+D94</f>
        <v>-1844699.75</v>
      </c>
    </row>
    <row r="96" spans="1:4" ht="14.4">
      <c r="A96" s="1326"/>
      <c r="B96" s="1326"/>
      <c r="C96" s="1327"/>
      <c r="D96" s="1327"/>
    </row>
    <row r="97" spans="1:4">
      <c r="A97" s="1308" t="s">
        <v>3920</v>
      </c>
      <c r="B97" s="1309"/>
      <c r="C97" s="1310"/>
      <c r="D97" s="1310"/>
    </row>
    <row r="98" spans="1:4">
      <c r="A98" s="1316" t="s">
        <v>3852</v>
      </c>
      <c r="B98" s="1316" t="s">
        <v>3921</v>
      </c>
      <c r="C98" s="1318">
        <f>-('Schema SP'!K51+'Schema SP'!K56)</f>
        <v>-16125369</v>
      </c>
      <c r="D98" s="1321">
        <v>0</v>
      </c>
    </row>
    <row r="99" spans="1:4">
      <c r="A99" s="1316" t="s">
        <v>3852</v>
      </c>
      <c r="B99" s="1316" t="s">
        <v>3922</v>
      </c>
      <c r="C99" s="1318"/>
      <c r="D99" s="1321">
        <v>0</v>
      </c>
    </row>
    <row r="100" spans="1:4">
      <c r="A100" s="1316" t="s">
        <v>3852</v>
      </c>
      <c r="B100" s="1316" t="s">
        <v>3923</v>
      </c>
      <c r="C100" s="1318">
        <f>-'Schema SP'!K68</f>
        <v>0</v>
      </c>
      <c r="D100" s="1321">
        <v>0</v>
      </c>
    </row>
    <row r="101" spans="1:4">
      <c r="A101" s="1316" t="s">
        <v>3852</v>
      </c>
      <c r="B101" s="1316" t="s">
        <v>3924</v>
      </c>
      <c r="C101" s="1318">
        <f>-'Schema SP'!K69</f>
        <v>0</v>
      </c>
      <c r="D101" s="1321">
        <v>0</v>
      </c>
    </row>
    <row r="102" spans="1:4">
      <c r="A102" s="1316" t="s">
        <v>3852</v>
      </c>
      <c r="B102" s="1316" t="s">
        <v>3925</v>
      </c>
      <c r="C102" s="1318">
        <f>-'Schema SP'!K70</f>
        <v>0</v>
      </c>
      <c r="D102" s="1321">
        <v>0</v>
      </c>
    </row>
    <row r="103" spans="1:4">
      <c r="A103" s="1312" t="s">
        <v>3827</v>
      </c>
      <c r="B103" s="1312" t="s">
        <v>3926</v>
      </c>
      <c r="C103" s="1307">
        <f>'Schema SP'!K109</f>
        <v>0</v>
      </c>
      <c r="D103" s="1307">
        <f>'Schema SP'!L109</f>
        <v>0</v>
      </c>
    </row>
    <row r="104" spans="1:4">
      <c r="A104" s="1316" t="s">
        <v>3827</v>
      </c>
      <c r="B104" s="1316" t="s">
        <v>3927</v>
      </c>
      <c r="C104" s="1333">
        <f>SUM('Alimentazione SP P'!H6:H18)+'Alimentazione SP P'!H26+'Alimentazione SP P'!H27-SUM('Alimentazione SP P'!I6:I18)-'Alimentazione SP P'!I26-'Alimentazione SP P'!I27-'Rendiconto finanziario'!C10</f>
        <v>10289900.26</v>
      </c>
      <c r="D104" s="1321">
        <v>4009648</v>
      </c>
    </row>
    <row r="105" spans="1:4">
      <c r="A105" s="1316" t="s">
        <v>3852</v>
      </c>
      <c r="B105" s="1316" t="s">
        <v>3928</v>
      </c>
      <c r="C105" s="1333">
        <f>'Schema SP'!K124-'Schema SP'!K109-'Rendiconto finanziario'!C104-'Rendiconto finanziario'!C4-'Rendiconto finanziario'!C10</f>
        <v>-91938</v>
      </c>
      <c r="D105" s="1321">
        <v>-42854</v>
      </c>
    </row>
    <row r="106" spans="1:4">
      <c r="A106" s="1312" t="s">
        <v>3852</v>
      </c>
      <c r="B106" s="1331" t="s">
        <v>3929</v>
      </c>
      <c r="C106" s="1307">
        <f>SUM(C104:C105)</f>
        <v>10197962.26</v>
      </c>
      <c r="D106" s="1307">
        <f>SUM(D104:D105)</f>
        <v>3966794</v>
      </c>
    </row>
    <row r="107" spans="1:4">
      <c r="A107" s="1312" t="s">
        <v>3852</v>
      </c>
      <c r="B107" s="1334" t="s">
        <v>3930</v>
      </c>
      <c r="C107" s="1307">
        <f>'Schema SP'!K151</f>
        <v>0</v>
      </c>
      <c r="D107" s="1307" t="str">
        <f>'Schema SP'!L151</f>
        <v xml:space="preserve">-    </v>
      </c>
    </row>
    <row r="108" spans="1:4">
      <c r="A108" s="1316" t="s">
        <v>3827</v>
      </c>
      <c r="B108" s="1316" t="s">
        <v>3931</v>
      </c>
      <c r="C108" s="1321"/>
      <c r="D108" s="1321"/>
    </row>
    <row r="109" spans="1:4">
      <c r="A109" s="1316" t="s">
        <v>3834</v>
      </c>
      <c r="B109" s="1316" t="s">
        <v>3932</v>
      </c>
      <c r="C109" s="1318">
        <f>-C108+'Schema SP'!K138</f>
        <v>0</v>
      </c>
      <c r="D109" s="1318">
        <v>0</v>
      </c>
    </row>
    <row r="110" spans="1:4">
      <c r="A110" s="1324" t="s">
        <v>3933</v>
      </c>
      <c r="B110" s="1324"/>
      <c r="C110" s="1325">
        <f>C98+C99+C100+C101+C102+C103+C106+C107+C108+C109</f>
        <v>-5927406.7400000002</v>
      </c>
      <c r="D110" s="1325">
        <f>SUM(D98:D103)+SUM(D106:D109)</f>
        <v>3966794</v>
      </c>
    </row>
    <row r="111" spans="1:4">
      <c r="A111" s="1316"/>
      <c r="B111" s="1316"/>
      <c r="C111" s="1335"/>
      <c r="D111" s="1335"/>
    </row>
    <row r="112" spans="1:4">
      <c r="A112" s="1308" t="s">
        <v>3934</v>
      </c>
      <c r="B112" s="1309"/>
      <c r="C112" s="1311">
        <f>C56+C95+C110</f>
        <v>6053854.0999999996</v>
      </c>
      <c r="D112" s="1311">
        <f>D56+D95+D110</f>
        <v>13106014.25</v>
      </c>
    </row>
    <row r="113" spans="1:4">
      <c r="A113" s="1331" t="s">
        <v>3935</v>
      </c>
      <c r="B113" s="1336"/>
      <c r="C113" s="1337">
        <f>'Schema SP'!I81-'Schema SP'!J81</f>
        <v>6053854</v>
      </c>
      <c r="D113" s="1337">
        <v>13106014</v>
      </c>
    </row>
    <row r="114" spans="1:4">
      <c r="A114" s="1316"/>
      <c r="B114" s="1338"/>
      <c r="C114" s="1306"/>
      <c r="D114" s="1306"/>
    </row>
    <row r="115" spans="1:4">
      <c r="A115" s="1339" t="s">
        <v>3936</v>
      </c>
      <c r="B115" s="1340"/>
      <c r="C115" s="1341">
        <f>C112-C113</f>
        <v>9.999999962747097E-2</v>
      </c>
      <c r="D115" s="1341">
        <f>D112-D113</f>
        <v>0.25</v>
      </c>
    </row>
  </sheetData>
  <mergeCells count="1">
    <mergeCell ref="A1:B1"/>
  </mergeCells>
  <pageMargins left="0.74" right="0.31496062992125984" top="0.59055118110236227" bottom="0.55118110236220474" header="0.31496062992125984" footer="0.15748031496062992"/>
  <pageSetup paperSize="9" scale="80" fitToHeight="0" orientation="portrait" r:id="rId1"/>
  <rowBreaks count="1" manualBreakCount="1">
    <brk id="56" max="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652"/>
  <sheetViews>
    <sheetView view="pageBreakPreview" zoomScale="60" zoomScaleNormal="100" workbookViewId="0">
      <selection activeCell="A19" sqref="A19"/>
    </sheetView>
  </sheetViews>
  <sheetFormatPr defaultColWidth="16.6640625" defaultRowHeight="13.2"/>
  <cols>
    <col min="1" max="1" width="8.5546875" customWidth="1"/>
    <col min="2" max="2" width="13.88671875" customWidth="1"/>
    <col min="3" max="3" width="38.33203125" customWidth="1"/>
    <col min="4" max="4" width="22.109375" customWidth="1"/>
    <col min="5" max="5" width="22.44140625" customWidth="1"/>
    <col min="6" max="6" width="10.109375" customWidth="1"/>
    <col min="7" max="10" width="5.33203125" customWidth="1"/>
    <col min="11" max="11" width="9.33203125" customWidth="1"/>
    <col min="12" max="12" width="5.33203125" customWidth="1"/>
  </cols>
  <sheetData>
    <row r="1" spans="1:20" ht="17.399999999999999">
      <c r="A1" s="1423" t="s">
        <v>1512</v>
      </c>
      <c r="C1" s="1424"/>
      <c r="D1" s="34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T1" s="35"/>
    </row>
    <row r="2" spans="1:20" ht="17.399999999999999">
      <c r="A2" s="1425"/>
      <c r="C2" s="1424"/>
      <c r="D2" s="34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T2" s="35"/>
    </row>
    <row r="3" spans="1:20" ht="20.399999999999999">
      <c r="A3" s="1426" t="s">
        <v>1513</v>
      </c>
      <c r="C3" s="1427"/>
      <c r="D3" s="37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40"/>
    </row>
    <row r="4" spans="1:20" ht="13.8" thickBot="1">
      <c r="A4" s="42"/>
      <c r="B4" s="1428"/>
      <c r="C4" s="1428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0"/>
    </row>
    <row r="5" spans="1:20" ht="18" thickBot="1">
      <c r="A5" s="1429" t="s">
        <v>1514</v>
      </c>
      <c r="B5" s="200"/>
      <c r="C5" s="1430"/>
      <c r="D5" s="1561" t="s">
        <v>1515</v>
      </c>
      <c r="E5" s="1562"/>
      <c r="F5" s="1562"/>
      <c r="G5" s="1562"/>
      <c r="H5" s="1562"/>
      <c r="I5" s="1562"/>
      <c r="J5" s="1562"/>
      <c r="K5" s="1563"/>
    </row>
    <row r="6" spans="1:20" ht="17.399999999999999">
      <c r="A6" s="1431"/>
      <c r="B6" s="1432"/>
      <c r="C6" s="1433"/>
      <c r="D6" s="43"/>
      <c r="E6" s="43"/>
      <c r="F6" s="43"/>
      <c r="G6" s="43"/>
      <c r="H6" s="43"/>
      <c r="I6" s="43"/>
      <c r="J6" s="43"/>
      <c r="K6" s="44"/>
    </row>
    <row r="7" spans="1:20">
      <c r="A7" s="1559" t="s">
        <v>3953</v>
      </c>
      <c r="B7" s="1560"/>
      <c r="D7" s="1434" t="s">
        <v>1518</v>
      </c>
      <c r="G7" s="46">
        <v>2</v>
      </c>
      <c r="H7" s="46">
        <v>0</v>
      </c>
      <c r="I7" s="46">
        <v>2</v>
      </c>
      <c r="J7" s="46">
        <v>0</v>
      </c>
      <c r="K7" s="1435"/>
    </row>
    <row r="8" spans="1:20" ht="17.399999999999999">
      <c r="A8" s="1477"/>
      <c r="B8" s="1423"/>
      <c r="C8" s="1436"/>
      <c r="E8" s="42"/>
      <c r="F8" s="42"/>
      <c r="G8" s="42"/>
      <c r="H8" s="42"/>
      <c r="I8" s="42"/>
      <c r="J8" s="42"/>
      <c r="K8" s="47"/>
    </row>
    <row r="9" spans="1:20" ht="17.399999999999999">
      <c r="A9" s="1559" t="s">
        <v>3954</v>
      </c>
      <c r="B9" s="1560"/>
      <c r="C9" s="1436"/>
      <c r="D9" s="1434" t="s">
        <v>3955</v>
      </c>
      <c r="E9" s="46"/>
      <c r="F9" s="42">
        <v>2</v>
      </c>
      <c r="G9" s="46"/>
      <c r="H9" s="42">
        <v>3</v>
      </c>
      <c r="I9" s="46"/>
      <c r="J9" s="42">
        <v>4</v>
      </c>
      <c r="K9" s="1437"/>
    </row>
    <row r="10" spans="1:20" ht="17.399999999999999">
      <c r="A10" s="1477"/>
      <c r="B10" s="1423"/>
      <c r="C10" s="1436"/>
      <c r="E10" s="42"/>
      <c r="F10" s="42"/>
      <c r="G10" s="42"/>
      <c r="H10" s="42"/>
      <c r="I10" s="42"/>
      <c r="J10" s="42"/>
      <c r="K10" s="47"/>
    </row>
    <row r="11" spans="1:20" ht="17.399999999999999">
      <c r="A11" s="1478" t="s">
        <v>2131</v>
      </c>
      <c r="B11" s="1428"/>
      <c r="C11" s="1436"/>
      <c r="D11" s="1434" t="s">
        <v>1520</v>
      </c>
      <c r="E11" s="46"/>
      <c r="F11" s="42"/>
      <c r="G11" s="42"/>
      <c r="H11" s="1004" t="s">
        <v>1521</v>
      </c>
      <c r="I11" s="46" t="s">
        <v>2132</v>
      </c>
      <c r="J11" s="42"/>
      <c r="K11" s="1435"/>
    </row>
    <row r="12" spans="1:20" ht="18" thickBot="1">
      <c r="A12" s="1438"/>
      <c r="B12" s="1439"/>
      <c r="C12" s="1440"/>
      <c r="D12" s="53"/>
      <c r="E12" s="53"/>
      <c r="F12" s="53"/>
      <c r="G12" s="53"/>
      <c r="H12" s="53"/>
      <c r="I12" s="53"/>
      <c r="J12" s="53"/>
      <c r="K12" s="54"/>
    </row>
    <row r="13" spans="1:20" ht="17.399999999999999">
      <c r="B13" s="1428"/>
      <c r="C13" s="1428"/>
      <c r="D13" s="50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0"/>
    </row>
    <row r="14" spans="1:20" ht="18" thickBot="1">
      <c r="B14" s="1428"/>
      <c r="C14" s="1428"/>
      <c r="D14" s="50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0"/>
    </row>
    <row r="15" spans="1:20" ht="15.6" thickBot="1">
      <c r="A15" s="1479" t="s">
        <v>1522</v>
      </c>
      <c r="B15" s="1480"/>
      <c r="C15" s="1480"/>
      <c r="D15" s="1480"/>
      <c r="E15" s="1480"/>
      <c r="F15" s="1480"/>
      <c r="G15" s="1480"/>
      <c r="H15" s="1481"/>
      <c r="I15" s="39"/>
    </row>
    <row r="16" spans="1:20" ht="15">
      <c r="A16" s="56"/>
      <c r="B16" s="1441"/>
      <c r="C16" s="57"/>
      <c r="D16" s="57"/>
      <c r="E16" s="57"/>
      <c r="F16" s="57"/>
      <c r="G16" s="57"/>
      <c r="H16" s="58"/>
      <c r="I16" s="39"/>
    </row>
    <row r="17" spans="1:30" ht="15">
      <c r="A17" s="59"/>
      <c r="B17" s="1428"/>
      <c r="C17" s="1110" t="s">
        <v>3952</v>
      </c>
      <c r="D17" s="46" t="s">
        <v>2132</v>
      </c>
      <c r="E17" s="40"/>
      <c r="F17" s="1004" t="s">
        <v>1524</v>
      </c>
      <c r="G17" s="46"/>
      <c r="H17" s="47"/>
      <c r="I17" s="39"/>
    </row>
    <row r="18" spans="1:30" ht="15.6" thickBot="1">
      <c r="A18" s="60"/>
      <c r="B18" s="1439"/>
      <c r="C18" s="53"/>
      <c r="D18" s="53"/>
      <c r="E18" s="53"/>
      <c r="F18" s="53"/>
      <c r="G18" s="53"/>
      <c r="H18" s="54"/>
      <c r="I18" s="39"/>
    </row>
    <row r="19" spans="1:30" ht="52.5" customHeight="1">
      <c r="A19" s="41"/>
      <c r="B19" s="49"/>
      <c r="C19" s="49"/>
      <c r="D19" s="5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39"/>
      <c r="AA19" s="40"/>
    </row>
    <row r="20" spans="1:30" ht="18" thickBot="1">
      <c r="A20" s="61"/>
      <c r="B20" s="62"/>
      <c r="C20" s="62"/>
      <c r="D20" s="52" t="s">
        <v>2123</v>
      </c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U20" s="63"/>
      <c r="V20" s="63"/>
      <c r="W20" s="63"/>
      <c r="X20" s="63"/>
      <c r="Y20" s="64"/>
      <c r="Z20" s="65"/>
    </row>
    <row r="21" spans="1:30" s="212" customFormat="1" ht="66" customHeight="1" thickBot="1">
      <c r="A21" s="179" t="s">
        <v>1525</v>
      </c>
      <c r="B21" s="66" t="s">
        <v>1526</v>
      </c>
      <c r="C21" s="279" t="s">
        <v>1527</v>
      </c>
      <c r="D21" s="209" t="s">
        <v>3950</v>
      </c>
      <c r="E21" s="209" t="s">
        <v>2130</v>
      </c>
      <c r="F21" s="67"/>
      <c r="G21" s="210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211"/>
      <c r="Y21" s="68"/>
      <c r="Z21" s="68"/>
      <c r="AA21" s="68"/>
      <c r="AB21" s="68"/>
      <c r="AD21" s="213"/>
    </row>
    <row r="22" spans="1:30" ht="18">
      <c r="A22" s="180"/>
      <c r="B22" s="113"/>
      <c r="C22" s="114" t="s">
        <v>2133</v>
      </c>
      <c r="D22" s="115"/>
      <c r="E22" s="115"/>
      <c r="F22" s="207"/>
      <c r="G22" s="194"/>
    </row>
    <row r="23" spans="1:30" ht="18">
      <c r="A23" s="181"/>
      <c r="B23" s="116" t="s">
        <v>1528</v>
      </c>
      <c r="C23" s="117" t="s">
        <v>1529</v>
      </c>
      <c r="D23" s="118">
        <f>(D24+D33+D48+D53)</f>
        <v>44123034.479999997</v>
      </c>
      <c r="E23" s="118">
        <f>(E24+E33+E48+E53)</f>
        <v>36892988</v>
      </c>
      <c r="F23" s="207" t="s">
        <v>2141</v>
      </c>
      <c r="G23" s="194"/>
      <c r="J23" s="69"/>
    </row>
    <row r="24" spans="1:30" ht="26.4">
      <c r="A24" s="182"/>
      <c r="B24" s="111" t="s">
        <v>1530</v>
      </c>
      <c r="C24" s="112" t="s">
        <v>1531</v>
      </c>
      <c r="D24" s="110">
        <f>+D25+D32</f>
        <v>34988580.189999998</v>
      </c>
      <c r="E24" s="110">
        <f>+E25+E32</f>
        <v>28310784</v>
      </c>
      <c r="F24" s="207" t="s">
        <v>2141</v>
      </c>
      <c r="G24" s="194"/>
      <c r="H24" s="73"/>
      <c r="J24" s="69"/>
      <c r="L24" s="73"/>
    </row>
    <row r="25" spans="1:30" ht="26.4">
      <c r="A25" s="181"/>
      <c r="B25" s="122" t="s">
        <v>132</v>
      </c>
      <c r="C25" s="123" t="s">
        <v>1532</v>
      </c>
      <c r="D25" s="124">
        <f>+D26+D27+D28+D31</f>
        <v>34988580.189999998</v>
      </c>
      <c r="E25" s="124">
        <f>+E26+E27+E28+E31</f>
        <v>28310784</v>
      </c>
      <c r="F25" s="207" t="s">
        <v>2141</v>
      </c>
      <c r="G25" s="194"/>
      <c r="H25" s="73"/>
      <c r="J25" s="69"/>
      <c r="L25" s="73"/>
    </row>
    <row r="26" spans="1:30" ht="18">
      <c r="A26" s="181"/>
      <c r="B26" s="78" t="s">
        <v>133</v>
      </c>
      <c r="C26" s="79" t="s">
        <v>1533</v>
      </c>
      <c r="D26" s="72">
        <f>'Alimentazione CE Ricavi'!H6</f>
        <v>11008013</v>
      </c>
      <c r="E26" s="72">
        <f>'Alimentazione CE Ricavi'!I6</f>
        <v>12379051</v>
      </c>
      <c r="F26" s="207"/>
      <c r="G26" s="194"/>
      <c r="H26" s="73"/>
      <c r="J26" s="69"/>
      <c r="L26" s="73"/>
    </row>
    <row r="27" spans="1:30" ht="26.4">
      <c r="A27" s="181"/>
      <c r="B27" s="78" t="s">
        <v>135</v>
      </c>
      <c r="C27" s="79" t="s">
        <v>1534</v>
      </c>
      <c r="D27" s="72">
        <f>'Alimentazione CE Ricavi'!H7</f>
        <v>16550909.189999999</v>
      </c>
      <c r="E27" s="72">
        <f>'Alimentazione CE Ricavi'!I7</f>
        <v>11249606</v>
      </c>
      <c r="F27" s="207"/>
      <c r="G27" s="194"/>
      <c r="H27" s="73"/>
      <c r="J27" s="69"/>
      <c r="L27" s="73"/>
    </row>
    <row r="28" spans="1:30" ht="18">
      <c r="A28" s="181"/>
      <c r="B28" s="125" t="s">
        <v>136</v>
      </c>
      <c r="C28" s="126" t="s">
        <v>1535</v>
      </c>
      <c r="D28" s="127">
        <f>+D29+D30</f>
        <v>7429658</v>
      </c>
      <c r="E28" s="127">
        <f>+E29+E30</f>
        <v>4682127</v>
      </c>
      <c r="F28" s="207" t="s">
        <v>2141</v>
      </c>
      <c r="G28" s="194"/>
      <c r="H28" s="73"/>
      <c r="J28" s="69"/>
      <c r="L28" s="73"/>
    </row>
    <row r="29" spans="1:30" ht="18">
      <c r="A29" s="181"/>
      <c r="B29" s="80" t="s">
        <v>138</v>
      </c>
      <c r="C29" s="81" t="s">
        <v>1536</v>
      </c>
      <c r="D29" s="72">
        <f>'Alimentazione CE Ricavi'!H9</f>
        <v>2328685</v>
      </c>
      <c r="E29" s="72">
        <f>'Alimentazione CE Ricavi'!I9</f>
        <v>2328685</v>
      </c>
      <c r="F29" s="207"/>
      <c r="G29" s="194"/>
      <c r="H29" s="73"/>
      <c r="J29" s="69"/>
      <c r="L29" s="73"/>
    </row>
    <row r="30" spans="1:30" ht="18">
      <c r="A30" s="181"/>
      <c r="B30" s="80" t="s">
        <v>140</v>
      </c>
      <c r="C30" s="81" t="s">
        <v>1537</v>
      </c>
      <c r="D30" s="72">
        <f>'Alimentazione CE Ricavi'!H10</f>
        <v>5100973</v>
      </c>
      <c r="E30" s="72">
        <f>'Alimentazione CE Ricavi'!I10</f>
        <v>2353442</v>
      </c>
      <c r="F30" s="207"/>
      <c r="G30" s="194"/>
      <c r="H30" s="73"/>
      <c r="J30" s="69"/>
      <c r="L30" s="73"/>
    </row>
    <row r="31" spans="1:30" ht="39.6">
      <c r="A31" s="181"/>
      <c r="B31" s="78" t="s">
        <v>142</v>
      </c>
      <c r="C31" s="79" t="s">
        <v>1538</v>
      </c>
      <c r="D31" s="72">
        <f>'Alimentazione CE Ricavi'!H11</f>
        <v>0</v>
      </c>
      <c r="E31" s="72">
        <f>'Alimentazione CE Ricavi'!I11</f>
        <v>0</v>
      </c>
      <c r="F31" s="207"/>
      <c r="G31" s="194"/>
      <c r="H31" s="73"/>
      <c r="J31" s="69"/>
      <c r="L31" s="73"/>
    </row>
    <row r="32" spans="1:30" ht="26.4">
      <c r="A32" s="181"/>
      <c r="B32" s="122" t="s">
        <v>144</v>
      </c>
      <c r="C32" s="123" t="s">
        <v>1539</v>
      </c>
      <c r="D32" s="124">
        <f>+'Alimentazione CE Ricavi'!H13+'Alimentazione CE Ricavi'!H14+'Alimentazione CE Ricavi'!H15</f>
        <v>0</v>
      </c>
      <c r="E32" s="124">
        <f>+'Alimentazione CE Ricavi'!I13+'Alimentazione CE Ricavi'!I14+'Alimentazione CE Ricavi'!I15</f>
        <v>0</v>
      </c>
      <c r="F32" s="207"/>
      <c r="G32" s="194"/>
      <c r="H32" s="73"/>
      <c r="J32" s="69"/>
      <c r="L32" s="73"/>
    </row>
    <row r="33" spans="1:12" ht="26.4">
      <c r="A33" s="181"/>
      <c r="B33" s="111" t="s">
        <v>149</v>
      </c>
      <c r="C33" s="112" t="s">
        <v>1540</v>
      </c>
      <c r="D33" s="110">
        <f>+D34+D39+D42</f>
        <v>180614.36</v>
      </c>
      <c r="E33" s="110">
        <f>+E34+E39+E42</f>
        <v>114073</v>
      </c>
      <c r="F33" s="207" t="s">
        <v>2141</v>
      </c>
      <c r="G33" s="194"/>
      <c r="H33" s="73"/>
      <c r="J33" s="69"/>
      <c r="L33" s="73"/>
    </row>
    <row r="34" spans="1:12" ht="26.4">
      <c r="A34" s="181"/>
      <c r="B34" s="122" t="s">
        <v>151</v>
      </c>
      <c r="C34" s="123" t="s">
        <v>1541</v>
      </c>
      <c r="D34" s="124">
        <f>+D35+D36+D37+D38</f>
        <v>180614.36</v>
      </c>
      <c r="E34" s="124">
        <f>+E35+E36+E37+E38</f>
        <v>114073</v>
      </c>
      <c r="F34" s="207" t="s">
        <v>2141</v>
      </c>
      <c r="G34" s="194"/>
      <c r="H34" s="73"/>
      <c r="J34" s="69"/>
      <c r="L34" s="73"/>
    </row>
    <row r="35" spans="1:12" ht="26.4">
      <c r="A35" s="181"/>
      <c r="B35" s="78" t="s">
        <v>153</v>
      </c>
      <c r="C35" s="79" t="s">
        <v>1542</v>
      </c>
      <c r="D35" s="72">
        <f>+'Alimentazione CE Ricavi'!H19+'Alimentazione CE Ricavi'!H20+'Alimentazione CE Ricavi'!H21+'Alimentazione CE Ricavi'!H22+'Alimentazione CE Ricavi'!H23+'Alimentazione CE Ricavi'!H24</f>
        <v>180614.36</v>
      </c>
      <c r="E35" s="72">
        <f>+'Alimentazione CE Ricavi'!I19+'Alimentazione CE Ricavi'!I20+'Alimentazione CE Ricavi'!I21+'Alimentazione CE Ricavi'!I22+'Alimentazione CE Ricavi'!I23+'Alimentazione CE Ricavi'!I24</f>
        <v>104000</v>
      </c>
      <c r="F35" s="207"/>
      <c r="G35" s="194"/>
      <c r="H35" s="73"/>
      <c r="J35" s="69"/>
      <c r="L35" s="73"/>
    </row>
    <row r="36" spans="1:12" ht="39.6">
      <c r="A36" s="181"/>
      <c r="B36" s="78" t="s">
        <v>160</v>
      </c>
      <c r="C36" s="79" t="s">
        <v>2142</v>
      </c>
      <c r="D36" s="72">
        <f>+'Alimentazione CE Ricavi'!H25</f>
        <v>0</v>
      </c>
      <c r="E36" s="72">
        <f>+'Alimentazione CE Ricavi'!I25</f>
        <v>0</v>
      </c>
      <c r="F36" s="207"/>
      <c r="G36" s="194"/>
      <c r="H36" s="73"/>
      <c r="J36" s="69"/>
      <c r="L36" s="73"/>
    </row>
    <row r="37" spans="1:12" ht="52.8">
      <c r="A37" s="181"/>
      <c r="B37" s="78" t="s">
        <v>161</v>
      </c>
      <c r="C37" s="79" t="s">
        <v>2143</v>
      </c>
      <c r="D37" s="72">
        <f>+'Alimentazione CE Ricavi'!H26</f>
        <v>0</v>
      </c>
      <c r="E37" s="72">
        <f>+'Alimentazione CE Ricavi'!I26</f>
        <v>0</v>
      </c>
      <c r="F37" s="207"/>
      <c r="G37" s="194"/>
      <c r="H37" s="73"/>
      <c r="J37" s="69"/>
      <c r="L37" s="73"/>
    </row>
    <row r="38" spans="1:12" ht="26.4">
      <c r="A38" s="181"/>
      <c r="B38" s="78" t="s">
        <v>163</v>
      </c>
      <c r="C38" s="79" t="s">
        <v>1543</v>
      </c>
      <c r="D38" s="72">
        <f>+'Alimentazione CE Ricavi'!H27</f>
        <v>0</v>
      </c>
      <c r="E38" s="72">
        <f>+'Alimentazione CE Ricavi'!I27</f>
        <v>10073</v>
      </c>
      <c r="F38" s="207"/>
      <c r="G38" s="194"/>
      <c r="H38" s="73"/>
      <c r="J38" s="69"/>
      <c r="L38" s="73"/>
    </row>
    <row r="39" spans="1:12" ht="39.6">
      <c r="A39" s="181"/>
      <c r="B39" s="122" t="s">
        <v>165</v>
      </c>
      <c r="C39" s="123" t="s">
        <v>1544</v>
      </c>
      <c r="D39" s="124">
        <f>+D40+D41</f>
        <v>0</v>
      </c>
      <c r="E39" s="124">
        <f>+E40+E41</f>
        <v>0</v>
      </c>
      <c r="F39" s="207" t="s">
        <v>2141</v>
      </c>
      <c r="G39" s="194"/>
      <c r="H39" s="73"/>
      <c r="J39" s="69"/>
      <c r="L39" s="73"/>
    </row>
    <row r="40" spans="1:12" ht="39.6">
      <c r="A40" s="181" t="s">
        <v>1545</v>
      </c>
      <c r="B40" s="78" t="s">
        <v>167</v>
      </c>
      <c r="C40" s="79" t="s">
        <v>1546</v>
      </c>
      <c r="D40" s="72">
        <f>+'Alimentazione CE Ricavi'!H29</f>
        <v>0</v>
      </c>
      <c r="E40" s="72">
        <f>+'Alimentazione CE Ricavi'!I29</f>
        <v>0</v>
      </c>
      <c r="F40" s="207"/>
      <c r="G40" s="194"/>
      <c r="H40" s="73"/>
      <c r="J40" s="69"/>
      <c r="L40" s="73"/>
    </row>
    <row r="41" spans="1:12" ht="39.6">
      <c r="A41" s="181" t="s">
        <v>1545</v>
      </c>
      <c r="B41" s="78" t="s">
        <v>169</v>
      </c>
      <c r="C41" s="79" t="s">
        <v>1547</v>
      </c>
      <c r="D41" s="72">
        <f>+'Alimentazione CE Ricavi'!H30</f>
        <v>0</v>
      </c>
      <c r="E41" s="72">
        <f>+'Alimentazione CE Ricavi'!I30</f>
        <v>0</v>
      </c>
      <c r="F41" s="207"/>
      <c r="G41" s="194"/>
      <c r="H41" s="73"/>
      <c r="J41" s="69"/>
      <c r="L41" s="73"/>
    </row>
    <row r="42" spans="1:12" ht="39.6">
      <c r="A42" s="183"/>
      <c r="B42" s="122" t="s">
        <v>171</v>
      </c>
      <c r="C42" s="123" t="s">
        <v>1548</v>
      </c>
      <c r="D42" s="124">
        <f>+D43+D44+D45+D46+D47</f>
        <v>0</v>
      </c>
      <c r="E42" s="124">
        <f>+E43+E44+E45+E46+E47</f>
        <v>0</v>
      </c>
      <c r="F42" s="207" t="s">
        <v>2141</v>
      </c>
      <c r="G42" s="194"/>
      <c r="H42" s="73"/>
      <c r="J42" s="69"/>
      <c r="L42" s="73"/>
    </row>
    <row r="43" spans="1:12" ht="26.4">
      <c r="A43" s="183"/>
      <c r="B43" s="78" t="s">
        <v>173</v>
      </c>
      <c r="C43" s="79" t="s">
        <v>1549</v>
      </c>
      <c r="D43" s="72">
        <f>+'Alimentazione CE Ricavi'!H32</f>
        <v>0</v>
      </c>
      <c r="E43" s="72">
        <f>+'Alimentazione CE Ricavi'!I32</f>
        <v>0</v>
      </c>
      <c r="F43" s="205"/>
      <c r="G43" s="194"/>
      <c r="H43" s="73"/>
      <c r="J43" s="69"/>
      <c r="L43" s="73"/>
    </row>
    <row r="44" spans="1:12" ht="26.4">
      <c r="A44" s="183"/>
      <c r="B44" s="78" t="s">
        <v>175</v>
      </c>
      <c r="C44" s="79" t="s">
        <v>1550</v>
      </c>
      <c r="D44" s="72">
        <f>+'Alimentazione CE Ricavi'!H34+'Alimentazione CE Ricavi'!H35+'Alimentazione CE Ricavi'!H36+'Alimentazione CE Ricavi'!H37+'Alimentazione CE Ricavi'!H38+'Alimentazione CE Ricavi'!H39</f>
        <v>0</v>
      </c>
      <c r="E44" s="72">
        <f>+'Alimentazione CE Ricavi'!I34+'Alimentazione CE Ricavi'!I35+'Alimentazione CE Ricavi'!I36+'Alimentazione CE Ricavi'!I37+'Alimentazione CE Ricavi'!I38+'Alimentazione CE Ricavi'!I39</f>
        <v>0</v>
      </c>
      <c r="F44" s="205"/>
      <c r="G44" s="194"/>
      <c r="H44" s="73"/>
      <c r="J44" s="69"/>
      <c r="L44" s="73"/>
    </row>
    <row r="45" spans="1:12" ht="26.4">
      <c r="A45" s="183"/>
      <c r="B45" s="78" t="s">
        <v>183</v>
      </c>
      <c r="C45" s="79" t="s">
        <v>1551</v>
      </c>
      <c r="D45" s="72">
        <f>+'Alimentazione CE Ricavi'!H40</f>
        <v>0</v>
      </c>
      <c r="E45" s="72">
        <f>+'Alimentazione CE Ricavi'!I40</f>
        <v>0</v>
      </c>
      <c r="F45" s="205"/>
      <c r="G45" s="194"/>
      <c r="H45" s="73"/>
      <c r="J45" s="69"/>
      <c r="L45" s="73"/>
    </row>
    <row r="46" spans="1:12" ht="26.4">
      <c r="A46" s="183"/>
      <c r="B46" s="78" t="s">
        <v>185</v>
      </c>
      <c r="C46" s="79" t="s">
        <v>1552</v>
      </c>
      <c r="D46" s="72">
        <f>+'Alimentazione CE Ricavi'!H41</f>
        <v>0</v>
      </c>
      <c r="E46" s="72">
        <f>+'Alimentazione CE Ricavi'!I41</f>
        <v>0</v>
      </c>
      <c r="F46" s="205"/>
      <c r="G46" s="194"/>
      <c r="H46" s="73"/>
      <c r="J46" s="69"/>
      <c r="L46" s="73"/>
    </row>
    <row r="47" spans="1:12" ht="79.2">
      <c r="A47" s="183"/>
      <c r="B47" s="78" t="s">
        <v>187</v>
      </c>
      <c r="C47" s="79" t="s">
        <v>1553</v>
      </c>
      <c r="D47" s="72">
        <f>+'Alimentazione CE Ricavi'!H42</f>
        <v>0</v>
      </c>
      <c r="E47" s="72">
        <f>+'Alimentazione CE Ricavi'!I42</f>
        <v>0</v>
      </c>
      <c r="F47" s="205"/>
      <c r="G47" s="194"/>
      <c r="H47" s="73"/>
      <c r="J47" s="69"/>
      <c r="L47" s="73"/>
    </row>
    <row r="48" spans="1:12" ht="26.4">
      <c r="A48" s="181"/>
      <c r="B48" s="111" t="s">
        <v>189</v>
      </c>
      <c r="C48" s="112" t="s">
        <v>1554</v>
      </c>
      <c r="D48" s="110">
        <f>+D49+D50+D51+D52</f>
        <v>8948839.9299999997</v>
      </c>
      <c r="E48" s="110">
        <f>+E49+E50+E51+E52</f>
        <v>8444513</v>
      </c>
      <c r="F48" s="207" t="s">
        <v>2141</v>
      </c>
      <c r="G48" s="194"/>
      <c r="H48" s="73"/>
      <c r="J48" s="69"/>
      <c r="L48" s="73"/>
    </row>
    <row r="49" spans="1:12" ht="26.4">
      <c r="A49" s="181"/>
      <c r="B49" s="76" t="s">
        <v>191</v>
      </c>
      <c r="C49" s="77" t="s">
        <v>1555</v>
      </c>
      <c r="D49" s="72">
        <f>+'Alimentazione CE Ricavi'!H44</f>
        <v>3176102.96</v>
      </c>
      <c r="E49" s="72">
        <f>+'Alimentazione CE Ricavi'!I44</f>
        <v>3223609</v>
      </c>
      <c r="F49" s="207"/>
      <c r="G49" s="194"/>
      <c r="H49" s="73"/>
      <c r="J49" s="69"/>
      <c r="L49" s="73"/>
    </row>
    <row r="50" spans="1:12" ht="26.4">
      <c r="A50" s="181"/>
      <c r="B50" s="76" t="s">
        <v>193</v>
      </c>
      <c r="C50" s="77" t="s">
        <v>1556</v>
      </c>
      <c r="D50" s="72">
        <f>+'Alimentazione CE Ricavi'!H45</f>
        <v>3980892.71</v>
      </c>
      <c r="E50" s="72">
        <f>+'Alimentazione CE Ricavi'!I45</f>
        <v>3041725</v>
      </c>
      <c r="F50" s="207"/>
      <c r="G50" s="194"/>
      <c r="H50" s="73"/>
      <c r="J50" s="69"/>
      <c r="L50" s="73"/>
    </row>
    <row r="51" spans="1:12" ht="26.4">
      <c r="A51" s="181"/>
      <c r="B51" s="76" t="s">
        <v>195</v>
      </c>
      <c r="C51" s="77" t="s">
        <v>1557</v>
      </c>
      <c r="D51" s="72">
        <f>+'Alimentazione CE Ricavi'!H47+'Alimentazione CE Ricavi'!H48</f>
        <v>1310795.76</v>
      </c>
      <c r="E51" s="72">
        <f>+'Alimentazione CE Ricavi'!I47+'Alimentazione CE Ricavi'!I48</f>
        <v>1828479</v>
      </c>
      <c r="F51" s="207"/>
      <c r="G51" s="194"/>
      <c r="H51" s="73"/>
      <c r="J51" s="69"/>
      <c r="L51" s="73"/>
    </row>
    <row r="52" spans="1:12" ht="18">
      <c r="A52" s="181"/>
      <c r="B52" s="76" t="s">
        <v>199</v>
      </c>
      <c r="C52" s="77" t="s">
        <v>1558</v>
      </c>
      <c r="D52" s="72">
        <f>+'Alimentazione CE Ricavi'!H49</f>
        <v>481048.5</v>
      </c>
      <c r="E52" s="72">
        <f>+'Alimentazione CE Ricavi'!I49</f>
        <v>350700</v>
      </c>
      <c r="F52" s="207"/>
      <c r="G52" s="194"/>
      <c r="H52" s="73"/>
      <c r="J52" s="69"/>
      <c r="L52" s="73"/>
    </row>
    <row r="53" spans="1:12" ht="26.4">
      <c r="A53" s="181"/>
      <c r="B53" s="111" t="s">
        <v>201</v>
      </c>
      <c r="C53" s="112" t="s">
        <v>1559</v>
      </c>
      <c r="D53" s="110">
        <f>+'Alimentazione CE Ricavi'!H50</f>
        <v>5000</v>
      </c>
      <c r="E53" s="110">
        <f>+'Alimentazione CE Ricavi'!I50</f>
        <v>23618</v>
      </c>
      <c r="F53" s="207"/>
      <c r="G53" s="194"/>
      <c r="H53" s="73"/>
      <c r="J53" s="69"/>
      <c r="L53" s="73"/>
    </row>
    <row r="54" spans="1:12" ht="26.4">
      <c r="A54" s="181"/>
      <c r="B54" s="116" t="s">
        <v>203</v>
      </c>
      <c r="C54" s="117" t="s">
        <v>1560</v>
      </c>
      <c r="D54" s="118">
        <f>+D55+D56</f>
        <v>0</v>
      </c>
      <c r="E54" s="118">
        <f>+E55+E56</f>
        <v>0</v>
      </c>
      <c r="F54" s="207" t="s">
        <v>2141</v>
      </c>
      <c r="G54" s="194"/>
      <c r="H54" s="73"/>
      <c r="J54" s="69"/>
      <c r="L54" s="73"/>
    </row>
    <row r="55" spans="1:12" ht="52.8">
      <c r="A55" s="181"/>
      <c r="B55" s="74" t="s">
        <v>205</v>
      </c>
      <c r="C55" s="75" t="s">
        <v>1561</v>
      </c>
      <c r="D55" s="72">
        <f>+'Alimentazione CE Ricavi'!H52</f>
        <v>0</v>
      </c>
      <c r="E55" s="72">
        <f>+'Alimentazione CE Ricavi'!I52</f>
        <v>0</v>
      </c>
      <c r="F55" s="207"/>
      <c r="G55" s="194"/>
      <c r="H55" s="73"/>
      <c r="J55" s="69"/>
      <c r="L55" s="73"/>
    </row>
    <row r="56" spans="1:12" ht="39.6">
      <c r="A56" s="181"/>
      <c r="B56" s="74" t="s">
        <v>207</v>
      </c>
      <c r="C56" s="75" t="s">
        <v>1562</v>
      </c>
      <c r="D56" s="72">
        <f>+'Alimentazione CE Ricavi'!H53</f>
        <v>0</v>
      </c>
      <c r="E56" s="72">
        <f>+'Alimentazione CE Ricavi'!I53</f>
        <v>0</v>
      </c>
      <c r="F56" s="207"/>
      <c r="G56" s="194"/>
      <c r="H56" s="73"/>
      <c r="J56" s="69"/>
      <c r="L56" s="73"/>
    </row>
    <row r="57" spans="1:12" ht="39.6">
      <c r="A57" s="183"/>
      <c r="B57" s="116" t="s">
        <v>209</v>
      </c>
      <c r="C57" s="117" t="s">
        <v>1563</v>
      </c>
      <c r="D57" s="118">
        <f>+D58+D59+D60+D61+D62</f>
        <v>1673282.5600000001</v>
      </c>
      <c r="E57" s="118">
        <f>+E58+E59+E60+E61+E62</f>
        <v>1254550</v>
      </c>
      <c r="F57" s="207" t="s">
        <v>2141</v>
      </c>
      <c r="G57" s="194"/>
      <c r="H57" s="73"/>
      <c r="J57" s="69"/>
      <c r="L57" s="73"/>
    </row>
    <row r="58" spans="1:12" ht="66">
      <c r="A58" s="183"/>
      <c r="B58" s="74" t="s">
        <v>211</v>
      </c>
      <c r="C58" s="75" t="s">
        <v>1564</v>
      </c>
      <c r="D58" s="72">
        <f>+'Alimentazione CE Ricavi'!H55</f>
        <v>0</v>
      </c>
      <c r="E58" s="72">
        <f>+'Alimentazione CE Ricavi'!I55</f>
        <v>0</v>
      </c>
      <c r="F58" s="205"/>
      <c r="G58" s="194"/>
      <c r="H58" s="73"/>
      <c r="J58" s="69"/>
      <c r="L58" s="73"/>
    </row>
    <row r="59" spans="1:12" ht="52.8">
      <c r="A59" s="183"/>
      <c r="B59" s="74" t="s">
        <v>213</v>
      </c>
      <c r="C59" s="75" t="s">
        <v>1565</v>
      </c>
      <c r="D59" s="72">
        <f>+'Alimentazione CE Ricavi'!H56</f>
        <v>0</v>
      </c>
      <c r="E59" s="72">
        <f>+'Alimentazione CE Ricavi'!I56</f>
        <v>44038</v>
      </c>
      <c r="F59" s="205"/>
      <c r="G59" s="194"/>
      <c r="H59" s="73"/>
      <c r="J59" s="69"/>
      <c r="L59" s="73"/>
    </row>
    <row r="60" spans="1:12" ht="52.8">
      <c r="A60" s="183"/>
      <c r="B60" s="74" t="s">
        <v>215</v>
      </c>
      <c r="C60" s="75" t="s">
        <v>1566</v>
      </c>
      <c r="D60" s="72">
        <f>+'Alimentazione CE Ricavi'!H57</f>
        <v>25010</v>
      </c>
      <c r="E60" s="72">
        <f>+'Alimentazione CE Ricavi'!I57</f>
        <v>24400</v>
      </c>
      <c r="F60" s="205"/>
      <c r="G60" s="194"/>
      <c r="H60" s="73"/>
      <c r="J60" s="69"/>
      <c r="L60" s="73"/>
    </row>
    <row r="61" spans="1:12" ht="39.6">
      <c r="A61" s="183"/>
      <c r="B61" s="74" t="s">
        <v>217</v>
      </c>
      <c r="C61" s="75" t="s">
        <v>1567</v>
      </c>
      <c r="D61" s="72">
        <f>+'Alimentazione CE Ricavi'!H58</f>
        <v>1628605.86</v>
      </c>
      <c r="E61" s="72">
        <f>+'Alimentazione CE Ricavi'!I58</f>
        <v>1086357</v>
      </c>
      <c r="F61" s="205"/>
      <c r="G61" s="194"/>
      <c r="H61" s="73"/>
      <c r="J61" s="69"/>
      <c r="L61" s="73"/>
    </row>
    <row r="62" spans="1:12" ht="39.6">
      <c r="A62" s="183"/>
      <c r="B62" s="74" t="s">
        <v>219</v>
      </c>
      <c r="C62" s="75" t="s">
        <v>1568</v>
      </c>
      <c r="D62" s="72">
        <f>+'Alimentazione CE Ricavi'!H59</f>
        <v>19666.7</v>
      </c>
      <c r="E62" s="72">
        <f>+'Alimentazione CE Ricavi'!I59</f>
        <v>99755</v>
      </c>
      <c r="F62" s="205"/>
      <c r="G62" s="194"/>
      <c r="H62" s="73"/>
      <c r="J62" s="69"/>
      <c r="L62" s="73"/>
    </row>
    <row r="63" spans="1:12" ht="26.4">
      <c r="A63" s="181"/>
      <c r="B63" s="116" t="s">
        <v>1569</v>
      </c>
      <c r="C63" s="117" t="s">
        <v>1570</v>
      </c>
      <c r="D63" s="118">
        <f>+D64+D103+D109+D110</f>
        <v>31556023.670000002</v>
      </c>
      <c r="E63" s="118">
        <f>+E64+E103+E109+E110</f>
        <v>32380787</v>
      </c>
      <c r="F63" s="207" t="s">
        <v>2141</v>
      </c>
      <c r="G63" s="194"/>
      <c r="H63" s="73"/>
      <c r="J63" s="69"/>
      <c r="L63" s="73"/>
    </row>
    <row r="64" spans="1:12" ht="39.6">
      <c r="A64" s="181"/>
      <c r="B64" s="111" t="s">
        <v>222</v>
      </c>
      <c r="C64" s="112" t="s">
        <v>1571</v>
      </c>
      <c r="D64" s="110">
        <f>+D65+D81+D82</f>
        <v>29905553.970000003</v>
      </c>
      <c r="E64" s="110">
        <f>+E65+E81+E82</f>
        <v>29983765</v>
      </c>
      <c r="F64" s="207" t="s">
        <v>2141</v>
      </c>
      <c r="G64" s="194"/>
      <c r="H64" s="73"/>
      <c r="J64" s="69"/>
      <c r="L64" s="73"/>
    </row>
    <row r="65" spans="1:12" ht="52.8">
      <c r="A65" s="181" t="s">
        <v>1545</v>
      </c>
      <c r="B65" s="122" t="s">
        <v>224</v>
      </c>
      <c r="C65" s="123" t="s">
        <v>1572</v>
      </c>
      <c r="D65" s="124">
        <f>SUM(D66:D80)</f>
        <v>24220797.010000002</v>
      </c>
      <c r="E65" s="124">
        <f>SUM(E66:E80)</f>
        <v>24497328</v>
      </c>
      <c r="F65" s="207" t="s">
        <v>2141</v>
      </c>
      <c r="G65" s="194"/>
      <c r="H65" s="73"/>
      <c r="J65" s="69"/>
      <c r="L65" s="73"/>
    </row>
    <row r="66" spans="1:12" ht="18">
      <c r="A66" s="181" t="s">
        <v>1545</v>
      </c>
      <c r="B66" s="78" t="s">
        <v>226</v>
      </c>
      <c r="C66" s="79" t="s">
        <v>1573</v>
      </c>
      <c r="D66" s="72">
        <f>+'Alimentazione CE Ricavi'!H64+'Alimentazione CE Ricavi'!H65</f>
        <v>17983310.870000001</v>
      </c>
      <c r="E66" s="72">
        <f>+'Alimentazione CE Ricavi'!I64+'Alimentazione CE Ricavi'!I65</f>
        <v>18734629</v>
      </c>
      <c r="F66" s="207"/>
      <c r="G66" s="194"/>
      <c r="H66" s="73"/>
      <c r="J66" s="69"/>
      <c r="L66" s="73"/>
    </row>
    <row r="67" spans="1:12" ht="26.4">
      <c r="A67" s="183" t="s">
        <v>1545</v>
      </c>
      <c r="B67" s="78" t="s">
        <v>230</v>
      </c>
      <c r="C67" s="79" t="s">
        <v>1574</v>
      </c>
      <c r="D67" s="72">
        <f>+'Alimentazione CE Ricavi'!H67+'Alimentazione CE Ricavi'!H68</f>
        <v>5604310.0599999996</v>
      </c>
      <c r="E67" s="72">
        <f>+'Alimentazione CE Ricavi'!I67+'Alimentazione CE Ricavi'!I68</f>
        <v>5137131</v>
      </c>
      <c r="F67" s="205"/>
      <c r="G67" s="194"/>
      <c r="H67" s="73"/>
      <c r="J67" s="69"/>
      <c r="L67" s="73"/>
    </row>
    <row r="68" spans="1:12" ht="26.4">
      <c r="A68" s="183" t="s">
        <v>1545</v>
      </c>
      <c r="B68" s="78" t="s">
        <v>233</v>
      </c>
      <c r="C68" s="79" t="s">
        <v>1575</v>
      </c>
      <c r="D68" s="72">
        <f>+'Alimentazione CE Ricavi'!H69</f>
        <v>0</v>
      </c>
      <c r="E68" s="72">
        <f>+'Alimentazione CE Ricavi'!I69</f>
        <v>0</v>
      </c>
      <c r="F68" s="205"/>
      <c r="G68" s="194"/>
      <c r="H68" s="73"/>
      <c r="J68" s="69"/>
      <c r="L68" s="73"/>
    </row>
    <row r="69" spans="1:12" ht="26.4">
      <c r="A69" s="183" t="s">
        <v>1545</v>
      </c>
      <c r="B69" s="78" t="s">
        <v>235</v>
      </c>
      <c r="C69" s="79" t="s">
        <v>1576</v>
      </c>
      <c r="D69" s="72">
        <f>+'Alimentazione CE Ricavi'!H70</f>
        <v>0</v>
      </c>
      <c r="E69" s="72">
        <f>+'Alimentazione CE Ricavi'!I70</f>
        <v>0</v>
      </c>
      <c r="F69" s="205"/>
      <c r="G69" s="194"/>
      <c r="H69" s="73"/>
      <c r="J69" s="69"/>
      <c r="L69" s="73"/>
    </row>
    <row r="70" spans="1:12" ht="18">
      <c r="A70" s="183" t="s">
        <v>1545</v>
      </c>
      <c r="B70" s="78" t="s">
        <v>237</v>
      </c>
      <c r="C70" s="79" t="s">
        <v>1577</v>
      </c>
      <c r="D70" s="72">
        <f>+'Alimentazione CE Ricavi'!H71</f>
        <v>436421.71</v>
      </c>
      <c r="E70" s="72">
        <f>+'Alimentazione CE Ricavi'!I71</f>
        <v>456611</v>
      </c>
      <c r="F70" s="205"/>
      <c r="G70" s="194"/>
      <c r="H70" s="73"/>
      <c r="J70" s="69"/>
      <c r="L70" s="73"/>
    </row>
    <row r="71" spans="1:12" ht="26.4">
      <c r="A71" s="183" t="s">
        <v>1545</v>
      </c>
      <c r="B71" s="78" t="s">
        <v>239</v>
      </c>
      <c r="C71" s="79" t="s">
        <v>1578</v>
      </c>
      <c r="D71" s="72">
        <f>+'Alimentazione CE Ricavi'!H72</f>
        <v>0</v>
      </c>
      <c r="E71" s="72">
        <f>+'Alimentazione CE Ricavi'!I72</f>
        <v>0</v>
      </c>
      <c r="F71" s="205"/>
      <c r="G71" s="194"/>
      <c r="H71" s="73"/>
      <c r="J71" s="69"/>
      <c r="L71" s="73"/>
    </row>
    <row r="72" spans="1:12" ht="26.4">
      <c r="A72" s="183" t="s">
        <v>1545</v>
      </c>
      <c r="B72" s="78" t="s">
        <v>241</v>
      </c>
      <c r="C72" s="79" t="s">
        <v>1579</v>
      </c>
      <c r="D72" s="72">
        <f>+'Alimentazione CE Ricavi'!H73</f>
        <v>0</v>
      </c>
      <c r="E72" s="72">
        <f>+'Alimentazione CE Ricavi'!I73</f>
        <v>0</v>
      </c>
      <c r="F72" s="205"/>
      <c r="G72" s="194"/>
      <c r="H72" s="73"/>
      <c r="J72" s="69"/>
      <c r="L72" s="73"/>
    </row>
    <row r="73" spans="1:12" ht="18">
      <c r="A73" s="183" t="s">
        <v>1545</v>
      </c>
      <c r="B73" s="78" t="s">
        <v>243</v>
      </c>
      <c r="C73" s="79" t="s">
        <v>1580</v>
      </c>
      <c r="D73" s="72">
        <f>+'Alimentazione CE Ricavi'!H74</f>
        <v>0</v>
      </c>
      <c r="E73" s="72">
        <f>+'Alimentazione CE Ricavi'!I74</f>
        <v>0</v>
      </c>
      <c r="F73" s="205"/>
      <c r="G73" s="194"/>
      <c r="H73" s="73"/>
      <c r="J73" s="69"/>
      <c r="L73" s="73"/>
    </row>
    <row r="74" spans="1:12" ht="26.4">
      <c r="A74" s="183" t="s">
        <v>1545</v>
      </c>
      <c r="B74" s="78" t="s">
        <v>245</v>
      </c>
      <c r="C74" s="79" t="s">
        <v>1581</v>
      </c>
      <c r="D74" s="72">
        <f>+'Alimentazione CE Ricavi'!H75</f>
        <v>0</v>
      </c>
      <c r="E74" s="72">
        <f>+'Alimentazione CE Ricavi'!I75</f>
        <v>0</v>
      </c>
      <c r="F74" s="205"/>
      <c r="G74" s="194"/>
      <c r="H74" s="73"/>
      <c r="J74" s="69"/>
      <c r="L74" s="73"/>
    </row>
    <row r="75" spans="1:12" ht="26.4">
      <c r="A75" s="183" t="s">
        <v>1545</v>
      </c>
      <c r="B75" s="78" t="s">
        <v>247</v>
      </c>
      <c r="C75" s="79" t="s">
        <v>1582</v>
      </c>
      <c r="D75" s="72">
        <f>+'Alimentazione CE Ricavi'!H76</f>
        <v>0</v>
      </c>
      <c r="E75" s="72">
        <f>+'Alimentazione CE Ricavi'!I76</f>
        <v>0</v>
      </c>
      <c r="F75" s="205"/>
      <c r="G75" s="194"/>
      <c r="H75" s="73"/>
      <c r="J75" s="69"/>
      <c r="L75" s="73"/>
    </row>
    <row r="76" spans="1:12" ht="26.4">
      <c r="A76" s="183" t="s">
        <v>1545</v>
      </c>
      <c r="B76" s="78" t="s">
        <v>249</v>
      </c>
      <c r="C76" s="79" t="s">
        <v>1583</v>
      </c>
      <c r="D76" s="72">
        <f>+'Alimentazione CE Ricavi'!H77</f>
        <v>0</v>
      </c>
      <c r="E76" s="72">
        <f>+'Alimentazione CE Ricavi'!I77</f>
        <v>0</v>
      </c>
      <c r="F76" s="206"/>
      <c r="G76" s="194"/>
      <c r="H76" s="73"/>
      <c r="J76" s="69"/>
      <c r="L76" s="73"/>
    </row>
    <row r="77" spans="1:12" ht="26.4">
      <c r="A77" s="181" t="s">
        <v>1545</v>
      </c>
      <c r="B77" s="78" t="s">
        <v>251</v>
      </c>
      <c r="C77" s="79" t="s">
        <v>1584</v>
      </c>
      <c r="D77" s="72">
        <f>+'Alimentazione CE Ricavi'!H78</f>
        <v>0</v>
      </c>
      <c r="E77" s="72">
        <f>+'Alimentazione CE Ricavi'!I78</f>
        <v>0</v>
      </c>
      <c r="F77" s="206"/>
      <c r="G77" s="194"/>
      <c r="H77" s="73"/>
      <c r="J77" s="69"/>
      <c r="L77" s="73"/>
    </row>
    <row r="78" spans="1:12" ht="26.4">
      <c r="A78" s="181" t="s">
        <v>1545</v>
      </c>
      <c r="B78" s="78" t="s">
        <v>253</v>
      </c>
      <c r="C78" s="79" t="s">
        <v>1585</v>
      </c>
      <c r="D78" s="72">
        <f>+'Alimentazione CE Ricavi'!H79</f>
        <v>0</v>
      </c>
      <c r="E78" s="72">
        <f>+'Alimentazione CE Ricavi'!I79</f>
        <v>0</v>
      </c>
      <c r="F78" s="206"/>
      <c r="G78" s="194"/>
      <c r="H78" s="73"/>
      <c r="J78" s="69"/>
      <c r="L78" s="73"/>
    </row>
    <row r="79" spans="1:12" ht="26.4">
      <c r="A79" s="181" t="s">
        <v>1545</v>
      </c>
      <c r="B79" s="78" t="s">
        <v>255</v>
      </c>
      <c r="C79" s="79" t="s">
        <v>1586</v>
      </c>
      <c r="D79" s="72">
        <f>+'Alimentazione CE Ricavi'!H80</f>
        <v>0</v>
      </c>
      <c r="E79" s="72">
        <f>+'Alimentazione CE Ricavi'!I80</f>
        <v>0</v>
      </c>
      <c r="F79" s="206"/>
      <c r="G79" s="194"/>
      <c r="H79" s="73"/>
      <c r="J79" s="69"/>
      <c r="L79" s="73"/>
    </row>
    <row r="80" spans="1:12" ht="26.4">
      <c r="A80" s="181" t="s">
        <v>1545</v>
      </c>
      <c r="B80" s="78" t="s">
        <v>257</v>
      </c>
      <c r="C80" s="79" t="s">
        <v>1587</v>
      </c>
      <c r="D80" s="72">
        <f>+'Alimentazione CE Ricavi'!H82+'Alimentazione CE Ricavi'!H83</f>
        <v>196754.37</v>
      </c>
      <c r="E80" s="72">
        <f>+'Alimentazione CE Ricavi'!I82+'Alimentazione CE Ricavi'!I83</f>
        <v>168957</v>
      </c>
      <c r="F80" s="206"/>
      <c r="G80" s="194"/>
      <c r="H80" s="73"/>
      <c r="J80" s="69"/>
      <c r="L80" s="73"/>
    </row>
    <row r="81" spans="1:12" ht="39.6">
      <c r="A81" s="181"/>
      <c r="B81" s="76" t="s">
        <v>260</v>
      </c>
      <c r="C81" s="77" t="s">
        <v>1588</v>
      </c>
      <c r="D81" s="72">
        <f>+'Alimentazione CE Ricavi'!H84</f>
        <v>0</v>
      </c>
      <c r="E81" s="72">
        <f>+'Alimentazione CE Ricavi'!I84</f>
        <v>0</v>
      </c>
      <c r="F81" s="207"/>
      <c r="G81" s="194"/>
      <c r="H81" s="73"/>
      <c r="J81" s="69"/>
      <c r="L81" s="73"/>
    </row>
    <row r="82" spans="1:12" ht="39.6">
      <c r="A82" s="181"/>
      <c r="B82" s="122" t="s">
        <v>262</v>
      </c>
      <c r="C82" s="123" t="s">
        <v>1589</v>
      </c>
      <c r="D82" s="124">
        <f>SUM(D83:D97,D100,D101,D102)</f>
        <v>5684756.96</v>
      </c>
      <c r="E82" s="124">
        <f>SUM(E83:E97,E100,E101,E102)</f>
        <v>5486437</v>
      </c>
      <c r="F82" s="207" t="s">
        <v>2141</v>
      </c>
      <c r="G82" s="194"/>
      <c r="H82" s="73"/>
      <c r="J82" s="69"/>
      <c r="L82" s="73"/>
    </row>
    <row r="83" spans="1:12" ht="18">
      <c r="A83" s="181" t="s">
        <v>1590</v>
      </c>
      <c r="B83" s="78" t="s">
        <v>263</v>
      </c>
      <c r="C83" s="79" t="s">
        <v>1591</v>
      </c>
      <c r="D83" s="72">
        <f>+'Alimentazione CE Ricavi'!H87+'Alimentazione CE Ricavi'!H88</f>
        <v>4665359</v>
      </c>
      <c r="E83" s="72">
        <f>+'Alimentazione CE Ricavi'!I87+'Alimentazione CE Ricavi'!I88</f>
        <v>4425810</v>
      </c>
      <c r="F83" s="207"/>
      <c r="G83" s="194"/>
      <c r="H83" s="73"/>
      <c r="J83" s="69"/>
      <c r="L83" s="73"/>
    </row>
    <row r="84" spans="1:12" ht="18">
      <c r="A84" s="181" t="s">
        <v>1590</v>
      </c>
      <c r="B84" s="78" t="s">
        <v>266</v>
      </c>
      <c r="C84" s="79" t="s">
        <v>1592</v>
      </c>
      <c r="D84" s="72">
        <f>+'Alimentazione CE Ricavi'!H90+'Alimentazione CE Ricavi'!H91</f>
        <v>867818</v>
      </c>
      <c r="E84" s="72">
        <f>+'Alimentazione CE Ricavi'!I90+'Alimentazione CE Ricavi'!I91</f>
        <v>924053</v>
      </c>
      <c r="F84" s="207"/>
      <c r="G84" s="194"/>
      <c r="H84" s="73"/>
      <c r="J84" s="69"/>
      <c r="L84" s="73"/>
    </row>
    <row r="85" spans="1:12" ht="26.4">
      <c r="A85" s="181" t="s">
        <v>1590</v>
      </c>
      <c r="B85" s="78" t="s">
        <v>269</v>
      </c>
      <c r="C85" s="79" t="s">
        <v>1593</v>
      </c>
      <c r="D85" s="72">
        <f>+'Alimentazione CE Ricavi'!H92</f>
        <v>0</v>
      </c>
      <c r="E85" s="72">
        <f>+'Alimentazione CE Ricavi'!I92</f>
        <v>0</v>
      </c>
      <c r="F85" s="205"/>
      <c r="G85" s="194"/>
      <c r="H85" s="73"/>
      <c r="J85" s="69"/>
      <c r="L85" s="73"/>
    </row>
    <row r="86" spans="1:12" ht="39.6">
      <c r="A86" s="183" t="s">
        <v>1594</v>
      </c>
      <c r="B86" s="78" t="s">
        <v>271</v>
      </c>
      <c r="C86" s="79" t="s">
        <v>1595</v>
      </c>
      <c r="D86" s="72">
        <f>+'Alimentazione CE Ricavi'!H93</f>
        <v>0</v>
      </c>
      <c r="E86" s="72">
        <f>+'Alimentazione CE Ricavi'!I93</f>
        <v>0</v>
      </c>
      <c r="F86" s="205"/>
      <c r="G86" s="194"/>
      <c r="H86" s="73"/>
      <c r="J86" s="69"/>
      <c r="L86" s="73"/>
    </row>
    <row r="87" spans="1:12" ht="18">
      <c r="A87" s="183" t="s">
        <v>1590</v>
      </c>
      <c r="B87" s="78" t="s">
        <v>272</v>
      </c>
      <c r="C87" s="79" t="s">
        <v>1596</v>
      </c>
      <c r="D87" s="72">
        <f>+'Alimentazione CE Ricavi'!H94</f>
        <v>0</v>
      </c>
      <c r="E87" s="72">
        <f>+'Alimentazione CE Ricavi'!I94</f>
        <v>0</v>
      </c>
      <c r="F87" s="207"/>
      <c r="G87" s="194"/>
      <c r="H87" s="73"/>
      <c r="J87" s="69"/>
      <c r="L87" s="73"/>
    </row>
    <row r="88" spans="1:12" ht="26.4">
      <c r="A88" s="183" t="s">
        <v>1590</v>
      </c>
      <c r="B88" s="78" t="s">
        <v>274</v>
      </c>
      <c r="C88" s="79" t="s">
        <v>1597</v>
      </c>
      <c r="D88" s="72">
        <f>+'Alimentazione CE Ricavi'!H95</f>
        <v>0</v>
      </c>
      <c r="E88" s="72">
        <f>+'Alimentazione CE Ricavi'!I95</f>
        <v>0</v>
      </c>
      <c r="F88" s="205"/>
      <c r="G88" s="194"/>
      <c r="H88" s="73"/>
      <c r="J88" s="69"/>
      <c r="L88" s="73"/>
    </row>
    <row r="89" spans="1:12" ht="26.4">
      <c r="A89" s="183" t="s">
        <v>1590</v>
      </c>
      <c r="B89" s="78" t="s">
        <v>276</v>
      </c>
      <c r="C89" s="79" t="s">
        <v>1598</v>
      </c>
      <c r="D89" s="72">
        <f>+'Alimentazione CE Ricavi'!H96</f>
        <v>0</v>
      </c>
      <c r="E89" s="72">
        <f>+'Alimentazione CE Ricavi'!I96</f>
        <v>0</v>
      </c>
      <c r="F89" s="205"/>
      <c r="G89" s="194"/>
      <c r="H89" s="73"/>
      <c r="J89" s="69"/>
      <c r="L89" s="73"/>
    </row>
    <row r="90" spans="1:12" ht="18">
      <c r="A90" s="183" t="s">
        <v>1590</v>
      </c>
      <c r="B90" s="78" t="s">
        <v>278</v>
      </c>
      <c r="C90" s="79" t="s">
        <v>1599</v>
      </c>
      <c r="D90" s="72">
        <f>+'Alimentazione CE Ricavi'!H97</f>
        <v>0</v>
      </c>
      <c r="E90" s="72">
        <f>+'Alimentazione CE Ricavi'!I97</f>
        <v>0</v>
      </c>
      <c r="F90" s="205"/>
      <c r="G90" s="194"/>
      <c r="H90" s="73"/>
      <c r="J90" s="69"/>
      <c r="L90" s="73"/>
    </row>
    <row r="91" spans="1:12" ht="26.4">
      <c r="A91" s="183" t="s">
        <v>1590</v>
      </c>
      <c r="B91" s="78" t="s">
        <v>280</v>
      </c>
      <c r="C91" s="79" t="s">
        <v>1600</v>
      </c>
      <c r="D91" s="72">
        <f>+'Alimentazione CE Ricavi'!H98</f>
        <v>0</v>
      </c>
      <c r="E91" s="72">
        <f>+'Alimentazione CE Ricavi'!I98</f>
        <v>0</v>
      </c>
      <c r="F91" s="205"/>
      <c r="G91" s="194"/>
      <c r="H91" s="73"/>
      <c r="J91" s="69"/>
      <c r="L91" s="73"/>
    </row>
    <row r="92" spans="1:12" ht="26.4">
      <c r="A92" s="183" t="s">
        <v>1594</v>
      </c>
      <c r="B92" s="78" t="s">
        <v>282</v>
      </c>
      <c r="C92" s="79" t="s">
        <v>1601</v>
      </c>
      <c r="D92" s="72">
        <f>+'Alimentazione CE Ricavi'!H99</f>
        <v>0</v>
      </c>
      <c r="E92" s="72">
        <f>+'Alimentazione CE Ricavi'!I99</f>
        <v>0</v>
      </c>
      <c r="F92" s="205"/>
      <c r="G92" s="194"/>
      <c r="H92" s="73"/>
      <c r="J92" s="69"/>
      <c r="L92" s="73"/>
    </row>
    <row r="93" spans="1:12" ht="26.4">
      <c r="A93" s="183" t="s">
        <v>1594</v>
      </c>
      <c r="B93" s="78" t="s">
        <v>284</v>
      </c>
      <c r="C93" s="79" t="s">
        <v>1602</v>
      </c>
      <c r="D93" s="72">
        <f>+'Alimentazione CE Ricavi'!H100</f>
        <v>0</v>
      </c>
      <c r="E93" s="72">
        <f>+'Alimentazione CE Ricavi'!I100</f>
        <v>0</v>
      </c>
      <c r="F93" s="205"/>
      <c r="G93" s="194"/>
      <c r="H93" s="73"/>
      <c r="J93" s="69"/>
      <c r="L93" s="73"/>
    </row>
    <row r="94" spans="1:12" ht="39.6">
      <c r="A94" s="183" t="s">
        <v>1590</v>
      </c>
      <c r="B94" s="78" t="s">
        <v>286</v>
      </c>
      <c r="C94" s="79" t="s">
        <v>1603</v>
      </c>
      <c r="D94" s="72">
        <f>+'Alimentazione CE Ricavi'!H101</f>
        <v>0</v>
      </c>
      <c r="E94" s="72">
        <f>+'Alimentazione CE Ricavi'!I101</f>
        <v>0</v>
      </c>
      <c r="F94" s="205"/>
      <c r="G94" s="194"/>
      <c r="H94" s="73"/>
      <c r="J94" s="69"/>
      <c r="L94" s="73"/>
    </row>
    <row r="95" spans="1:12" ht="26.4">
      <c r="A95" s="183" t="s">
        <v>1590</v>
      </c>
      <c r="B95" s="78" t="s">
        <v>287</v>
      </c>
      <c r="C95" s="79" t="s">
        <v>1604</v>
      </c>
      <c r="D95" s="72">
        <f>+'Alimentazione CE Ricavi'!H102</f>
        <v>0</v>
      </c>
      <c r="E95" s="72">
        <f>+'Alimentazione CE Ricavi'!I102</f>
        <v>0</v>
      </c>
      <c r="F95" s="205"/>
      <c r="G95" s="194"/>
      <c r="H95" s="73"/>
      <c r="J95" s="69"/>
      <c r="L95" s="73"/>
    </row>
    <row r="96" spans="1:12" ht="39.6">
      <c r="A96" s="183" t="s">
        <v>1590</v>
      </c>
      <c r="B96" s="78" t="s">
        <v>290</v>
      </c>
      <c r="C96" s="79" t="s">
        <v>1605</v>
      </c>
      <c r="D96" s="72">
        <f>+'Alimentazione CE Ricavi'!H103</f>
        <v>0</v>
      </c>
      <c r="E96" s="72">
        <f>+'Alimentazione CE Ricavi'!I103</f>
        <v>407</v>
      </c>
      <c r="F96" s="205"/>
      <c r="G96" s="194"/>
      <c r="H96" s="73"/>
      <c r="J96" s="69"/>
      <c r="L96" s="73"/>
    </row>
    <row r="97" spans="1:12" ht="39.6">
      <c r="A97" s="183" t="s">
        <v>1594</v>
      </c>
      <c r="B97" s="125" t="s">
        <v>292</v>
      </c>
      <c r="C97" s="126" t="s">
        <v>1606</v>
      </c>
      <c r="D97" s="127">
        <f>+D98+D99</f>
        <v>123050.96</v>
      </c>
      <c r="E97" s="127">
        <f>+E98+E99</f>
        <v>86742</v>
      </c>
      <c r="F97" s="207" t="s">
        <v>2141</v>
      </c>
      <c r="G97" s="194"/>
      <c r="H97" s="73"/>
      <c r="J97" s="69"/>
      <c r="L97" s="73"/>
    </row>
    <row r="98" spans="1:12" ht="39.6">
      <c r="A98" s="183" t="s">
        <v>1594</v>
      </c>
      <c r="B98" s="76" t="s">
        <v>294</v>
      </c>
      <c r="C98" s="77" t="s">
        <v>1607</v>
      </c>
      <c r="D98" s="72">
        <f>+'Alimentazione CE Ricavi'!H105</f>
        <v>0</v>
      </c>
      <c r="E98" s="72">
        <f>+'Alimentazione CE Ricavi'!I105</f>
        <v>0</v>
      </c>
      <c r="F98" s="205"/>
      <c r="G98" s="194"/>
      <c r="H98" s="73"/>
      <c r="J98" s="69"/>
      <c r="L98" s="73"/>
    </row>
    <row r="99" spans="1:12" ht="39.6">
      <c r="A99" s="183" t="s">
        <v>1594</v>
      </c>
      <c r="B99" s="76" t="s">
        <v>296</v>
      </c>
      <c r="C99" s="77" t="s">
        <v>1608</v>
      </c>
      <c r="D99" s="72">
        <f>+'Alimentazione CE Ricavi'!H107+'Alimentazione CE Ricavi'!H108</f>
        <v>123050.96</v>
      </c>
      <c r="E99" s="72">
        <f>+'Alimentazione CE Ricavi'!I107+'Alimentazione CE Ricavi'!I108</f>
        <v>86742</v>
      </c>
      <c r="F99" s="205"/>
      <c r="G99" s="194"/>
      <c r="H99" s="73"/>
      <c r="J99" s="69"/>
      <c r="L99" s="73"/>
    </row>
    <row r="100" spans="1:12" ht="39.6">
      <c r="A100" s="183"/>
      <c r="B100" s="78" t="s">
        <v>298</v>
      </c>
      <c r="C100" s="79" t="s">
        <v>1609</v>
      </c>
      <c r="D100" s="72">
        <f>+'Alimentazione CE Ricavi'!H109</f>
        <v>28529</v>
      </c>
      <c r="E100" s="72">
        <f>+'Alimentazione CE Ricavi'!I109</f>
        <v>49425</v>
      </c>
      <c r="F100" s="205"/>
      <c r="G100" s="194"/>
      <c r="H100" s="73"/>
      <c r="J100" s="69"/>
      <c r="L100" s="73"/>
    </row>
    <row r="101" spans="1:12" ht="52.8">
      <c r="A101" s="181" t="s">
        <v>1545</v>
      </c>
      <c r="B101" s="78" t="s">
        <v>300</v>
      </c>
      <c r="C101" s="79" t="s">
        <v>1610</v>
      </c>
      <c r="D101" s="72">
        <f>+'Alimentazione CE Ricavi'!H110</f>
        <v>0</v>
      </c>
      <c r="E101" s="72">
        <f>+'Alimentazione CE Ricavi'!I110</f>
        <v>0</v>
      </c>
      <c r="F101" s="205"/>
      <c r="G101" s="194"/>
      <c r="H101" s="73"/>
      <c r="J101" s="69"/>
      <c r="L101" s="73"/>
    </row>
    <row r="102" spans="1:12" ht="52.8">
      <c r="A102" s="181" t="s">
        <v>1594</v>
      </c>
      <c r="B102" s="78" t="s">
        <v>302</v>
      </c>
      <c r="C102" s="79" t="s">
        <v>1611</v>
      </c>
      <c r="D102" s="72">
        <f>+'Alimentazione CE Ricavi'!H111</f>
        <v>0</v>
      </c>
      <c r="E102" s="72">
        <f>+'Alimentazione CE Ricavi'!I111</f>
        <v>0</v>
      </c>
      <c r="F102" s="205"/>
      <c r="G102" s="194"/>
      <c r="H102" s="73"/>
      <c r="J102" s="69"/>
      <c r="L102" s="73"/>
    </row>
    <row r="103" spans="1:12" ht="66">
      <c r="A103" s="184" t="s">
        <v>1590</v>
      </c>
      <c r="B103" s="111" t="s">
        <v>304</v>
      </c>
      <c r="C103" s="112" t="s">
        <v>1612</v>
      </c>
      <c r="D103" s="110">
        <f>SUM(D104:D108)</f>
        <v>0</v>
      </c>
      <c r="E103" s="110">
        <f>SUM(E104:E108)</f>
        <v>0</v>
      </c>
      <c r="F103" s="207" t="s">
        <v>2141</v>
      </c>
      <c r="G103" s="194"/>
      <c r="H103" s="73"/>
      <c r="J103" s="69"/>
      <c r="L103" s="73"/>
    </row>
    <row r="104" spans="1:12" ht="39.6">
      <c r="A104" s="183" t="s">
        <v>1590</v>
      </c>
      <c r="B104" s="78" t="s">
        <v>306</v>
      </c>
      <c r="C104" s="79" t="s">
        <v>1613</v>
      </c>
      <c r="D104" s="72">
        <f>+'Alimentazione CE Ricavi'!H113</f>
        <v>0</v>
      </c>
      <c r="E104" s="72">
        <f>+'Alimentazione CE Ricavi'!I113</f>
        <v>0</v>
      </c>
      <c r="F104" s="205"/>
      <c r="G104" s="194"/>
      <c r="H104" s="73"/>
      <c r="J104" s="69"/>
      <c r="L104" s="73"/>
    </row>
    <row r="105" spans="1:12" ht="39.6">
      <c r="A105" s="183" t="s">
        <v>1590</v>
      </c>
      <c r="B105" s="76" t="s">
        <v>308</v>
      </c>
      <c r="C105" s="77" t="s">
        <v>1614</v>
      </c>
      <c r="D105" s="72">
        <f>+'Alimentazione CE Ricavi'!H114</f>
        <v>0</v>
      </c>
      <c r="E105" s="72">
        <f>+'Alimentazione CE Ricavi'!I114</f>
        <v>0</v>
      </c>
      <c r="F105" s="205"/>
      <c r="G105" s="194"/>
      <c r="H105" s="73"/>
      <c r="J105" s="69"/>
      <c r="L105" s="73"/>
    </row>
    <row r="106" spans="1:12" ht="52.8">
      <c r="A106" s="183" t="s">
        <v>1590</v>
      </c>
      <c r="B106" s="76" t="s">
        <v>310</v>
      </c>
      <c r="C106" s="77" t="s">
        <v>1615</v>
      </c>
      <c r="D106" s="72">
        <f>+'Alimentazione CE Ricavi'!H115</f>
        <v>0</v>
      </c>
      <c r="E106" s="72">
        <f>+'Alimentazione CE Ricavi'!I115</f>
        <v>0</v>
      </c>
      <c r="F106" s="205"/>
      <c r="G106" s="194"/>
      <c r="H106" s="73"/>
      <c r="J106" s="69"/>
      <c r="L106" s="73"/>
    </row>
    <row r="107" spans="1:12" ht="39.6">
      <c r="A107" s="181" t="s">
        <v>1590</v>
      </c>
      <c r="B107" s="76" t="s">
        <v>312</v>
      </c>
      <c r="C107" s="77" t="s">
        <v>1616</v>
      </c>
      <c r="D107" s="72">
        <f>+'Alimentazione CE Ricavi'!H116</f>
        <v>0</v>
      </c>
      <c r="E107" s="72">
        <f>+'Alimentazione CE Ricavi'!I116</f>
        <v>0</v>
      </c>
      <c r="F107" s="205"/>
      <c r="G107" s="194"/>
      <c r="H107" s="73"/>
      <c r="J107" s="69"/>
      <c r="L107" s="73"/>
    </row>
    <row r="108" spans="1:12" ht="52.8">
      <c r="A108" s="181" t="s">
        <v>1590</v>
      </c>
      <c r="B108" s="76" t="s">
        <v>314</v>
      </c>
      <c r="C108" s="77" t="s">
        <v>1617</v>
      </c>
      <c r="D108" s="72">
        <f>+'Alimentazione CE Ricavi'!H117</f>
        <v>0</v>
      </c>
      <c r="E108" s="72">
        <f>+'Alimentazione CE Ricavi'!I117</f>
        <v>0</v>
      </c>
      <c r="F108" s="205"/>
      <c r="G108" s="194"/>
      <c r="H108" s="73"/>
      <c r="J108" s="69"/>
      <c r="L108" s="73"/>
    </row>
    <row r="109" spans="1:12" ht="39.6">
      <c r="A109" s="181"/>
      <c r="B109" s="111" t="s">
        <v>316</v>
      </c>
      <c r="C109" s="112" t="s">
        <v>1618</v>
      </c>
      <c r="D109" s="110">
        <f>+ROUND(SUM('Alimentazione CE Ricavi'!H120:H154),2)</f>
        <v>868282.72</v>
      </c>
      <c r="E109" s="110">
        <f>+ROUND(SUM('Alimentazione CE Ricavi'!I120:I154),2)</f>
        <v>1430220</v>
      </c>
      <c r="F109" s="207"/>
      <c r="G109" s="194"/>
      <c r="H109" s="73"/>
      <c r="J109" s="69"/>
      <c r="L109" s="73"/>
    </row>
    <row r="110" spans="1:12" ht="39.6">
      <c r="A110" s="181"/>
      <c r="B110" s="111" t="s">
        <v>1619</v>
      </c>
      <c r="C110" s="112" t="s">
        <v>1620</v>
      </c>
      <c r="D110" s="110">
        <f>SUM(D111:D117)</f>
        <v>782186.9800000001</v>
      </c>
      <c r="E110" s="110">
        <f>SUM(E111:E117)</f>
        <v>966802</v>
      </c>
      <c r="F110" s="207" t="s">
        <v>2141</v>
      </c>
      <c r="G110" s="194"/>
      <c r="H110" s="73"/>
      <c r="J110" s="69"/>
      <c r="L110" s="73"/>
    </row>
    <row r="111" spans="1:12" ht="26.4">
      <c r="A111" s="181"/>
      <c r="B111" s="76" t="s">
        <v>353</v>
      </c>
      <c r="C111" s="77" t="s">
        <v>1621</v>
      </c>
      <c r="D111" s="72">
        <f>+'Alimentazione CE Ricavi'!H156</f>
        <v>84884.99</v>
      </c>
      <c r="E111" s="72">
        <f>+'Alimentazione CE Ricavi'!I156</f>
        <v>18504</v>
      </c>
      <c r="F111" s="207"/>
      <c r="G111" s="194"/>
      <c r="H111" s="73"/>
      <c r="J111" s="69"/>
      <c r="L111" s="73"/>
    </row>
    <row r="112" spans="1:12" ht="26.4">
      <c r="A112" s="181"/>
      <c r="B112" s="76" t="s">
        <v>355</v>
      </c>
      <c r="C112" s="77" t="s">
        <v>1622</v>
      </c>
      <c r="D112" s="72">
        <f>+'Alimentazione CE Ricavi'!H157</f>
        <v>535626</v>
      </c>
      <c r="E112" s="72">
        <f>+'Alimentazione CE Ricavi'!I157</f>
        <v>716703</v>
      </c>
      <c r="F112" s="207"/>
      <c r="G112" s="194"/>
      <c r="H112" s="73"/>
      <c r="J112" s="69"/>
      <c r="L112" s="73"/>
    </row>
    <row r="113" spans="1:12" ht="26.4">
      <c r="A113" s="181"/>
      <c r="B113" s="76" t="s">
        <v>357</v>
      </c>
      <c r="C113" s="77" t="s">
        <v>1623</v>
      </c>
      <c r="D113" s="72">
        <f>+'Alimentazione CE Ricavi'!H158</f>
        <v>0</v>
      </c>
      <c r="E113" s="72">
        <f>+'Alimentazione CE Ricavi'!I158</f>
        <v>0</v>
      </c>
      <c r="F113" s="207"/>
      <c r="G113" s="194"/>
      <c r="H113" s="73"/>
      <c r="J113" s="69"/>
      <c r="L113" s="73"/>
    </row>
    <row r="114" spans="1:12" ht="39.6">
      <c r="A114" s="181"/>
      <c r="B114" s="76" t="s">
        <v>359</v>
      </c>
      <c r="C114" s="77" t="s">
        <v>1624</v>
      </c>
      <c r="D114" s="72">
        <f>+'Alimentazione CE Ricavi'!H159</f>
        <v>90416.53</v>
      </c>
      <c r="E114" s="72">
        <f>+'Alimentazione CE Ricavi'!I159</f>
        <v>116837</v>
      </c>
      <c r="F114" s="207"/>
      <c r="G114" s="194"/>
      <c r="H114" s="73"/>
      <c r="J114" s="69"/>
      <c r="L114" s="73"/>
    </row>
    <row r="115" spans="1:12" ht="52.8">
      <c r="A115" s="181" t="s">
        <v>1545</v>
      </c>
      <c r="B115" s="76" t="s">
        <v>361</v>
      </c>
      <c r="C115" s="77" t="s">
        <v>1625</v>
      </c>
      <c r="D115" s="72">
        <f>+'Alimentazione CE Ricavi'!H160</f>
        <v>62744.28</v>
      </c>
      <c r="E115" s="72">
        <f>+'Alimentazione CE Ricavi'!I160</f>
        <v>104178</v>
      </c>
      <c r="F115" s="207"/>
      <c r="G115" s="194"/>
      <c r="H115" s="73"/>
      <c r="J115" s="69"/>
      <c r="L115" s="73"/>
    </row>
    <row r="116" spans="1:12" ht="26.4">
      <c r="A116" s="181"/>
      <c r="B116" s="76" t="s">
        <v>363</v>
      </c>
      <c r="C116" s="77" t="s">
        <v>1626</v>
      </c>
      <c r="D116" s="72">
        <f>+'Alimentazione CE Ricavi'!H161</f>
        <v>8515.18</v>
      </c>
      <c r="E116" s="72">
        <f>+'Alimentazione CE Ricavi'!I161</f>
        <v>10580</v>
      </c>
      <c r="F116" s="207"/>
      <c r="G116" s="194"/>
      <c r="H116" s="73"/>
      <c r="J116" s="69"/>
      <c r="L116" s="73"/>
    </row>
    <row r="117" spans="1:12" ht="39.6">
      <c r="A117" s="181" t="s">
        <v>1545</v>
      </c>
      <c r="B117" s="76" t="s">
        <v>365</v>
      </c>
      <c r="C117" s="77" t="s">
        <v>1627</v>
      </c>
      <c r="D117" s="72">
        <f>+'Alimentazione CE Ricavi'!H162</f>
        <v>0</v>
      </c>
      <c r="E117" s="72">
        <f>+'Alimentazione CE Ricavi'!I162</f>
        <v>0</v>
      </c>
      <c r="F117" s="207"/>
      <c r="G117" s="194"/>
      <c r="H117" s="73"/>
      <c r="J117" s="69"/>
      <c r="L117" s="73"/>
    </row>
    <row r="118" spans="1:12" ht="18">
      <c r="A118" s="185"/>
      <c r="B118" s="116" t="s">
        <v>1628</v>
      </c>
      <c r="C118" s="117" t="s">
        <v>1629</v>
      </c>
      <c r="D118" s="118">
        <f>+D119+D120+D123+D128+D132</f>
        <v>779235.57000000007</v>
      </c>
      <c r="E118" s="118">
        <f>+E119+E120+E123+E128+E132</f>
        <v>1962007</v>
      </c>
      <c r="F118" s="207"/>
      <c r="G118" s="194"/>
      <c r="H118" s="73"/>
      <c r="J118" s="69"/>
      <c r="L118" s="73"/>
    </row>
    <row r="119" spans="1:12" ht="18">
      <c r="A119" s="185"/>
      <c r="B119" s="74" t="s">
        <v>368</v>
      </c>
      <c r="C119" s="75" t="s">
        <v>1630</v>
      </c>
      <c r="D119" s="72">
        <f>+'Alimentazione CE Ricavi'!H164</f>
        <v>6500</v>
      </c>
      <c r="E119" s="72">
        <f>+'Alimentazione CE Ricavi'!I164</f>
        <v>0</v>
      </c>
      <c r="F119" s="207"/>
      <c r="G119" s="194"/>
      <c r="H119" s="73"/>
      <c r="J119" s="69"/>
      <c r="L119" s="73"/>
    </row>
    <row r="120" spans="1:12" ht="26.4">
      <c r="A120" s="186"/>
      <c r="B120" s="111" t="s">
        <v>1631</v>
      </c>
      <c r="C120" s="112" t="s">
        <v>1632</v>
      </c>
      <c r="D120" s="110">
        <f>+D121+D122</f>
        <v>0</v>
      </c>
      <c r="E120" s="110">
        <f>+E121+E122</f>
        <v>0</v>
      </c>
      <c r="F120" s="207" t="s">
        <v>2141</v>
      </c>
      <c r="G120" s="194"/>
      <c r="H120" s="73"/>
      <c r="J120" s="69"/>
      <c r="L120" s="73"/>
    </row>
    <row r="121" spans="1:12" ht="39.6">
      <c r="A121" s="186"/>
      <c r="B121" s="76" t="s">
        <v>371</v>
      </c>
      <c r="C121" s="77" t="s">
        <v>1633</v>
      </c>
      <c r="D121" s="72">
        <f>+'Alimentazione CE Ricavi'!H166</f>
        <v>0</v>
      </c>
      <c r="E121" s="72">
        <f>+'Alimentazione CE Ricavi'!I166</f>
        <v>0</v>
      </c>
      <c r="F121" s="207"/>
      <c r="G121" s="194"/>
      <c r="H121" s="73"/>
      <c r="J121" s="69"/>
      <c r="L121" s="73"/>
    </row>
    <row r="122" spans="1:12" ht="26.4">
      <c r="A122" s="186"/>
      <c r="B122" s="76" t="s">
        <v>373</v>
      </c>
      <c r="C122" s="77" t="s">
        <v>1634</v>
      </c>
      <c r="D122" s="72">
        <f>+'Alimentazione CE Ricavi'!H167</f>
        <v>0</v>
      </c>
      <c r="E122" s="72">
        <f>+'Alimentazione CE Ricavi'!I167</f>
        <v>0</v>
      </c>
      <c r="F122" s="207"/>
      <c r="G122" s="194"/>
      <c r="H122" s="73"/>
      <c r="J122" s="69"/>
      <c r="L122" s="73"/>
    </row>
    <row r="123" spans="1:12" ht="39.6">
      <c r="A123" s="184" t="s">
        <v>1545</v>
      </c>
      <c r="B123" s="111" t="s">
        <v>1635</v>
      </c>
      <c r="C123" s="112" t="s">
        <v>1636</v>
      </c>
      <c r="D123" s="110">
        <f>+D124+D125+D126+D127</f>
        <v>205279.39</v>
      </c>
      <c r="E123" s="110">
        <f>+E124+E125+E126+E127</f>
        <v>385785</v>
      </c>
      <c r="F123" s="207" t="s">
        <v>2141</v>
      </c>
      <c r="G123" s="194"/>
      <c r="H123" s="73"/>
      <c r="J123" s="69"/>
      <c r="L123" s="73"/>
    </row>
    <row r="124" spans="1:12" ht="52.8">
      <c r="A124" s="181" t="s">
        <v>1545</v>
      </c>
      <c r="B124" s="76" t="s">
        <v>376</v>
      </c>
      <c r="C124" s="77" t="s">
        <v>1637</v>
      </c>
      <c r="D124" s="72">
        <f>+'Alimentazione CE Ricavi'!H169</f>
        <v>0</v>
      </c>
      <c r="E124" s="72">
        <f>+'Alimentazione CE Ricavi'!I169</f>
        <v>0</v>
      </c>
      <c r="F124" s="207"/>
      <c r="G124" s="194"/>
      <c r="H124" s="73"/>
      <c r="J124" s="69"/>
      <c r="L124" s="73"/>
    </row>
    <row r="125" spans="1:12" ht="39.6">
      <c r="A125" s="181" t="s">
        <v>1545</v>
      </c>
      <c r="B125" s="76" t="s">
        <v>378</v>
      </c>
      <c r="C125" s="77" t="s">
        <v>1638</v>
      </c>
      <c r="D125" s="72">
        <f>+'Alimentazione CE Ricavi'!H170</f>
        <v>0</v>
      </c>
      <c r="E125" s="72">
        <f>+'Alimentazione CE Ricavi'!I170</f>
        <v>82</v>
      </c>
      <c r="F125" s="207"/>
      <c r="G125" s="194"/>
      <c r="H125" s="73"/>
      <c r="J125" s="69"/>
      <c r="L125" s="73"/>
    </row>
    <row r="126" spans="1:12" ht="39.6">
      <c r="A126" s="181" t="s">
        <v>1545</v>
      </c>
      <c r="B126" s="76" t="s">
        <v>380</v>
      </c>
      <c r="C126" s="77" t="s">
        <v>1639</v>
      </c>
      <c r="D126" s="72">
        <f>+'Alimentazione CE Ricavi'!H172+'Alimentazione CE Ricavi'!H173+'Alimentazione CE Ricavi'!H174</f>
        <v>205279.39</v>
      </c>
      <c r="E126" s="72">
        <f>+'Alimentazione CE Ricavi'!I172+'Alimentazione CE Ricavi'!I173+'Alimentazione CE Ricavi'!I174</f>
        <v>385703</v>
      </c>
      <c r="F126" s="207"/>
      <c r="G126" s="194"/>
      <c r="H126" s="73"/>
      <c r="J126" s="69"/>
      <c r="L126" s="73"/>
    </row>
    <row r="127" spans="1:12" ht="26.4">
      <c r="A127" s="181" t="s">
        <v>1545</v>
      </c>
      <c r="B127" s="76" t="s">
        <v>384</v>
      </c>
      <c r="C127" s="77" t="s">
        <v>1640</v>
      </c>
      <c r="D127" s="72">
        <f>+'Alimentazione CE Ricavi'!H175</f>
        <v>0</v>
      </c>
      <c r="E127" s="72">
        <f>+'Alimentazione CE Ricavi'!I175</f>
        <v>0</v>
      </c>
      <c r="F127" s="207"/>
      <c r="G127" s="194"/>
      <c r="H127" s="73"/>
      <c r="J127" s="69"/>
      <c r="L127" s="73"/>
    </row>
    <row r="128" spans="1:12" ht="26.4">
      <c r="A128" s="181"/>
      <c r="B128" s="111" t="s">
        <v>386</v>
      </c>
      <c r="C128" s="112" t="s">
        <v>1641</v>
      </c>
      <c r="D128" s="110">
        <f>+D129+D130+D131</f>
        <v>206419.05</v>
      </c>
      <c r="E128" s="110">
        <f>+E129+E130+E131</f>
        <v>212595</v>
      </c>
      <c r="F128" s="207" t="s">
        <v>2141</v>
      </c>
      <c r="G128" s="194"/>
      <c r="H128" s="73"/>
      <c r="J128" s="69"/>
      <c r="L128" s="73"/>
    </row>
    <row r="129" spans="1:12" ht="52.8">
      <c r="A129" s="181"/>
      <c r="B129" s="76" t="s">
        <v>388</v>
      </c>
      <c r="C129" s="77" t="s">
        <v>1642</v>
      </c>
      <c r="D129" s="72">
        <f>+'Alimentazione CE Ricavi'!H177</f>
        <v>64827.19</v>
      </c>
      <c r="E129" s="72">
        <f>+'Alimentazione CE Ricavi'!I177</f>
        <v>43110</v>
      </c>
      <c r="F129" s="207"/>
      <c r="G129" s="194"/>
      <c r="H129" s="73"/>
      <c r="J129" s="69"/>
      <c r="L129" s="73"/>
    </row>
    <row r="130" spans="1:12" ht="26.4">
      <c r="A130" s="181"/>
      <c r="B130" s="76" t="s">
        <v>390</v>
      </c>
      <c r="C130" s="77" t="s">
        <v>1643</v>
      </c>
      <c r="D130" s="72">
        <f>+'Alimentazione CE Ricavi'!H178</f>
        <v>0</v>
      </c>
      <c r="E130" s="72">
        <f>+'Alimentazione CE Ricavi'!I178</f>
        <v>28162</v>
      </c>
      <c r="F130" s="207"/>
      <c r="G130" s="194"/>
      <c r="H130" s="73"/>
      <c r="J130" s="69"/>
      <c r="L130" s="73"/>
    </row>
    <row r="131" spans="1:12" ht="26.4">
      <c r="A131" s="181"/>
      <c r="B131" s="76" t="s">
        <v>392</v>
      </c>
      <c r="C131" s="77" t="s">
        <v>1644</v>
      </c>
      <c r="D131" s="72">
        <f>+ROUND(SUM('Alimentazione CE Ricavi'!H180:H185),2)</f>
        <v>141591.85999999999</v>
      </c>
      <c r="E131" s="72">
        <f>+ROUND(SUM('Alimentazione CE Ricavi'!I180:I185),2)</f>
        <v>141323</v>
      </c>
      <c r="F131" s="207"/>
      <c r="G131" s="194"/>
      <c r="H131" s="73"/>
      <c r="J131" s="69"/>
      <c r="L131" s="73"/>
    </row>
    <row r="132" spans="1:12" ht="26.4">
      <c r="A132" s="181"/>
      <c r="B132" s="111" t="s">
        <v>399</v>
      </c>
      <c r="C132" s="112" t="s">
        <v>1645</v>
      </c>
      <c r="D132" s="110">
        <f>+D133+D137+D138</f>
        <v>361037.13</v>
      </c>
      <c r="E132" s="110">
        <f>+E133+E137+E138</f>
        <v>1363627</v>
      </c>
      <c r="F132" s="207" t="s">
        <v>2141</v>
      </c>
      <c r="G132" s="194"/>
      <c r="H132" s="73"/>
      <c r="J132" s="69"/>
      <c r="L132" s="73"/>
    </row>
    <row r="133" spans="1:12" ht="26.4">
      <c r="A133" s="181"/>
      <c r="B133" s="128" t="s">
        <v>401</v>
      </c>
      <c r="C133" s="129" t="s">
        <v>1646</v>
      </c>
      <c r="D133" s="130">
        <f>+D134+D135+D136</f>
        <v>288832</v>
      </c>
      <c r="E133" s="130">
        <f>+E134+E135+E136</f>
        <v>1231387</v>
      </c>
      <c r="F133" s="207" t="s">
        <v>2141</v>
      </c>
      <c r="G133" s="194"/>
      <c r="H133" s="73"/>
      <c r="J133" s="69"/>
      <c r="L133" s="73"/>
    </row>
    <row r="134" spans="1:12" ht="26.4">
      <c r="A134" s="181"/>
      <c r="B134" s="78" t="s">
        <v>403</v>
      </c>
      <c r="C134" s="79" t="s">
        <v>1647</v>
      </c>
      <c r="D134" s="72">
        <f>+'Alimentazione CE Ricavi'!H188</f>
        <v>0</v>
      </c>
      <c r="E134" s="72">
        <f>+'Alimentazione CE Ricavi'!I188</f>
        <v>62267</v>
      </c>
      <c r="F134" s="207"/>
      <c r="G134" s="194"/>
      <c r="H134" s="73"/>
      <c r="J134" s="69"/>
      <c r="L134" s="73"/>
    </row>
    <row r="135" spans="1:12" ht="26.4">
      <c r="A135" s="181"/>
      <c r="B135" s="78" t="s">
        <v>405</v>
      </c>
      <c r="C135" s="79" t="s">
        <v>1648</v>
      </c>
      <c r="D135" s="72">
        <f>+'Alimentazione CE Ricavi'!H189</f>
        <v>239964.65</v>
      </c>
      <c r="E135" s="72">
        <f>+'Alimentazione CE Ricavi'!I189</f>
        <v>1169120</v>
      </c>
      <c r="F135" s="207"/>
      <c r="G135" s="194"/>
      <c r="H135" s="73"/>
      <c r="J135" s="69"/>
      <c r="L135" s="73"/>
    </row>
    <row r="136" spans="1:12" ht="18">
      <c r="A136" s="181"/>
      <c r="B136" s="78" t="s">
        <v>407</v>
      </c>
      <c r="C136" s="79" t="s">
        <v>1649</v>
      </c>
      <c r="D136" s="72">
        <f>+'Alimentazione CE Ricavi'!H190</f>
        <v>48867.35</v>
      </c>
      <c r="E136" s="72">
        <f>+'Alimentazione CE Ricavi'!I190</f>
        <v>0</v>
      </c>
      <c r="F136" s="207"/>
      <c r="G136" s="194"/>
      <c r="H136" s="73"/>
      <c r="J136" s="69"/>
      <c r="L136" s="73"/>
    </row>
    <row r="137" spans="1:12" ht="26.4">
      <c r="A137" s="183"/>
      <c r="B137" s="76" t="s">
        <v>409</v>
      </c>
      <c r="C137" s="77" t="s">
        <v>1650</v>
      </c>
      <c r="D137" s="72">
        <f>+'Alimentazione CE Ricavi'!H191</f>
        <v>0</v>
      </c>
      <c r="E137" s="72">
        <f>+'Alimentazione CE Ricavi'!I191</f>
        <v>0</v>
      </c>
      <c r="F137" s="205"/>
      <c r="G137" s="194"/>
      <c r="H137" s="73"/>
      <c r="J137" s="69"/>
      <c r="L137" s="73"/>
    </row>
    <row r="138" spans="1:12" ht="26.4">
      <c r="A138" s="183"/>
      <c r="B138" s="76" t="s">
        <v>411</v>
      </c>
      <c r="C138" s="77" t="s">
        <v>1651</v>
      </c>
      <c r="D138" s="72">
        <f>+ROUND(SUM('Alimentazione CE Ricavi'!H193:H205),2)</f>
        <v>72205.13</v>
      </c>
      <c r="E138" s="72">
        <f>+ROUND(SUM('Alimentazione CE Ricavi'!I193:I205),2)</f>
        <v>132240</v>
      </c>
      <c r="F138" s="205"/>
      <c r="G138" s="194"/>
      <c r="H138" s="73"/>
      <c r="J138" s="69"/>
      <c r="L138" s="73"/>
    </row>
    <row r="139" spans="1:12" ht="26.4">
      <c r="A139" s="183"/>
      <c r="B139" s="116" t="s">
        <v>425</v>
      </c>
      <c r="C139" s="117" t="s">
        <v>1652</v>
      </c>
      <c r="D139" s="118">
        <f>+D140+D141+D142</f>
        <v>1347062.6</v>
      </c>
      <c r="E139" s="118">
        <f>+E140+E141+E142</f>
        <v>1877992</v>
      </c>
      <c r="F139" s="207" t="s">
        <v>2141</v>
      </c>
      <c r="G139" s="194"/>
      <c r="H139" s="73"/>
      <c r="J139" s="69"/>
      <c r="L139" s="73"/>
    </row>
    <row r="140" spans="1:12" ht="52.8">
      <c r="A140" s="183"/>
      <c r="B140" s="74" t="s">
        <v>426</v>
      </c>
      <c r="C140" s="75" t="s">
        <v>1653</v>
      </c>
      <c r="D140" s="72">
        <f>+'Alimentazione CE Ricavi'!H207</f>
        <v>1341910.3</v>
      </c>
      <c r="E140" s="72">
        <f>+'Alimentazione CE Ricavi'!I207</f>
        <v>1865874</v>
      </c>
      <c r="F140" s="205"/>
      <c r="G140" s="194"/>
      <c r="H140" s="73"/>
      <c r="J140" s="69"/>
      <c r="L140" s="73"/>
    </row>
    <row r="141" spans="1:12" ht="39.6">
      <c r="A141" s="181"/>
      <c r="B141" s="74" t="s">
        <v>428</v>
      </c>
      <c r="C141" s="75" t="s">
        <v>1654</v>
      </c>
      <c r="D141" s="72">
        <f>+'Alimentazione CE Ricavi'!H208</f>
        <v>5152.3</v>
      </c>
      <c r="E141" s="72">
        <f>+'Alimentazione CE Ricavi'!I208</f>
        <v>12118</v>
      </c>
      <c r="F141" s="207"/>
      <c r="G141" s="194"/>
      <c r="H141" s="73"/>
      <c r="J141" s="69"/>
      <c r="L141" s="73"/>
    </row>
    <row r="142" spans="1:12" ht="39.6">
      <c r="A142" s="181"/>
      <c r="B142" s="74" t="s">
        <v>430</v>
      </c>
      <c r="C142" s="75" t="s">
        <v>1655</v>
      </c>
      <c r="D142" s="72">
        <f>+'Alimentazione CE Ricavi'!H209</f>
        <v>0</v>
      </c>
      <c r="E142" s="72">
        <f>+'Alimentazione CE Ricavi'!I209</f>
        <v>0</v>
      </c>
      <c r="F142" s="207"/>
      <c r="G142" s="194"/>
      <c r="H142" s="73"/>
      <c r="J142" s="69"/>
      <c r="L142" s="73"/>
    </row>
    <row r="143" spans="1:12" ht="26.4">
      <c r="A143" s="181"/>
      <c r="B143" s="116" t="s">
        <v>432</v>
      </c>
      <c r="C143" s="117" t="s">
        <v>1656</v>
      </c>
      <c r="D143" s="118">
        <f>+D144+D145+D146+D147+D148+D149</f>
        <v>2156637.2599999998</v>
      </c>
      <c r="E143" s="118">
        <f>+E144+E145+E146+E147+E148+E149</f>
        <v>1715773</v>
      </c>
      <c r="F143" s="207" t="s">
        <v>2141</v>
      </c>
      <c r="G143" s="194"/>
      <c r="H143" s="73"/>
      <c r="J143" s="69"/>
      <c r="L143" s="73"/>
    </row>
    <row r="144" spans="1:12" ht="39.6">
      <c r="A144" s="181"/>
      <c r="B144" s="74" t="s">
        <v>434</v>
      </c>
      <c r="C144" s="75" t="s">
        <v>1657</v>
      </c>
      <c r="D144" s="72">
        <f>+'Alimentazione CE Ricavi'!H211</f>
        <v>410009.41</v>
      </c>
      <c r="E144" s="72">
        <f>+'Alimentazione CE Ricavi'!I211</f>
        <v>308548</v>
      </c>
      <c r="F144" s="207"/>
      <c r="G144" s="194"/>
      <c r="H144" s="73"/>
      <c r="J144" s="69"/>
      <c r="L144" s="73"/>
    </row>
    <row r="145" spans="1:12" ht="39.6">
      <c r="A145" s="181"/>
      <c r="B145" s="74" t="s">
        <v>436</v>
      </c>
      <c r="C145" s="75" t="s">
        <v>1658</v>
      </c>
      <c r="D145" s="72">
        <f>+'Alimentazione CE Ricavi'!H212</f>
        <v>948505.87</v>
      </c>
      <c r="E145" s="72">
        <f>+'Alimentazione CE Ricavi'!I212</f>
        <v>688376</v>
      </c>
      <c r="F145" s="207"/>
      <c r="G145" s="194"/>
      <c r="H145" s="73"/>
      <c r="J145" s="69"/>
      <c r="L145" s="73"/>
    </row>
    <row r="146" spans="1:12" ht="39.6">
      <c r="A146" s="181"/>
      <c r="B146" s="74" t="s">
        <v>438</v>
      </c>
      <c r="C146" s="75" t="s">
        <v>1659</v>
      </c>
      <c r="D146" s="72">
        <f>+'Alimentazione CE Ricavi'!H213</f>
        <v>0</v>
      </c>
      <c r="E146" s="72">
        <f>+'Alimentazione CE Ricavi'!I213</f>
        <v>0</v>
      </c>
      <c r="F146" s="207"/>
      <c r="G146" s="194"/>
      <c r="H146" s="73"/>
      <c r="J146" s="69"/>
      <c r="L146" s="73"/>
    </row>
    <row r="147" spans="1:12" ht="39.6">
      <c r="A147" s="181"/>
      <c r="B147" s="74" t="s">
        <v>440</v>
      </c>
      <c r="C147" s="75" t="s">
        <v>1660</v>
      </c>
      <c r="D147" s="72">
        <f>+'Alimentazione CE Ricavi'!H214</f>
        <v>0</v>
      </c>
      <c r="E147" s="72">
        <f>+'Alimentazione CE Ricavi'!I214</f>
        <v>0</v>
      </c>
      <c r="F147" s="207"/>
      <c r="G147" s="194"/>
      <c r="H147" s="73"/>
      <c r="J147" s="69"/>
      <c r="L147" s="73"/>
    </row>
    <row r="148" spans="1:12" ht="39.6">
      <c r="A148" s="181"/>
      <c r="B148" s="74" t="s">
        <v>442</v>
      </c>
      <c r="C148" s="75" t="s">
        <v>1661</v>
      </c>
      <c r="D148" s="72">
        <f>+'Alimentazione CE Ricavi'!H215</f>
        <v>0</v>
      </c>
      <c r="E148" s="72">
        <f>+'Alimentazione CE Ricavi'!I215</f>
        <v>0</v>
      </c>
      <c r="F148" s="207"/>
      <c r="G148" s="194"/>
      <c r="H148" s="73"/>
      <c r="J148" s="69"/>
      <c r="L148" s="73"/>
    </row>
    <row r="149" spans="1:12" ht="26.4">
      <c r="A149" s="181"/>
      <c r="B149" s="74" t="s">
        <v>444</v>
      </c>
      <c r="C149" s="75" t="s">
        <v>1662</v>
      </c>
      <c r="D149" s="72">
        <f>+'Alimentazione CE Ricavi'!H216</f>
        <v>798121.98</v>
      </c>
      <c r="E149" s="72">
        <f>+'Alimentazione CE Ricavi'!I216</f>
        <v>718849</v>
      </c>
      <c r="F149" s="207"/>
      <c r="G149" s="194"/>
      <c r="H149" s="73"/>
      <c r="J149" s="69"/>
      <c r="L149" s="73"/>
    </row>
    <row r="150" spans="1:12" ht="26.4">
      <c r="A150" s="181"/>
      <c r="B150" s="116" t="s">
        <v>445</v>
      </c>
      <c r="C150" s="117" t="s">
        <v>1663</v>
      </c>
      <c r="D150" s="118">
        <f>+'Alimentazione CE Ricavi'!H217</f>
        <v>0</v>
      </c>
      <c r="E150" s="118">
        <f>+'Alimentazione CE Ricavi'!I217</f>
        <v>0</v>
      </c>
      <c r="F150" s="207"/>
      <c r="G150" s="194"/>
      <c r="H150" s="73"/>
      <c r="J150" s="69"/>
      <c r="L150" s="73"/>
    </row>
    <row r="151" spans="1:12" ht="18">
      <c r="A151" s="181"/>
      <c r="B151" s="116" t="s">
        <v>446</v>
      </c>
      <c r="C151" s="117" t="s">
        <v>1664</v>
      </c>
      <c r="D151" s="118">
        <f>+D152+D153+D154</f>
        <v>331118.25</v>
      </c>
      <c r="E151" s="118">
        <f>+E152+E153+E154</f>
        <v>219162</v>
      </c>
      <c r="F151" s="207" t="s">
        <v>2141</v>
      </c>
      <c r="G151" s="194"/>
      <c r="H151" s="73"/>
      <c r="J151" s="69"/>
      <c r="L151" s="73"/>
    </row>
    <row r="152" spans="1:12" ht="26.4">
      <c r="A152" s="181"/>
      <c r="B152" s="74" t="s">
        <v>448</v>
      </c>
      <c r="C152" s="75" t="s">
        <v>1665</v>
      </c>
      <c r="D152" s="72">
        <f>+'Alimentazione CE Ricavi'!H220+'Alimentazione CE Ricavi'!H221+'Alimentazione CE Ricavi'!H222</f>
        <v>132518</v>
      </c>
      <c r="E152" s="72">
        <f>+'Alimentazione CE Ricavi'!I220+'Alimentazione CE Ricavi'!I221+'Alimentazione CE Ricavi'!I222</f>
        <v>0</v>
      </c>
      <c r="F152" s="207"/>
      <c r="G152" s="194"/>
      <c r="H152" s="73"/>
      <c r="J152" s="69"/>
      <c r="L152" s="73"/>
    </row>
    <row r="153" spans="1:12" ht="26.4">
      <c r="A153" s="181"/>
      <c r="B153" s="74" t="s">
        <v>453</v>
      </c>
      <c r="C153" s="75" t="s">
        <v>1666</v>
      </c>
      <c r="D153" s="72">
        <f>+'Alimentazione CE Ricavi'!H224+'Alimentazione CE Ricavi'!H225+'Alimentazione CE Ricavi'!H226</f>
        <v>15276.24</v>
      </c>
      <c r="E153" s="72">
        <f>+'Alimentazione CE Ricavi'!I224+'Alimentazione CE Ricavi'!I225+'Alimentazione CE Ricavi'!I226</f>
        <v>19240</v>
      </c>
      <c r="F153" s="207"/>
      <c r="G153" s="194"/>
      <c r="H153" s="73"/>
      <c r="J153" s="69"/>
      <c r="L153" s="73"/>
    </row>
    <row r="154" spans="1:12" ht="18">
      <c r="A154" s="181"/>
      <c r="B154" s="74" t="s">
        <v>458</v>
      </c>
      <c r="C154" s="75" t="s">
        <v>1667</v>
      </c>
      <c r="D154" s="72">
        <f>+'Alimentazione CE Ricavi'!H228+'Alimentazione CE Ricavi'!H229+'Alimentazione CE Ricavi'!H230</f>
        <v>183324.01</v>
      </c>
      <c r="E154" s="72">
        <f>+'Alimentazione CE Ricavi'!I228+'Alimentazione CE Ricavi'!I229+'Alimentazione CE Ricavi'!I230</f>
        <v>199922</v>
      </c>
      <c r="F154" s="207"/>
      <c r="G154" s="194"/>
      <c r="H154" s="73"/>
      <c r="J154" s="69"/>
      <c r="L154" s="73"/>
    </row>
    <row r="155" spans="1:12" ht="18">
      <c r="A155" s="181"/>
      <c r="B155" s="119" t="s">
        <v>1668</v>
      </c>
      <c r="C155" s="120" t="s">
        <v>1669</v>
      </c>
      <c r="D155" s="121">
        <f>+D151+D150+D143+D139+D118+D63+D57+D54+D23</f>
        <v>81966394.390000001</v>
      </c>
      <c r="E155" s="121">
        <f>+E151+E150+E143+E139+E118+E63+E57+E54+E23</f>
        <v>76303259</v>
      </c>
      <c r="F155" s="207" t="s">
        <v>2141</v>
      </c>
      <c r="G155" s="194"/>
      <c r="H155" s="73"/>
      <c r="J155" s="69"/>
      <c r="L155" s="73"/>
    </row>
    <row r="156" spans="1:12" ht="18">
      <c r="A156" s="181"/>
      <c r="B156" s="132"/>
      <c r="C156" s="135" t="s">
        <v>1670</v>
      </c>
      <c r="D156" s="134"/>
      <c r="E156" s="134"/>
      <c r="F156" s="207"/>
      <c r="G156" s="194"/>
      <c r="H156" s="73"/>
      <c r="J156" s="69"/>
      <c r="L156" s="73"/>
    </row>
    <row r="157" spans="1:12" ht="18">
      <c r="A157" s="181"/>
      <c r="B157" s="116" t="s">
        <v>539</v>
      </c>
      <c r="C157" s="117" t="s">
        <v>1671</v>
      </c>
      <c r="D157" s="118">
        <f>+D158+D189</f>
        <v>13317278.99</v>
      </c>
      <c r="E157" s="118">
        <f>+E158+E189</f>
        <v>11099691</v>
      </c>
      <c r="F157" s="207" t="s">
        <v>2141</v>
      </c>
      <c r="G157" s="194"/>
      <c r="H157" s="73"/>
      <c r="J157" s="69"/>
      <c r="L157" s="73"/>
    </row>
    <row r="158" spans="1:12" ht="18">
      <c r="A158" s="181"/>
      <c r="B158" s="111" t="s">
        <v>541</v>
      </c>
      <c r="C158" s="112" t="s">
        <v>1672</v>
      </c>
      <c r="D158" s="110">
        <f>+D159+D167+D171+D175+D176+D177+D178+D179+D180</f>
        <v>12593878.02</v>
      </c>
      <c r="E158" s="110">
        <f>+E159+E167+E171+E175+E176+E177+E178+E179+E180</f>
        <v>10705055</v>
      </c>
      <c r="F158" s="207" t="s">
        <v>2141</v>
      </c>
      <c r="G158" s="194"/>
      <c r="H158" s="73"/>
      <c r="J158" s="69"/>
      <c r="L158" s="73"/>
    </row>
    <row r="159" spans="1:12" ht="26.4">
      <c r="A159" s="181"/>
      <c r="B159" s="122" t="s">
        <v>543</v>
      </c>
      <c r="C159" s="123" t="s">
        <v>1673</v>
      </c>
      <c r="D159" s="124">
        <f>SUM(D160:D163)</f>
        <v>765578.37</v>
      </c>
      <c r="E159" s="124">
        <f>SUM(E160:E163)</f>
        <v>955045</v>
      </c>
      <c r="F159" s="207" t="s">
        <v>2141</v>
      </c>
      <c r="G159" s="194"/>
      <c r="H159" s="73"/>
      <c r="J159" s="69"/>
      <c r="L159" s="73"/>
    </row>
    <row r="160" spans="1:12" ht="39.6">
      <c r="A160" s="183"/>
      <c r="B160" s="78" t="s">
        <v>545</v>
      </c>
      <c r="C160" s="79" t="s">
        <v>1674</v>
      </c>
      <c r="D160" s="72">
        <f>+'Alimentazione CE Costi'!H6</f>
        <v>671002.81999999995</v>
      </c>
      <c r="E160" s="72">
        <f>+'Alimentazione CE Costi'!I6</f>
        <v>805917</v>
      </c>
      <c r="F160" s="205"/>
      <c r="G160" s="194"/>
      <c r="H160" s="73"/>
      <c r="J160" s="69"/>
      <c r="L160" s="73"/>
    </row>
    <row r="161" spans="1:12" ht="18">
      <c r="A161" s="183"/>
      <c r="B161" s="78" t="s">
        <v>548</v>
      </c>
      <c r="C161" s="79" t="s">
        <v>1675</v>
      </c>
      <c r="D161" s="72">
        <f>+'Alimentazione CE Costi'!H7</f>
        <v>23328.05</v>
      </c>
      <c r="E161" s="72">
        <f>+'Alimentazione CE Costi'!I7</f>
        <v>64731</v>
      </c>
      <c r="F161" s="205"/>
      <c r="G161" s="194"/>
      <c r="H161" s="73"/>
      <c r="J161" s="69"/>
      <c r="L161" s="73"/>
    </row>
    <row r="162" spans="1:12" ht="18">
      <c r="A162" s="183"/>
      <c r="B162" s="78" t="s">
        <v>550</v>
      </c>
      <c r="C162" s="79" t="s">
        <v>1676</v>
      </c>
      <c r="D162" s="72">
        <f>+'Alimentazione CE Costi'!H8</f>
        <v>71247.5</v>
      </c>
      <c r="E162" s="72">
        <f>+'Alimentazione CE Costi'!I8</f>
        <v>84397</v>
      </c>
      <c r="F162" s="205"/>
      <c r="G162" s="194"/>
      <c r="H162" s="73"/>
      <c r="J162" s="69"/>
      <c r="L162" s="73"/>
    </row>
    <row r="163" spans="1:12" ht="26.4">
      <c r="A163" s="181"/>
      <c r="B163" s="125" t="s">
        <v>552</v>
      </c>
      <c r="C163" s="126" t="s">
        <v>1677</v>
      </c>
      <c r="D163" s="127">
        <f>SUM(D164:D166)</f>
        <v>0</v>
      </c>
      <c r="E163" s="127">
        <f>SUM(E164:E166)</f>
        <v>0</v>
      </c>
      <c r="F163" s="207" t="s">
        <v>2141</v>
      </c>
      <c r="G163" s="194"/>
      <c r="H163" s="73"/>
      <c r="J163" s="69"/>
      <c r="L163" s="73"/>
    </row>
    <row r="164" spans="1:12" ht="52.8">
      <c r="A164" s="183" t="s">
        <v>1545</v>
      </c>
      <c r="B164" s="78" t="s">
        <v>554</v>
      </c>
      <c r="C164" s="79" t="s">
        <v>1678</v>
      </c>
      <c r="D164" s="72">
        <f>+'Alimentazione CE Costi'!H10</f>
        <v>0</v>
      </c>
      <c r="E164" s="72">
        <f>+'Alimentazione CE Costi'!I10</f>
        <v>0</v>
      </c>
      <c r="F164" s="205"/>
      <c r="G164" s="194"/>
      <c r="H164" s="73"/>
      <c r="J164" s="69"/>
      <c r="L164" s="73"/>
    </row>
    <row r="165" spans="1:12" ht="52.8">
      <c r="A165" s="183" t="s">
        <v>1590</v>
      </c>
      <c r="B165" s="78" t="s">
        <v>556</v>
      </c>
      <c r="C165" s="79" t="s">
        <v>1679</v>
      </c>
      <c r="D165" s="72">
        <f>+'Alimentazione CE Costi'!H11</f>
        <v>0</v>
      </c>
      <c r="E165" s="72">
        <f>+'Alimentazione CE Costi'!I11</f>
        <v>0</v>
      </c>
      <c r="F165" s="205"/>
      <c r="G165" s="194"/>
      <c r="H165" s="73"/>
      <c r="J165" s="69"/>
      <c r="L165" s="73"/>
    </row>
    <row r="166" spans="1:12" ht="26.4">
      <c r="A166" s="183"/>
      <c r="B166" s="78" t="s">
        <v>558</v>
      </c>
      <c r="C166" s="79" t="s">
        <v>1680</v>
      </c>
      <c r="D166" s="72">
        <f>+'Alimentazione CE Costi'!H12</f>
        <v>0</v>
      </c>
      <c r="E166" s="72">
        <f>+'Alimentazione CE Costi'!I12</f>
        <v>0</v>
      </c>
      <c r="F166" s="205"/>
      <c r="G166" s="194"/>
      <c r="H166" s="73"/>
      <c r="J166" s="69"/>
      <c r="L166" s="73"/>
    </row>
    <row r="167" spans="1:12" ht="18">
      <c r="A167" s="181"/>
      <c r="B167" s="122" t="s">
        <v>560</v>
      </c>
      <c r="C167" s="123" t="s">
        <v>1681</v>
      </c>
      <c r="D167" s="124">
        <f>SUM(D168:D170)</f>
        <v>0</v>
      </c>
      <c r="E167" s="124">
        <f>SUM(E168:E170)</f>
        <v>0</v>
      </c>
      <c r="F167" s="207" t="s">
        <v>2141</v>
      </c>
      <c r="G167" s="194"/>
      <c r="H167" s="73"/>
      <c r="J167" s="69"/>
      <c r="L167" s="73"/>
    </row>
    <row r="168" spans="1:12" ht="39.6">
      <c r="A168" s="181" t="s">
        <v>1545</v>
      </c>
      <c r="B168" s="78" t="s">
        <v>562</v>
      </c>
      <c r="C168" s="79" t="s">
        <v>1682</v>
      </c>
      <c r="D168" s="72">
        <f>+'Alimentazione CE Costi'!H14</f>
        <v>0</v>
      </c>
      <c r="E168" s="72">
        <f>+'Alimentazione CE Costi'!I14</f>
        <v>0</v>
      </c>
      <c r="F168" s="207"/>
      <c r="G168" s="194"/>
      <c r="H168" s="73"/>
      <c r="J168" s="69"/>
      <c r="L168" s="73"/>
    </row>
    <row r="169" spans="1:12" ht="39.6">
      <c r="A169" s="181" t="s">
        <v>1590</v>
      </c>
      <c r="B169" s="78" t="s">
        <v>564</v>
      </c>
      <c r="C169" s="79" t="s">
        <v>1683</v>
      </c>
      <c r="D169" s="72">
        <f>+'Alimentazione CE Costi'!H15</f>
        <v>0</v>
      </c>
      <c r="E169" s="72">
        <f>+'Alimentazione CE Costi'!I15</f>
        <v>0</v>
      </c>
      <c r="F169" s="207"/>
      <c r="G169" s="194"/>
      <c r="H169" s="73"/>
      <c r="J169" s="69"/>
      <c r="L169" s="73"/>
    </row>
    <row r="170" spans="1:12" ht="18">
      <c r="A170" s="181"/>
      <c r="B170" s="78" t="s">
        <v>566</v>
      </c>
      <c r="C170" s="79" t="s">
        <v>1684</v>
      </c>
      <c r="D170" s="72">
        <f>+'Alimentazione CE Costi'!H16</f>
        <v>0</v>
      </c>
      <c r="E170" s="72">
        <f>+'Alimentazione CE Costi'!I16</f>
        <v>0</v>
      </c>
      <c r="F170" s="207"/>
      <c r="G170" s="194"/>
      <c r="H170" s="73"/>
      <c r="J170" s="69"/>
      <c r="L170" s="73"/>
    </row>
    <row r="171" spans="1:12" ht="18">
      <c r="A171" s="181"/>
      <c r="B171" s="122" t="s">
        <v>568</v>
      </c>
      <c r="C171" s="123" t="s">
        <v>1685</v>
      </c>
      <c r="D171" s="124">
        <f>SUM(D172:D174)</f>
        <v>6085558.6500000004</v>
      </c>
      <c r="E171" s="124">
        <f>SUM(E172:E174)</f>
        <v>4647943</v>
      </c>
      <c r="F171" s="208" t="s">
        <v>2141</v>
      </c>
      <c r="G171" s="194"/>
      <c r="H171" s="73"/>
      <c r="J171" s="69"/>
      <c r="L171" s="73"/>
    </row>
    <row r="172" spans="1:12" ht="18">
      <c r="A172" s="181"/>
      <c r="B172" s="78" t="s">
        <v>570</v>
      </c>
      <c r="C172" s="79" t="s">
        <v>1686</v>
      </c>
      <c r="D172" s="72">
        <f>+'Alimentazione CE Costi'!H18</f>
        <v>2075177.47</v>
      </c>
      <c r="E172" s="72">
        <f>+'Alimentazione CE Costi'!I18</f>
        <v>1993853</v>
      </c>
      <c r="F172" s="207"/>
      <c r="G172" s="194"/>
      <c r="H172" s="73"/>
      <c r="J172" s="69"/>
      <c r="L172" s="73"/>
    </row>
    <row r="173" spans="1:12" ht="26.4">
      <c r="A173" s="181"/>
      <c r="B173" s="78" t="s">
        <v>572</v>
      </c>
      <c r="C173" s="79" t="s">
        <v>1687</v>
      </c>
      <c r="D173" s="72">
        <f>+'Alimentazione CE Costi'!H19</f>
        <v>431795.52</v>
      </c>
      <c r="E173" s="72">
        <f>+'Alimentazione CE Costi'!I19</f>
        <v>498826</v>
      </c>
      <c r="F173" s="207"/>
      <c r="G173" s="194"/>
      <c r="H173" s="73"/>
      <c r="J173" s="69"/>
      <c r="L173" s="73"/>
    </row>
    <row r="174" spans="1:12" ht="26.4">
      <c r="A174" s="181"/>
      <c r="B174" s="78" t="s">
        <v>574</v>
      </c>
      <c r="C174" s="79" t="s">
        <v>1688</v>
      </c>
      <c r="D174" s="72">
        <f>+'Alimentazione CE Costi'!H20</f>
        <v>3578585.66</v>
      </c>
      <c r="E174" s="72">
        <f>+'Alimentazione CE Costi'!I20</f>
        <v>2155264</v>
      </c>
      <c r="F174" s="207"/>
      <c r="G174" s="194"/>
      <c r="H174" s="73"/>
      <c r="J174" s="69"/>
      <c r="L174" s="73"/>
    </row>
    <row r="175" spans="1:12" ht="18">
      <c r="A175" s="181"/>
      <c r="B175" s="76" t="s">
        <v>576</v>
      </c>
      <c r="C175" s="77" t="s">
        <v>1689</v>
      </c>
      <c r="D175" s="82">
        <f>+'Alimentazione CE Costi'!H21</f>
        <v>2954.31</v>
      </c>
      <c r="E175" s="82">
        <f>+'Alimentazione CE Costi'!I21</f>
        <v>1863</v>
      </c>
      <c r="F175" s="205"/>
      <c r="G175" s="194"/>
      <c r="H175" s="73"/>
      <c r="J175" s="69"/>
      <c r="L175" s="73"/>
    </row>
    <row r="176" spans="1:12" ht="18">
      <c r="A176" s="181"/>
      <c r="B176" s="76" t="s">
        <v>578</v>
      </c>
      <c r="C176" s="77" t="s">
        <v>1690</v>
      </c>
      <c r="D176" s="82">
        <f>+'Alimentazione CE Costi'!H22</f>
        <v>696.45</v>
      </c>
      <c r="E176" s="82">
        <f>+'Alimentazione CE Costi'!I22</f>
        <v>582</v>
      </c>
      <c r="F176" s="205"/>
      <c r="G176" s="194"/>
      <c r="H176" s="73"/>
      <c r="J176" s="69"/>
      <c r="L176" s="73"/>
    </row>
    <row r="177" spans="1:12" ht="18">
      <c r="A177" s="181"/>
      <c r="B177" s="76" t="s">
        <v>580</v>
      </c>
      <c r="C177" s="77" t="s">
        <v>1691</v>
      </c>
      <c r="D177" s="82">
        <f>+'Alimentazione CE Costi'!H23</f>
        <v>35404.31</v>
      </c>
      <c r="E177" s="82">
        <f>+'Alimentazione CE Costi'!I23</f>
        <v>13695</v>
      </c>
      <c r="F177" s="205"/>
      <c r="G177" s="194"/>
      <c r="H177" s="73"/>
      <c r="J177" s="69"/>
      <c r="L177" s="73"/>
    </row>
    <row r="178" spans="1:12" ht="26.4">
      <c r="A178" s="181"/>
      <c r="B178" s="76" t="s">
        <v>582</v>
      </c>
      <c r="C178" s="77" t="s">
        <v>1692</v>
      </c>
      <c r="D178" s="82">
        <f>+'Alimentazione CE Costi'!H24</f>
        <v>0</v>
      </c>
      <c r="E178" s="82">
        <f>+'Alimentazione CE Costi'!I24</f>
        <v>0</v>
      </c>
      <c r="F178" s="205"/>
      <c r="G178" s="194"/>
      <c r="H178" s="73"/>
      <c r="J178" s="69"/>
      <c r="L178" s="73"/>
    </row>
    <row r="179" spans="1:12" ht="18">
      <c r="A179" s="181"/>
      <c r="B179" s="76" t="s">
        <v>584</v>
      </c>
      <c r="C179" s="77" t="s">
        <v>1693</v>
      </c>
      <c r="D179" s="82">
        <f>+'Alimentazione CE Costi'!H25</f>
        <v>380396.58</v>
      </c>
      <c r="E179" s="82">
        <f>+'Alimentazione CE Costi'!I25</f>
        <v>341632</v>
      </c>
      <c r="F179" s="205"/>
      <c r="G179" s="194"/>
      <c r="H179" s="73"/>
      <c r="J179" s="69"/>
      <c r="L179" s="73"/>
    </row>
    <row r="180" spans="1:12" ht="26.4">
      <c r="A180" s="181" t="s">
        <v>1545</v>
      </c>
      <c r="B180" s="122" t="s">
        <v>586</v>
      </c>
      <c r="C180" s="123" t="s">
        <v>1694</v>
      </c>
      <c r="D180" s="124">
        <f>SUM(D181:D188)</f>
        <v>5323289.3499999996</v>
      </c>
      <c r="E180" s="124">
        <f>SUM(E181:E188)</f>
        <v>4744295</v>
      </c>
      <c r="F180" s="205" t="s">
        <v>2141</v>
      </c>
      <c r="G180" s="194"/>
      <c r="J180" s="69"/>
      <c r="L180" s="73"/>
    </row>
    <row r="181" spans="1:12" ht="26.4">
      <c r="A181" s="181" t="s">
        <v>1545</v>
      </c>
      <c r="B181" s="76" t="s">
        <v>587</v>
      </c>
      <c r="C181" s="77" t="s">
        <v>1695</v>
      </c>
      <c r="D181" s="82">
        <f>+'Alimentazione CE Costi'!H28+'Alimentazione CE Costi'!H29+'Alimentazione CE Costi'!H30</f>
        <v>3899875.38</v>
      </c>
      <c r="E181" s="82">
        <f>+'Alimentazione CE Costi'!I28+'Alimentazione CE Costi'!I29+'Alimentazione CE Costi'!I30</f>
        <v>3454788</v>
      </c>
      <c r="F181" s="205"/>
      <c r="G181" s="194"/>
      <c r="J181" s="69"/>
      <c r="L181" s="73"/>
    </row>
    <row r="182" spans="1:12" ht="18">
      <c r="A182" s="187"/>
      <c r="B182" s="83"/>
      <c r="C182" s="84"/>
      <c r="D182" s="85"/>
      <c r="E182" s="85"/>
      <c r="F182" s="205"/>
      <c r="G182" s="194"/>
      <c r="J182" s="69"/>
      <c r="L182" s="73"/>
    </row>
    <row r="183" spans="1:12" ht="18">
      <c r="A183" s="181" t="s">
        <v>1545</v>
      </c>
      <c r="B183" s="76" t="s">
        <v>588</v>
      </c>
      <c r="C183" s="77" t="s">
        <v>1696</v>
      </c>
      <c r="D183" s="82">
        <f>+'Alimentazione CE Costi'!H32+'Alimentazione CE Costi'!H33+'Alimentazione CE Costi'!H34</f>
        <v>1296466.48</v>
      </c>
      <c r="E183" s="82">
        <f>+'Alimentazione CE Costi'!I32+'Alimentazione CE Costi'!I33+'Alimentazione CE Costi'!I34</f>
        <v>1177983</v>
      </c>
      <c r="F183" s="205"/>
      <c r="G183" s="194"/>
      <c r="J183" s="69"/>
      <c r="L183" s="73"/>
    </row>
    <row r="184" spans="1:12" ht="18">
      <c r="A184" s="181" t="s">
        <v>1545</v>
      </c>
      <c r="B184" s="76" t="s">
        <v>589</v>
      </c>
      <c r="C184" s="77" t="s">
        <v>1697</v>
      </c>
      <c r="D184" s="82">
        <f>+'Alimentazione CE Costi'!H35</f>
        <v>12491.37</v>
      </c>
      <c r="E184" s="82">
        <f>+'Alimentazione CE Costi'!I35</f>
        <v>13162</v>
      </c>
      <c r="F184" s="205"/>
      <c r="G184" s="194"/>
      <c r="J184" s="69"/>
      <c r="L184" s="73"/>
    </row>
    <row r="185" spans="1:12" ht="26.4">
      <c r="A185" s="181" t="s">
        <v>1545</v>
      </c>
      <c r="B185" s="76" t="s">
        <v>590</v>
      </c>
      <c r="C185" s="77" t="s">
        <v>1698</v>
      </c>
      <c r="D185" s="82">
        <f>+'Alimentazione CE Costi'!H36</f>
        <v>6964.68</v>
      </c>
      <c r="E185" s="82">
        <f>+'Alimentazione CE Costi'!I36</f>
        <v>5816</v>
      </c>
      <c r="F185" s="205"/>
      <c r="G185" s="194"/>
      <c r="J185" s="69"/>
      <c r="L185" s="73"/>
    </row>
    <row r="186" spans="1:12" ht="18">
      <c r="A186" s="181" t="s">
        <v>1545</v>
      </c>
      <c r="B186" s="76" t="s">
        <v>591</v>
      </c>
      <c r="C186" s="77" t="s">
        <v>1699</v>
      </c>
      <c r="D186" s="82">
        <f>+'Alimentazione CE Costi'!H37</f>
        <v>0</v>
      </c>
      <c r="E186" s="82">
        <f>+'Alimentazione CE Costi'!I37</f>
        <v>0</v>
      </c>
      <c r="F186" s="205"/>
      <c r="G186" s="194"/>
      <c r="J186" s="69"/>
      <c r="L186" s="73"/>
    </row>
    <row r="187" spans="1:12" ht="26.4">
      <c r="A187" s="181" t="s">
        <v>1545</v>
      </c>
      <c r="B187" s="76" t="s">
        <v>592</v>
      </c>
      <c r="C187" s="77" t="s">
        <v>1700</v>
      </c>
      <c r="D187" s="82">
        <f>+'Alimentazione CE Costi'!H38</f>
        <v>0</v>
      </c>
      <c r="E187" s="82">
        <f>+'Alimentazione CE Costi'!I38</f>
        <v>0</v>
      </c>
      <c r="F187" s="205"/>
      <c r="G187" s="194"/>
      <c r="J187" s="69"/>
      <c r="L187" s="73"/>
    </row>
    <row r="188" spans="1:12" ht="18">
      <c r="A188" s="181" t="s">
        <v>1545</v>
      </c>
      <c r="B188" s="76" t="s">
        <v>594</v>
      </c>
      <c r="C188" s="77" t="s">
        <v>1701</v>
      </c>
      <c r="D188" s="82">
        <f>+'Alimentazione CE Costi'!H39</f>
        <v>107491.44</v>
      </c>
      <c r="E188" s="82">
        <f>+'Alimentazione CE Costi'!I39</f>
        <v>92546</v>
      </c>
      <c r="F188" s="205"/>
      <c r="G188" s="194"/>
      <c r="J188" s="69"/>
      <c r="L188" s="73"/>
    </row>
    <row r="189" spans="1:12" ht="18">
      <c r="A189" s="181"/>
      <c r="B189" s="111" t="s">
        <v>596</v>
      </c>
      <c r="C189" s="112" t="s">
        <v>1702</v>
      </c>
      <c r="D189" s="110">
        <f>SUM(D190:D196)</f>
        <v>723400.97</v>
      </c>
      <c r="E189" s="110">
        <f>SUM(E190:E196)</f>
        <v>394636</v>
      </c>
      <c r="F189" s="207" t="s">
        <v>2141</v>
      </c>
      <c r="G189" s="194"/>
      <c r="H189" s="73"/>
      <c r="J189" s="69"/>
      <c r="L189" s="73"/>
    </row>
    <row r="190" spans="1:12" ht="18">
      <c r="A190" s="181"/>
      <c r="B190" s="76" t="s">
        <v>598</v>
      </c>
      <c r="C190" s="77" t="s">
        <v>1703</v>
      </c>
      <c r="D190" s="72">
        <f>+'Alimentazione CE Costi'!H41</f>
        <v>2565.5300000000002</v>
      </c>
      <c r="E190" s="72">
        <f>+'Alimentazione CE Costi'!I41</f>
        <v>2534</v>
      </c>
      <c r="F190" s="207"/>
      <c r="G190" s="194"/>
      <c r="H190" s="73"/>
      <c r="J190" s="69"/>
      <c r="L190" s="73"/>
    </row>
    <row r="191" spans="1:12" ht="26.4">
      <c r="A191" s="181"/>
      <c r="B191" s="76" t="s">
        <v>600</v>
      </c>
      <c r="C191" s="77" t="s">
        <v>1704</v>
      </c>
      <c r="D191" s="72">
        <f>+'Alimentazione CE Costi'!H42</f>
        <v>52092.67</v>
      </c>
      <c r="E191" s="72">
        <f>+'Alimentazione CE Costi'!I42</f>
        <v>49635</v>
      </c>
      <c r="F191" s="207"/>
      <c r="G191" s="194"/>
      <c r="H191" s="73"/>
      <c r="J191" s="69"/>
      <c r="L191" s="73"/>
    </row>
    <row r="192" spans="1:12" ht="26.4">
      <c r="A192" s="181"/>
      <c r="B192" s="76" t="s">
        <v>602</v>
      </c>
      <c r="C192" s="77" t="s">
        <v>1705</v>
      </c>
      <c r="D192" s="72">
        <f>+'Alimentazione CE Costi'!H43</f>
        <v>4655.8500000000004</v>
      </c>
      <c r="E192" s="72">
        <f>+'Alimentazione CE Costi'!I43</f>
        <v>7279</v>
      </c>
      <c r="F192" s="207"/>
      <c r="G192" s="194"/>
      <c r="H192" s="73"/>
      <c r="J192" s="69"/>
      <c r="L192" s="73"/>
    </row>
    <row r="193" spans="1:12" ht="18">
      <c r="A193" s="181"/>
      <c r="B193" s="76" t="s">
        <v>604</v>
      </c>
      <c r="C193" s="77" t="s">
        <v>1706</v>
      </c>
      <c r="D193" s="72">
        <f>+ROUND(SUM('Alimentazione CE Costi'!H45:H47),2)</f>
        <v>104565.9</v>
      </c>
      <c r="E193" s="72">
        <f>+ROUND(SUM('Alimentazione CE Costi'!I45:I47),2)</f>
        <v>115206</v>
      </c>
      <c r="F193" s="207"/>
      <c r="G193" s="194"/>
      <c r="H193" s="73"/>
      <c r="J193" s="69"/>
      <c r="L193" s="73"/>
    </row>
    <row r="194" spans="1:12" ht="18">
      <c r="A194" s="181"/>
      <c r="B194" s="76" t="s">
        <v>609</v>
      </c>
      <c r="C194" s="77" t="s">
        <v>1707</v>
      </c>
      <c r="D194" s="72">
        <f>+ROUND(SUM('Alimentazione CE Costi'!H49:H50),2)</f>
        <v>31954.54</v>
      </c>
      <c r="E194" s="72">
        <f>+ROUND(SUM('Alimentazione CE Costi'!I49:I50),2)</f>
        <v>8938</v>
      </c>
      <c r="F194" s="207"/>
      <c r="G194" s="194"/>
      <c r="H194" s="73"/>
      <c r="J194" s="69"/>
      <c r="L194" s="73"/>
    </row>
    <row r="195" spans="1:12" ht="18">
      <c r="A195" s="181"/>
      <c r="B195" s="76" t="s">
        <v>613</v>
      </c>
      <c r="C195" s="77" t="s">
        <v>1708</v>
      </c>
      <c r="D195" s="72">
        <f>+ROUND('Alimentazione CE Costi'!H51,2)</f>
        <v>85393.16</v>
      </c>
      <c r="E195" s="72">
        <f>+ROUND('Alimentazione CE Costi'!I51,2)</f>
        <v>42006</v>
      </c>
      <c r="F195" s="207"/>
      <c r="G195" s="194"/>
      <c r="H195" s="73"/>
      <c r="J195" s="69"/>
      <c r="L195" s="73"/>
    </row>
    <row r="196" spans="1:12" ht="26.4">
      <c r="A196" s="181" t="s">
        <v>1545</v>
      </c>
      <c r="B196" s="76" t="s">
        <v>615</v>
      </c>
      <c r="C196" s="77" t="s">
        <v>1709</v>
      </c>
      <c r="D196" s="72">
        <f>+ROUND(SUM('Alimentazione CE Costi'!H53:H58),2)</f>
        <v>442173.32</v>
      </c>
      <c r="E196" s="72">
        <f>+ROUND(SUM('Alimentazione CE Costi'!I53:I58),2)</f>
        <v>169038</v>
      </c>
      <c r="F196" s="207"/>
      <c r="G196" s="194"/>
      <c r="H196" s="73"/>
      <c r="J196" s="69"/>
      <c r="L196" s="73"/>
    </row>
    <row r="197" spans="1:12" ht="18">
      <c r="A197" s="181"/>
      <c r="B197" s="116" t="s">
        <v>618</v>
      </c>
      <c r="C197" s="117" t="s">
        <v>1710</v>
      </c>
      <c r="D197" s="118">
        <f>+D198+D328</f>
        <v>16281121.789999999</v>
      </c>
      <c r="E197" s="118">
        <f>+E198+E328</f>
        <v>14884757</v>
      </c>
      <c r="F197" s="207" t="s">
        <v>2141</v>
      </c>
      <c r="G197" s="194"/>
      <c r="H197" s="73"/>
      <c r="J197" s="69"/>
      <c r="L197" s="73"/>
    </row>
    <row r="198" spans="1:12" ht="18">
      <c r="A198" s="181"/>
      <c r="B198" s="111" t="s">
        <v>620</v>
      </c>
      <c r="C198" s="112" t="s">
        <v>1711</v>
      </c>
      <c r="D198" s="110">
        <f>+D199+D207+D211+D230+D236+D241+D246+D256+D262+D269+D275+D280+D289+D297+D305+D319+D327</f>
        <v>8076735.9899999984</v>
      </c>
      <c r="E198" s="110">
        <f>+E199+E207+E211+E230+E236+E241+E246+E256+E262+E269+E275+E280+E289+E297+E305+E319+E327</f>
        <v>6989035</v>
      </c>
      <c r="F198" s="207" t="s">
        <v>2141</v>
      </c>
      <c r="G198" s="194"/>
      <c r="H198" s="73"/>
      <c r="J198" s="69"/>
      <c r="L198" s="73"/>
    </row>
    <row r="199" spans="1:12" ht="26.4">
      <c r="A199" s="181"/>
      <c r="B199" s="136" t="s">
        <v>622</v>
      </c>
      <c r="C199" s="137" t="s">
        <v>1712</v>
      </c>
      <c r="D199" s="124">
        <f>+D200+D205+D206</f>
        <v>0</v>
      </c>
      <c r="E199" s="124">
        <f>+E200+E205+E206</f>
        <v>0</v>
      </c>
      <c r="F199" s="207" t="s">
        <v>2141</v>
      </c>
      <c r="G199" s="194"/>
      <c r="H199" s="73"/>
      <c r="J199" s="69"/>
      <c r="L199" s="73"/>
    </row>
    <row r="200" spans="1:12" ht="18">
      <c r="A200" s="181"/>
      <c r="B200" s="128" t="s">
        <v>624</v>
      </c>
      <c r="C200" s="129" t="s">
        <v>1713</v>
      </c>
      <c r="D200" s="127">
        <f>SUM(D201:D204)</f>
        <v>0</v>
      </c>
      <c r="E200" s="127">
        <f>SUM(E201:E204)</f>
        <v>0</v>
      </c>
      <c r="F200" s="207" t="s">
        <v>2141</v>
      </c>
      <c r="G200" s="194"/>
      <c r="H200" s="73"/>
      <c r="J200" s="69"/>
      <c r="L200" s="73"/>
    </row>
    <row r="201" spans="1:12" ht="18">
      <c r="A201" s="181"/>
      <c r="B201" s="76" t="s">
        <v>626</v>
      </c>
      <c r="C201" s="77" t="s">
        <v>1714</v>
      </c>
      <c r="D201" s="72">
        <f>+ROUND(SUM('Alimentazione CE Costi'!H64:H74),2)</f>
        <v>0</v>
      </c>
      <c r="E201" s="72">
        <f>+ROUND(SUM('Alimentazione CE Costi'!I64:I74),2)</f>
        <v>0</v>
      </c>
      <c r="F201" s="207"/>
      <c r="G201" s="194"/>
      <c r="H201" s="73"/>
      <c r="J201" s="69"/>
      <c r="L201" s="73"/>
    </row>
    <row r="202" spans="1:12" ht="18">
      <c r="A202" s="181"/>
      <c r="B202" s="76" t="s">
        <v>639</v>
      </c>
      <c r="C202" s="77" t="s">
        <v>1715</v>
      </c>
      <c r="D202" s="72">
        <f>+ROUND(SUM('Alimentazione CE Costi'!H76:H86),2)</f>
        <v>0</v>
      </c>
      <c r="E202" s="72">
        <f>+ROUND(SUM('Alimentazione CE Costi'!I76:I86),2)</f>
        <v>0</v>
      </c>
      <c r="F202" s="207"/>
      <c r="G202" s="194"/>
      <c r="H202" s="73"/>
      <c r="J202" s="69"/>
      <c r="L202" s="73"/>
    </row>
    <row r="203" spans="1:12" ht="26.4">
      <c r="A203" s="181"/>
      <c r="B203" s="76" t="s">
        <v>641</v>
      </c>
      <c r="C203" s="77" t="s">
        <v>1716</v>
      </c>
      <c r="D203" s="72">
        <f>+ROUND(SUM('Alimentazione CE Costi'!H88:H101),2)</f>
        <v>0</v>
      </c>
      <c r="E203" s="72">
        <f>+ROUND(SUM('Alimentazione CE Costi'!I88:I101),2)</f>
        <v>0</v>
      </c>
      <c r="F203" s="207"/>
      <c r="G203" s="194"/>
      <c r="H203" s="73"/>
      <c r="J203" s="69"/>
      <c r="L203" s="73"/>
    </row>
    <row r="204" spans="1:12" ht="26.4">
      <c r="A204" s="181"/>
      <c r="B204" s="76" t="s">
        <v>657</v>
      </c>
      <c r="C204" s="77" t="s">
        <v>1717</v>
      </c>
      <c r="D204" s="72">
        <f>+ROUND(SUM('Alimentazione CE Costi'!H103:H110),2)</f>
        <v>0</v>
      </c>
      <c r="E204" s="72">
        <f>+ROUND(SUM('Alimentazione CE Costi'!I103:I110),2)</f>
        <v>0</v>
      </c>
      <c r="F204" s="207"/>
      <c r="G204" s="194"/>
      <c r="H204" s="73"/>
      <c r="J204" s="69"/>
      <c r="L204" s="73"/>
    </row>
    <row r="205" spans="1:12" ht="39.6">
      <c r="A205" s="181" t="s">
        <v>1545</v>
      </c>
      <c r="B205" s="76" t="s">
        <v>661</v>
      </c>
      <c r="C205" s="77" t="s">
        <v>1718</v>
      </c>
      <c r="D205" s="72">
        <f>+'Alimentazione CE Costi'!H111</f>
        <v>0</v>
      </c>
      <c r="E205" s="72">
        <f>+'Alimentazione CE Costi'!I111</f>
        <v>0</v>
      </c>
      <c r="F205" s="207"/>
      <c r="G205" s="194"/>
      <c r="H205" s="73"/>
      <c r="J205" s="69"/>
      <c r="L205" s="73"/>
    </row>
    <row r="206" spans="1:12" ht="39.6">
      <c r="A206" s="181" t="s">
        <v>1590</v>
      </c>
      <c r="B206" s="76" t="s">
        <v>663</v>
      </c>
      <c r="C206" s="77" t="s">
        <v>1719</v>
      </c>
      <c r="D206" s="72">
        <f>+'Alimentazione CE Costi'!H112</f>
        <v>0</v>
      </c>
      <c r="E206" s="72">
        <f>+'Alimentazione CE Costi'!I112</f>
        <v>0</v>
      </c>
      <c r="F206" s="207"/>
      <c r="G206" s="194"/>
      <c r="H206" s="73"/>
      <c r="J206" s="69"/>
      <c r="L206" s="73"/>
    </row>
    <row r="207" spans="1:12" ht="26.4">
      <c r="A207" s="181"/>
      <c r="B207" s="136" t="s">
        <v>665</v>
      </c>
      <c r="C207" s="137" t="s">
        <v>1720</v>
      </c>
      <c r="D207" s="124">
        <f>+D208+D209+D210</f>
        <v>0</v>
      </c>
      <c r="E207" s="124">
        <f>+E208+E209+E210</f>
        <v>0</v>
      </c>
      <c r="F207" s="207" t="s">
        <v>2141</v>
      </c>
      <c r="G207" s="194"/>
      <c r="H207" s="73"/>
      <c r="J207" s="69"/>
      <c r="L207" s="73"/>
    </row>
    <row r="208" spans="1:12" ht="18">
      <c r="A208" s="181"/>
      <c r="B208" s="76" t="s">
        <v>666</v>
      </c>
      <c r="C208" s="77" t="s">
        <v>1721</v>
      </c>
      <c r="D208" s="72">
        <f>+'Alimentazione CE Costi'!H115+'Alimentazione CE Costi'!H116</f>
        <v>0</v>
      </c>
      <c r="E208" s="72">
        <f>+'Alimentazione CE Costi'!I115+'Alimentazione CE Costi'!I116</f>
        <v>0</v>
      </c>
      <c r="F208" s="207"/>
      <c r="G208" s="194"/>
      <c r="H208" s="73"/>
      <c r="J208" s="69"/>
      <c r="L208" s="73"/>
    </row>
    <row r="209" spans="1:12" ht="39.6">
      <c r="A209" s="181" t="s">
        <v>1545</v>
      </c>
      <c r="B209" s="76" t="s">
        <v>670</v>
      </c>
      <c r="C209" s="77" t="s">
        <v>1722</v>
      </c>
      <c r="D209" s="72">
        <f>+'Alimentazione CE Costi'!H117</f>
        <v>0</v>
      </c>
      <c r="E209" s="72">
        <f>+'Alimentazione CE Costi'!I117</f>
        <v>0</v>
      </c>
      <c r="F209" s="207"/>
      <c r="G209" s="194"/>
      <c r="H209" s="73"/>
      <c r="J209" s="69"/>
      <c r="L209" s="73"/>
    </row>
    <row r="210" spans="1:12" ht="18">
      <c r="A210" s="183" t="s">
        <v>1590</v>
      </c>
      <c r="B210" s="76" t="s">
        <v>672</v>
      </c>
      <c r="C210" s="77" t="s">
        <v>1723</v>
      </c>
      <c r="D210" s="72">
        <f>+'Alimentazione CE Costi'!H118</f>
        <v>0</v>
      </c>
      <c r="E210" s="72">
        <f>+'Alimentazione CE Costi'!I118</f>
        <v>0</v>
      </c>
      <c r="F210" s="205"/>
      <c r="G210" s="194"/>
      <c r="H210" s="73"/>
      <c r="J210" s="69"/>
      <c r="L210" s="73"/>
    </row>
    <row r="211" spans="1:12" ht="26.4">
      <c r="A211" s="183"/>
      <c r="B211" s="136" t="s">
        <v>674</v>
      </c>
      <c r="C211" s="137" t="s">
        <v>1724</v>
      </c>
      <c r="D211" s="124">
        <f>+D212+D213+D214+D215+D216+D217+D218+D219+D228+D229</f>
        <v>408536.4</v>
      </c>
      <c r="E211" s="124">
        <f>+E212+E213+E214+E215+E216+E217+E218+E219+E228+E229</f>
        <v>936143</v>
      </c>
      <c r="F211" s="207" t="s">
        <v>2141</v>
      </c>
      <c r="G211" s="194"/>
      <c r="H211" s="73"/>
      <c r="J211" s="69"/>
      <c r="L211" s="73"/>
    </row>
    <row r="212" spans="1:12" ht="26.4">
      <c r="A212" s="188" t="s">
        <v>1545</v>
      </c>
      <c r="B212" s="76" t="s">
        <v>676</v>
      </c>
      <c r="C212" s="77" t="s">
        <v>1725</v>
      </c>
      <c r="D212" s="72">
        <f>+'Alimentazione CE Costi'!H121+'Alimentazione CE Costi'!H122</f>
        <v>408536.4</v>
      </c>
      <c r="E212" s="72">
        <f>+'Alimentazione CE Costi'!I121+'Alimentazione CE Costi'!I122</f>
        <v>261564</v>
      </c>
      <c r="F212" s="205"/>
      <c r="G212" s="194"/>
      <c r="H212" s="73"/>
      <c r="J212" s="69"/>
      <c r="L212" s="73"/>
    </row>
    <row r="213" spans="1:12" ht="39.6">
      <c r="A213" s="188" t="s">
        <v>1545</v>
      </c>
      <c r="B213" s="76" t="s">
        <v>680</v>
      </c>
      <c r="C213" s="77" t="s">
        <v>1726</v>
      </c>
      <c r="D213" s="72">
        <f>+'Alimentazione CE Costi'!H123</f>
        <v>0</v>
      </c>
      <c r="E213" s="72">
        <f>+'Alimentazione CE Costi'!I123</f>
        <v>0</v>
      </c>
      <c r="F213" s="205"/>
      <c r="G213" s="194"/>
      <c r="H213" s="73"/>
      <c r="J213" s="69"/>
      <c r="L213" s="73"/>
    </row>
    <row r="214" spans="1:12" ht="26.4">
      <c r="A214" s="183"/>
      <c r="B214" s="76" t="s">
        <v>682</v>
      </c>
      <c r="C214" s="77" t="s">
        <v>1727</v>
      </c>
      <c r="D214" s="72">
        <f>+'Alimentazione CE Costi'!H124</f>
        <v>0</v>
      </c>
      <c r="E214" s="72">
        <f>+'Alimentazione CE Costi'!I124</f>
        <v>0</v>
      </c>
      <c r="F214" s="205"/>
      <c r="G214" s="194"/>
      <c r="H214" s="73"/>
      <c r="J214" s="69"/>
      <c r="L214" s="73"/>
    </row>
    <row r="215" spans="1:12" ht="39.6">
      <c r="A215" s="183"/>
      <c r="B215" s="76" t="s">
        <v>684</v>
      </c>
      <c r="C215" s="77" t="s">
        <v>1728</v>
      </c>
      <c r="D215" s="72">
        <f>+'Alimentazione CE Costi'!H125</f>
        <v>0</v>
      </c>
      <c r="E215" s="72">
        <f>+'Alimentazione CE Costi'!I125</f>
        <v>0</v>
      </c>
      <c r="F215" s="205"/>
      <c r="G215" s="194"/>
      <c r="H215" s="73"/>
      <c r="J215" s="69"/>
      <c r="L215" s="73"/>
    </row>
    <row r="216" spans="1:12" ht="18">
      <c r="A216" s="183" t="s">
        <v>1590</v>
      </c>
      <c r="B216" s="76" t="s">
        <v>685</v>
      </c>
      <c r="C216" s="77" t="s">
        <v>1729</v>
      </c>
      <c r="D216" s="72">
        <f>+'Alimentazione CE Costi'!H127+'Alimentazione CE Costi'!H128</f>
        <v>0</v>
      </c>
      <c r="E216" s="72">
        <f>+'Alimentazione CE Costi'!I127+'Alimentazione CE Costi'!I128</f>
        <v>674579</v>
      </c>
      <c r="F216" s="205"/>
      <c r="G216" s="194"/>
      <c r="H216" s="73"/>
      <c r="J216" s="69"/>
      <c r="L216" s="73"/>
    </row>
    <row r="217" spans="1:12" ht="39.6">
      <c r="A217" s="183" t="s">
        <v>1590</v>
      </c>
      <c r="B217" s="76" t="s">
        <v>689</v>
      </c>
      <c r="C217" s="77" t="s">
        <v>1730</v>
      </c>
      <c r="D217" s="72">
        <f>+'Alimentazione CE Costi'!H129</f>
        <v>0</v>
      </c>
      <c r="E217" s="72">
        <f>+'Alimentazione CE Costi'!I129</f>
        <v>0</v>
      </c>
      <c r="F217" s="205"/>
      <c r="G217" s="194"/>
      <c r="H217" s="73"/>
      <c r="J217" s="69"/>
      <c r="L217" s="73"/>
    </row>
    <row r="218" spans="1:12" ht="18">
      <c r="A218" s="183"/>
      <c r="B218" s="76" t="s">
        <v>691</v>
      </c>
      <c r="C218" s="77" t="s">
        <v>1731</v>
      </c>
      <c r="D218" s="72">
        <f>+ROUND(SUM('Alimentazione CE Costi'!H131:H137),2)</f>
        <v>0</v>
      </c>
      <c r="E218" s="72">
        <f>+ROUND(SUM('Alimentazione CE Costi'!I131:I137),2)</f>
        <v>0</v>
      </c>
      <c r="F218" s="205"/>
      <c r="G218" s="194"/>
      <c r="H218" s="73"/>
      <c r="J218" s="69"/>
      <c r="L218" s="73"/>
    </row>
    <row r="219" spans="1:12" ht="18">
      <c r="A219" s="183"/>
      <c r="B219" s="128" t="s">
        <v>695</v>
      </c>
      <c r="C219" s="129" t="s">
        <v>1732</v>
      </c>
      <c r="D219" s="127">
        <f>SUM(D220:D227)</f>
        <v>0</v>
      </c>
      <c r="E219" s="127">
        <f>SUM(E220:E227)</f>
        <v>0</v>
      </c>
      <c r="F219" s="207" t="s">
        <v>2141</v>
      </c>
      <c r="G219" s="194"/>
      <c r="H219" s="73"/>
      <c r="J219" s="69"/>
      <c r="L219" s="73"/>
    </row>
    <row r="220" spans="1:12" ht="39.6">
      <c r="A220" s="183"/>
      <c r="B220" s="78" t="s">
        <v>697</v>
      </c>
      <c r="C220" s="79" t="s">
        <v>1733</v>
      </c>
      <c r="D220" s="72">
        <f>+'Alimentazione CE Costi'!H139</f>
        <v>0</v>
      </c>
      <c r="E220" s="72">
        <f>+'Alimentazione CE Costi'!I139</f>
        <v>0</v>
      </c>
      <c r="F220" s="205"/>
      <c r="G220" s="194"/>
      <c r="H220" s="73"/>
      <c r="J220" s="69"/>
      <c r="L220" s="73"/>
    </row>
    <row r="221" spans="1:12" ht="39.6">
      <c r="A221" s="183"/>
      <c r="B221" s="78" t="s">
        <v>699</v>
      </c>
      <c r="C221" s="79" t="s">
        <v>1734</v>
      </c>
      <c r="D221" s="72">
        <f>+'Alimentazione CE Costi'!H140</f>
        <v>0</v>
      </c>
      <c r="E221" s="72">
        <f>+'Alimentazione CE Costi'!I140</f>
        <v>0</v>
      </c>
      <c r="F221" s="205"/>
      <c r="G221" s="194"/>
      <c r="H221" s="73"/>
      <c r="J221" s="69"/>
      <c r="L221" s="73"/>
    </row>
    <row r="222" spans="1:12" ht="26.4">
      <c r="A222" s="183"/>
      <c r="B222" s="78" t="s">
        <v>701</v>
      </c>
      <c r="C222" s="79" t="s">
        <v>1735</v>
      </c>
      <c r="D222" s="72">
        <f>+'Alimentazione CE Costi'!H141</f>
        <v>0</v>
      </c>
      <c r="E222" s="72">
        <f>+'Alimentazione CE Costi'!I141</f>
        <v>0</v>
      </c>
      <c r="F222" s="205"/>
      <c r="G222" s="194"/>
      <c r="H222" s="73"/>
      <c r="J222" s="69"/>
      <c r="L222" s="73"/>
    </row>
    <row r="223" spans="1:12" ht="39.6">
      <c r="A223" s="183"/>
      <c r="B223" s="78" t="s">
        <v>703</v>
      </c>
      <c r="C223" s="79" t="s">
        <v>1736</v>
      </c>
      <c r="D223" s="72">
        <f>+'Alimentazione CE Costi'!H142</f>
        <v>0</v>
      </c>
      <c r="E223" s="72">
        <f>+'Alimentazione CE Costi'!I142</f>
        <v>0</v>
      </c>
      <c r="F223" s="205"/>
      <c r="G223" s="194"/>
      <c r="H223" s="73"/>
      <c r="J223" s="69"/>
      <c r="L223" s="73"/>
    </row>
    <row r="224" spans="1:12" ht="26.4">
      <c r="A224" s="183"/>
      <c r="B224" s="78" t="s">
        <v>705</v>
      </c>
      <c r="C224" s="79" t="s">
        <v>1737</v>
      </c>
      <c r="D224" s="72">
        <f>+'Alimentazione CE Costi'!H143</f>
        <v>0</v>
      </c>
      <c r="E224" s="72">
        <f>+'Alimentazione CE Costi'!I143</f>
        <v>0</v>
      </c>
      <c r="F224" s="205"/>
      <c r="G224" s="194"/>
      <c r="H224" s="73"/>
      <c r="J224" s="69"/>
      <c r="L224" s="73"/>
    </row>
    <row r="225" spans="1:12" ht="39.6">
      <c r="A225" s="183"/>
      <c r="B225" s="78" t="s">
        <v>707</v>
      </c>
      <c r="C225" s="79" t="s">
        <v>1738</v>
      </c>
      <c r="D225" s="72">
        <f>+'Alimentazione CE Costi'!H144</f>
        <v>0</v>
      </c>
      <c r="E225" s="72">
        <f>+'Alimentazione CE Costi'!I144</f>
        <v>0</v>
      </c>
      <c r="F225" s="205"/>
      <c r="G225" s="194"/>
      <c r="H225" s="73"/>
      <c r="J225" s="69"/>
      <c r="L225" s="73"/>
    </row>
    <row r="226" spans="1:12" ht="26.4">
      <c r="A226" s="183"/>
      <c r="B226" s="78" t="s">
        <v>709</v>
      </c>
      <c r="C226" s="79" t="s">
        <v>1739</v>
      </c>
      <c r="D226" s="72">
        <f>+'Alimentazione CE Costi'!H145</f>
        <v>0</v>
      </c>
      <c r="E226" s="72">
        <f>+'Alimentazione CE Costi'!I145</f>
        <v>0</v>
      </c>
      <c r="F226" s="205"/>
      <c r="G226" s="194"/>
      <c r="H226" s="73"/>
      <c r="J226" s="69"/>
      <c r="L226" s="73"/>
    </row>
    <row r="227" spans="1:12" ht="39.6">
      <c r="A227" s="183"/>
      <c r="B227" s="78" t="s">
        <v>711</v>
      </c>
      <c r="C227" s="79" t="s">
        <v>1740</v>
      </c>
      <c r="D227" s="72">
        <f>+'Alimentazione CE Costi'!H146</f>
        <v>0</v>
      </c>
      <c r="E227" s="72">
        <f>+'Alimentazione CE Costi'!I146</f>
        <v>0</v>
      </c>
      <c r="F227" s="205"/>
      <c r="G227" s="194"/>
      <c r="H227" s="73"/>
      <c r="J227" s="69"/>
      <c r="L227" s="73"/>
    </row>
    <row r="228" spans="1:12" ht="39.6">
      <c r="A228" s="183"/>
      <c r="B228" s="76" t="s">
        <v>713</v>
      </c>
      <c r="C228" s="77" t="s">
        <v>1741</v>
      </c>
      <c r="D228" s="72">
        <f>+'Alimentazione CE Costi'!H147</f>
        <v>0</v>
      </c>
      <c r="E228" s="72">
        <f>+'Alimentazione CE Costi'!I147</f>
        <v>0</v>
      </c>
      <c r="F228" s="205"/>
      <c r="G228" s="194"/>
      <c r="H228" s="73"/>
      <c r="J228" s="69"/>
      <c r="L228" s="73"/>
    </row>
    <row r="229" spans="1:12" ht="66">
      <c r="A229" s="183"/>
      <c r="B229" s="78" t="s">
        <v>715</v>
      </c>
      <c r="C229" s="79" t="s">
        <v>1742</v>
      </c>
      <c r="D229" s="72">
        <f>+'Alimentazione CE Costi'!H148</f>
        <v>0</v>
      </c>
      <c r="E229" s="72">
        <f>+'Alimentazione CE Costi'!I148</f>
        <v>0</v>
      </c>
      <c r="F229" s="205"/>
      <c r="G229" s="194"/>
      <c r="H229" s="73"/>
      <c r="J229" s="69"/>
      <c r="L229" s="73"/>
    </row>
    <row r="230" spans="1:12" ht="26.4">
      <c r="A230" s="181"/>
      <c r="B230" s="136" t="s">
        <v>717</v>
      </c>
      <c r="C230" s="137" t="s">
        <v>1743</v>
      </c>
      <c r="D230" s="124">
        <f>SUM(D231:D235)</f>
        <v>0</v>
      </c>
      <c r="E230" s="124">
        <f>SUM(E231:E235)</f>
        <v>0</v>
      </c>
      <c r="F230" s="207" t="s">
        <v>2141</v>
      </c>
      <c r="G230" s="194"/>
      <c r="H230" s="73"/>
      <c r="J230" s="69"/>
      <c r="L230" s="73"/>
    </row>
    <row r="231" spans="1:12" ht="26.4">
      <c r="A231" s="181" t="s">
        <v>1545</v>
      </c>
      <c r="B231" s="76" t="s">
        <v>718</v>
      </c>
      <c r="C231" s="77" t="s">
        <v>1744</v>
      </c>
      <c r="D231" s="72">
        <f>+'Alimentazione CE Costi'!H150</f>
        <v>0</v>
      </c>
      <c r="E231" s="72">
        <f>+'Alimentazione CE Costi'!I150</f>
        <v>0</v>
      </c>
      <c r="F231" s="207"/>
      <c r="G231" s="194"/>
      <c r="H231" s="73"/>
      <c r="J231" s="69"/>
      <c r="L231" s="73"/>
    </row>
    <row r="232" spans="1:12" ht="26.4">
      <c r="A232" s="185"/>
      <c r="B232" s="76" t="s">
        <v>719</v>
      </c>
      <c r="C232" s="77" t="s">
        <v>1745</v>
      </c>
      <c r="D232" s="72">
        <f>+'Alimentazione CE Costi'!H151</f>
        <v>0</v>
      </c>
      <c r="E232" s="72">
        <f>+'Alimentazione CE Costi'!I151</f>
        <v>0</v>
      </c>
      <c r="F232" s="207"/>
      <c r="G232" s="194"/>
      <c r="H232" s="73"/>
      <c r="J232" s="69"/>
      <c r="L232" s="73"/>
    </row>
    <row r="233" spans="1:12" ht="26.4">
      <c r="A233" s="185" t="s">
        <v>1594</v>
      </c>
      <c r="B233" s="76" t="s">
        <v>721</v>
      </c>
      <c r="C233" s="77" t="s">
        <v>1746</v>
      </c>
      <c r="D233" s="72">
        <f>+'Alimentazione CE Costi'!H152</f>
        <v>0</v>
      </c>
      <c r="E233" s="72">
        <f>+'Alimentazione CE Costi'!I152</f>
        <v>0</v>
      </c>
      <c r="F233" s="207"/>
      <c r="G233" s="194"/>
      <c r="H233" s="73"/>
      <c r="J233" s="69"/>
      <c r="L233" s="73"/>
    </row>
    <row r="234" spans="1:12" ht="18">
      <c r="A234" s="185"/>
      <c r="B234" s="76" t="s">
        <v>723</v>
      </c>
      <c r="C234" s="77" t="s">
        <v>1747</v>
      </c>
      <c r="D234" s="72">
        <f>+'Alimentazione CE Costi'!H154+'Alimentazione CE Costi'!H155</f>
        <v>0</v>
      </c>
      <c r="E234" s="72">
        <f>+'Alimentazione CE Costi'!I154+'Alimentazione CE Costi'!I155</f>
        <v>0</v>
      </c>
      <c r="F234" s="207"/>
      <c r="G234" s="194"/>
      <c r="H234" s="73"/>
      <c r="J234" s="69"/>
      <c r="L234" s="73"/>
    </row>
    <row r="235" spans="1:12" ht="18">
      <c r="A235" s="185"/>
      <c r="B235" s="76" t="s">
        <v>727</v>
      </c>
      <c r="C235" s="77" t="s">
        <v>1748</v>
      </c>
      <c r="D235" s="72">
        <f>+'Alimentazione CE Costi'!H157+'Alimentazione CE Costi'!H158</f>
        <v>0</v>
      </c>
      <c r="E235" s="72">
        <f>+'Alimentazione CE Costi'!I157+'Alimentazione CE Costi'!I158</f>
        <v>0</v>
      </c>
      <c r="F235" s="207"/>
      <c r="G235" s="194"/>
      <c r="H235" s="73"/>
      <c r="J235" s="69"/>
      <c r="L235" s="73"/>
    </row>
    <row r="236" spans="1:12" ht="26.4">
      <c r="A236" s="181"/>
      <c r="B236" s="136" t="s">
        <v>729</v>
      </c>
      <c r="C236" s="137" t="s">
        <v>1749</v>
      </c>
      <c r="D236" s="124">
        <f>SUM(D237:D240)</f>
        <v>0</v>
      </c>
      <c r="E236" s="124">
        <f>SUM(E237:E240)</f>
        <v>0</v>
      </c>
      <c r="F236" s="207" t="s">
        <v>2141</v>
      </c>
      <c r="G236" s="194"/>
      <c r="H236" s="73"/>
      <c r="J236" s="69"/>
      <c r="L236" s="73"/>
    </row>
    <row r="237" spans="1:12" ht="26.4">
      <c r="A237" s="181" t="s">
        <v>1545</v>
      </c>
      <c r="B237" s="76" t="s">
        <v>731</v>
      </c>
      <c r="C237" s="77" t="s">
        <v>1750</v>
      </c>
      <c r="D237" s="72">
        <f>+'Alimentazione CE Costi'!H160</f>
        <v>0</v>
      </c>
      <c r="E237" s="72">
        <f>+'Alimentazione CE Costi'!I160</f>
        <v>0</v>
      </c>
      <c r="F237" s="207"/>
      <c r="G237" s="194"/>
      <c r="H237" s="73"/>
      <c r="J237" s="69"/>
      <c r="L237" s="73"/>
    </row>
    <row r="238" spans="1:12" ht="26.4">
      <c r="A238" s="181"/>
      <c r="B238" s="76" t="s">
        <v>732</v>
      </c>
      <c r="C238" s="77" t="s">
        <v>1751</v>
      </c>
      <c r="D238" s="72">
        <f>+'Alimentazione CE Costi'!H161</f>
        <v>0</v>
      </c>
      <c r="E238" s="72">
        <f>+'Alimentazione CE Costi'!I161</f>
        <v>0</v>
      </c>
      <c r="F238" s="207"/>
      <c r="G238" s="194"/>
      <c r="H238" s="73"/>
      <c r="J238" s="69"/>
      <c r="L238" s="73"/>
    </row>
    <row r="239" spans="1:12" ht="18">
      <c r="A239" s="183" t="s">
        <v>1590</v>
      </c>
      <c r="B239" s="76" t="s">
        <v>733</v>
      </c>
      <c r="C239" s="77" t="s">
        <v>1752</v>
      </c>
      <c r="D239" s="72">
        <f>+'Alimentazione CE Costi'!H162</f>
        <v>0</v>
      </c>
      <c r="E239" s="72">
        <f>+'Alimentazione CE Costi'!I162</f>
        <v>0</v>
      </c>
      <c r="F239" s="205"/>
      <c r="G239" s="194"/>
      <c r="H239" s="73"/>
      <c r="J239" s="69"/>
      <c r="L239" s="73"/>
    </row>
    <row r="240" spans="1:12" ht="18">
      <c r="A240" s="183"/>
      <c r="B240" s="76" t="s">
        <v>735</v>
      </c>
      <c r="C240" s="77" t="s">
        <v>1753</v>
      </c>
      <c r="D240" s="72">
        <f>+'Alimentazione CE Costi'!H164+'Alimentazione CE Costi'!H165+'Alimentazione CE Costi'!H166+'Alimentazione CE Costi'!H167</f>
        <v>0</v>
      </c>
      <c r="E240" s="72">
        <f>+'Alimentazione CE Costi'!I164+'Alimentazione CE Costi'!I165+'Alimentazione CE Costi'!I166+'Alimentazione CE Costi'!I167</f>
        <v>0</v>
      </c>
      <c r="F240" s="205"/>
      <c r="G240" s="194"/>
      <c r="H240" s="73"/>
      <c r="J240" s="69"/>
      <c r="L240" s="73"/>
    </row>
    <row r="241" spans="1:12" ht="26.4">
      <c r="A241" s="183"/>
      <c r="B241" s="136" t="s">
        <v>1754</v>
      </c>
      <c r="C241" s="137" t="s">
        <v>1755</v>
      </c>
      <c r="D241" s="124">
        <f>SUM(D242:D245)</f>
        <v>0</v>
      </c>
      <c r="E241" s="124">
        <f>SUM(E242:E245)</f>
        <v>0</v>
      </c>
      <c r="F241" s="207" t="s">
        <v>2141</v>
      </c>
      <c r="G241" s="194"/>
      <c r="H241" s="73"/>
      <c r="J241" s="69"/>
      <c r="L241" s="73"/>
    </row>
    <row r="242" spans="1:12" ht="26.4">
      <c r="A242" s="183" t="s">
        <v>1545</v>
      </c>
      <c r="B242" s="76" t="s">
        <v>741</v>
      </c>
      <c r="C242" s="77" t="s">
        <v>1756</v>
      </c>
      <c r="D242" s="72">
        <f>+'Alimentazione CE Costi'!H169</f>
        <v>0</v>
      </c>
      <c r="E242" s="72">
        <f>+'Alimentazione CE Costi'!I169</f>
        <v>0</v>
      </c>
      <c r="F242" s="205"/>
      <c r="G242" s="194"/>
      <c r="H242" s="73"/>
      <c r="J242" s="69"/>
      <c r="L242" s="73"/>
    </row>
    <row r="243" spans="1:12" ht="26.4">
      <c r="A243" s="183"/>
      <c r="B243" s="76" t="s">
        <v>742</v>
      </c>
      <c r="C243" s="77" t="s">
        <v>1757</v>
      </c>
      <c r="D243" s="72">
        <f>+'Alimentazione CE Costi'!H170</f>
        <v>0</v>
      </c>
      <c r="E243" s="72">
        <f>+'Alimentazione CE Costi'!I170</f>
        <v>0</v>
      </c>
      <c r="F243" s="205"/>
      <c r="G243" s="194"/>
      <c r="H243" s="73"/>
      <c r="J243" s="69"/>
      <c r="L243" s="73"/>
    </row>
    <row r="244" spans="1:12" ht="18">
      <c r="A244" s="183" t="s">
        <v>1590</v>
      </c>
      <c r="B244" s="76" t="s">
        <v>743</v>
      </c>
      <c r="C244" s="77" t="s">
        <v>1758</v>
      </c>
      <c r="D244" s="72">
        <f>+'Alimentazione CE Costi'!H171</f>
        <v>0</v>
      </c>
      <c r="E244" s="72">
        <f>+'Alimentazione CE Costi'!I171</f>
        <v>0</v>
      </c>
      <c r="F244" s="205"/>
      <c r="G244" s="194"/>
      <c r="H244" s="73"/>
      <c r="J244" s="69"/>
      <c r="L244" s="73"/>
    </row>
    <row r="245" spans="1:12" ht="18">
      <c r="A245" s="183"/>
      <c r="B245" s="76" t="s">
        <v>744</v>
      </c>
      <c r="C245" s="77" t="s">
        <v>1759</v>
      </c>
      <c r="D245" s="72">
        <f>+'Alimentazione CE Costi'!H173+'Alimentazione CE Costi'!H174</f>
        <v>0</v>
      </c>
      <c r="E245" s="72">
        <f>+'Alimentazione CE Costi'!I173+'Alimentazione CE Costi'!I174</f>
        <v>0</v>
      </c>
      <c r="F245" s="205"/>
      <c r="G245" s="194"/>
      <c r="H245" s="73"/>
      <c r="J245" s="69"/>
      <c r="L245" s="73"/>
    </row>
    <row r="246" spans="1:12" ht="26.4">
      <c r="A246" s="183"/>
      <c r="B246" s="136" t="s">
        <v>748</v>
      </c>
      <c r="C246" s="137" t="s">
        <v>1760</v>
      </c>
      <c r="D246" s="124">
        <f>SUM(D247:D250,D255)</f>
        <v>0</v>
      </c>
      <c r="E246" s="124">
        <f>SUM(E247:E250,E255)</f>
        <v>0</v>
      </c>
      <c r="F246" s="207" t="s">
        <v>2141</v>
      </c>
      <c r="G246" s="194"/>
      <c r="H246" s="73"/>
      <c r="J246" s="69"/>
      <c r="L246" s="73"/>
    </row>
    <row r="247" spans="1:12" ht="26.4">
      <c r="A247" s="183" t="s">
        <v>1545</v>
      </c>
      <c r="B247" s="76" t="s">
        <v>749</v>
      </c>
      <c r="C247" s="77" t="s">
        <v>1761</v>
      </c>
      <c r="D247" s="72">
        <f>+'Alimentazione CE Costi'!H178+'Alimentazione CE Costi'!H177</f>
        <v>0</v>
      </c>
      <c r="E247" s="72">
        <f>+'Alimentazione CE Costi'!I178+'Alimentazione CE Costi'!I177</f>
        <v>0</v>
      </c>
      <c r="F247" s="205"/>
      <c r="G247" s="194"/>
      <c r="H247" s="73"/>
      <c r="J247" s="69"/>
      <c r="L247" s="73"/>
    </row>
    <row r="248" spans="1:12" ht="26.4">
      <c r="A248" s="183"/>
      <c r="B248" s="76" t="s">
        <v>752</v>
      </c>
      <c r="C248" s="77" t="s">
        <v>1762</v>
      </c>
      <c r="D248" s="72">
        <f>+'Alimentazione CE Costi'!H179</f>
        <v>0</v>
      </c>
      <c r="E248" s="72">
        <f>+'Alimentazione CE Costi'!I179</f>
        <v>0</v>
      </c>
      <c r="F248" s="205"/>
      <c r="G248" s="194"/>
      <c r="H248" s="73"/>
      <c r="J248" s="69"/>
      <c r="L248" s="73"/>
    </row>
    <row r="249" spans="1:12" ht="18">
      <c r="A249" s="183" t="s">
        <v>1590</v>
      </c>
      <c r="B249" s="76" t="s">
        <v>753</v>
      </c>
      <c r="C249" s="77" t="s">
        <v>1763</v>
      </c>
      <c r="D249" s="72">
        <f>+'Alimentazione CE Costi'!H181+'Alimentazione CE Costi'!H182</f>
        <v>0</v>
      </c>
      <c r="E249" s="72">
        <f>+'Alimentazione CE Costi'!I181+'Alimentazione CE Costi'!I182</f>
        <v>0</v>
      </c>
      <c r="F249" s="205"/>
      <c r="G249" s="194"/>
      <c r="H249" s="73"/>
      <c r="J249" s="69"/>
      <c r="L249" s="73"/>
    </row>
    <row r="250" spans="1:12" ht="18">
      <c r="A250" s="183"/>
      <c r="B250" s="128" t="s">
        <v>756</v>
      </c>
      <c r="C250" s="129" t="s">
        <v>1764</v>
      </c>
      <c r="D250" s="127">
        <f>SUM(D251:D254)</f>
        <v>0</v>
      </c>
      <c r="E250" s="127">
        <f>SUM(E251:E254)</f>
        <v>0</v>
      </c>
      <c r="F250" s="207" t="s">
        <v>2141</v>
      </c>
      <c r="G250" s="194"/>
      <c r="H250" s="73"/>
      <c r="J250" s="69"/>
      <c r="L250" s="73"/>
    </row>
    <row r="251" spans="1:12" ht="39.6">
      <c r="A251" s="183"/>
      <c r="B251" s="78" t="s">
        <v>758</v>
      </c>
      <c r="C251" s="79" t="s">
        <v>1765</v>
      </c>
      <c r="D251" s="72">
        <f>+'Alimentazione CE Costi'!H184</f>
        <v>0</v>
      </c>
      <c r="E251" s="72">
        <f>+'Alimentazione CE Costi'!I184</f>
        <v>0</v>
      </c>
      <c r="F251" s="205"/>
      <c r="G251" s="194"/>
      <c r="H251" s="73"/>
      <c r="J251" s="69"/>
      <c r="L251" s="73"/>
    </row>
    <row r="252" spans="1:12" ht="26.4">
      <c r="A252" s="183"/>
      <c r="B252" s="78" t="s">
        <v>760</v>
      </c>
      <c r="C252" s="79" t="s">
        <v>1766</v>
      </c>
      <c r="D252" s="72">
        <f>+'Alimentazione CE Costi'!H185</f>
        <v>0</v>
      </c>
      <c r="E252" s="72">
        <f>+'Alimentazione CE Costi'!I185</f>
        <v>0</v>
      </c>
      <c r="F252" s="205"/>
      <c r="G252" s="194"/>
      <c r="H252" s="73"/>
      <c r="J252" s="69"/>
      <c r="L252" s="73"/>
    </row>
    <row r="253" spans="1:12" ht="26.4">
      <c r="A253" s="183"/>
      <c r="B253" s="78" t="s">
        <v>762</v>
      </c>
      <c r="C253" s="79" t="s">
        <v>1767</v>
      </c>
      <c r="D253" s="72">
        <f>+'Alimentazione CE Costi'!H186</f>
        <v>0</v>
      </c>
      <c r="E253" s="72">
        <f>+'Alimentazione CE Costi'!I186</f>
        <v>0</v>
      </c>
      <c r="F253" s="205"/>
      <c r="G253" s="194"/>
      <c r="H253" s="73"/>
      <c r="J253" s="69"/>
      <c r="L253" s="73"/>
    </row>
    <row r="254" spans="1:12" ht="26.4">
      <c r="A254" s="183"/>
      <c r="B254" s="78" t="s">
        <v>764</v>
      </c>
      <c r="C254" s="79" t="s">
        <v>1768</v>
      </c>
      <c r="D254" s="72">
        <f>+'Alimentazione CE Costi'!H187</f>
        <v>0</v>
      </c>
      <c r="E254" s="72">
        <f>+'Alimentazione CE Costi'!I187</f>
        <v>0</v>
      </c>
      <c r="F254" s="205"/>
      <c r="G254" s="194"/>
      <c r="H254" s="73"/>
      <c r="J254" s="69"/>
      <c r="L254" s="73"/>
    </row>
    <row r="255" spans="1:12" ht="39.6">
      <c r="A255" s="183"/>
      <c r="B255" s="76" t="s">
        <v>765</v>
      </c>
      <c r="C255" s="77" t="s">
        <v>1769</v>
      </c>
      <c r="D255" s="72">
        <f>+'Alimentazione CE Costi'!H188</f>
        <v>0</v>
      </c>
      <c r="E255" s="72">
        <f>+'Alimentazione CE Costi'!I188</f>
        <v>0</v>
      </c>
      <c r="F255" s="205"/>
      <c r="G255" s="194"/>
      <c r="H255" s="73"/>
      <c r="J255" s="69"/>
      <c r="L255" s="73"/>
    </row>
    <row r="256" spans="1:12" ht="39.6">
      <c r="A256" s="183"/>
      <c r="B256" s="136" t="s">
        <v>767</v>
      </c>
      <c r="C256" s="137" t="s">
        <v>1770</v>
      </c>
      <c r="D256" s="124">
        <f>SUM(D257:D261)</f>
        <v>0</v>
      </c>
      <c r="E256" s="124">
        <f>SUM(E257:E261)</f>
        <v>0</v>
      </c>
      <c r="F256" s="207" t="s">
        <v>2141</v>
      </c>
      <c r="G256" s="194"/>
      <c r="H256" s="73"/>
      <c r="J256" s="69"/>
      <c r="L256" s="73"/>
    </row>
    <row r="257" spans="1:12" ht="26.4">
      <c r="A257" s="183" t="s">
        <v>1545</v>
      </c>
      <c r="B257" s="76" t="s">
        <v>768</v>
      </c>
      <c r="C257" s="77" t="s">
        <v>1771</v>
      </c>
      <c r="D257" s="72">
        <f>+'Alimentazione CE Costi'!H190</f>
        <v>0</v>
      </c>
      <c r="E257" s="72">
        <f>+'Alimentazione CE Costi'!I190</f>
        <v>0</v>
      </c>
      <c r="F257" s="205"/>
      <c r="G257" s="194"/>
      <c r="H257" s="73"/>
      <c r="J257" s="69"/>
      <c r="L257" s="73"/>
    </row>
    <row r="258" spans="1:12" ht="26.4">
      <c r="A258" s="181"/>
      <c r="B258" s="76" t="s">
        <v>769</v>
      </c>
      <c r="C258" s="77" t="s">
        <v>1772</v>
      </c>
      <c r="D258" s="72">
        <f>+'Alimentazione CE Costi'!H191</f>
        <v>0</v>
      </c>
      <c r="E258" s="72">
        <f>+'Alimentazione CE Costi'!I191</f>
        <v>0</v>
      </c>
      <c r="F258" s="207"/>
      <c r="G258" s="194"/>
      <c r="H258" s="73"/>
      <c r="J258" s="69"/>
      <c r="L258" s="73"/>
    </row>
    <row r="259" spans="1:12" ht="26.4">
      <c r="A259" s="181" t="s">
        <v>1594</v>
      </c>
      <c r="B259" s="76" t="s">
        <v>771</v>
      </c>
      <c r="C259" s="77" t="s">
        <v>1773</v>
      </c>
      <c r="D259" s="72">
        <f>+'Alimentazione CE Costi'!H192</f>
        <v>0</v>
      </c>
      <c r="E259" s="72">
        <f>+'Alimentazione CE Costi'!I192</f>
        <v>0</v>
      </c>
      <c r="F259" s="207"/>
      <c r="G259" s="194"/>
      <c r="H259" s="73"/>
      <c r="J259" s="69"/>
      <c r="L259" s="73"/>
    </row>
    <row r="260" spans="1:12" ht="18">
      <c r="A260" s="181"/>
      <c r="B260" s="76" t="s">
        <v>772</v>
      </c>
      <c r="C260" s="77" t="s">
        <v>1774</v>
      </c>
      <c r="D260" s="72">
        <f>+'Alimentazione CE Costi'!H193</f>
        <v>0</v>
      </c>
      <c r="E260" s="72">
        <f>+'Alimentazione CE Costi'!I193</f>
        <v>0</v>
      </c>
      <c r="F260" s="207"/>
      <c r="G260" s="194"/>
      <c r="H260" s="73"/>
      <c r="J260" s="69"/>
      <c r="L260" s="73"/>
    </row>
    <row r="261" spans="1:12" ht="18">
      <c r="A261" s="185"/>
      <c r="B261" s="76" t="s">
        <v>773</v>
      </c>
      <c r="C261" s="77" t="s">
        <v>1775</v>
      </c>
      <c r="D261" s="72">
        <f>+'Alimentazione CE Costi'!H194</f>
        <v>0</v>
      </c>
      <c r="E261" s="72">
        <f>+'Alimentazione CE Costi'!I194</f>
        <v>0</v>
      </c>
      <c r="F261" s="207"/>
      <c r="G261" s="194"/>
      <c r="H261" s="73"/>
      <c r="J261" s="69"/>
      <c r="L261" s="73"/>
    </row>
    <row r="262" spans="1:12" ht="26.4">
      <c r="A262" s="181"/>
      <c r="B262" s="136" t="s">
        <v>775</v>
      </c>
      <c r="C262" s="137" t="s">
        <v>1776</v>
      </c>
      <c r="D262" s="124">
        <f>SUM(D263:D268)</f>
        <v>17717</v>
      </c>
      <c r="E262" s="124">
        <f>SUM(E263:E268)</f>
        <v>45428</v>
      </c>
      <c r="F262" s="207" t="s">
        <v>2141</v>
      </c>
      <c r="G262" s="194"/>
      <c r="H262" s="73"/>
      <c r="J262" s="69"/>
      <c r="L262" s="73"/>
    </row>
    <row r="263" spans="1:12" ht="39.6">
      <c r="A263" s="181" t="s">
        <v>1545</v>
      </c>
      <c r="B263" s="76" t="s">
        <v>776</v>
      </c>
      <c r="C263" s="77" t="s">
        <v>1777</v>
      </c>
      <c r="D263" s="72">
        <f>+'Alimentazione CE Costi'!H197+'Alimentazione CE Costi'!H198</f>
        <v>0</v>
      </c>
      <c r="E263" s="72">
        <f>+'Alimentazione CE Costi'!I197+'Alimentazione CE Costi'!I198</f>
        <v>0</v>
      </c>
      <c r="F263" s="207"/>
      <c r="G263" s="194"/>
      <c r="H263" s="73"/>
      <c r="J263" s="69"/>
      <c r="L263" s="73"/>
    </row>
    <row r="264" spans="1:12" ht="26.4">
      <c r="A264" s="181"/>
      <c r="B264" s="76" t="s">
        <v>779</v>
      </c>
      <c r="C264" s="77" t="s">
        <v>1778</v>
      </c>
      <c r="D264" s="72">
        <f>+'Alimentazione CE Costi'!H199</f>
        <v>0</v>
      </c>
      <c r="E264" s="72">
        <f>+'Alimentazione CE Costi'!I199</f>
        <v>0</v>
      </c>
      <c r="F264" s="207"/>
      <c r="G264" s="194"/>
      <c r="H264" s="73"/>
      <c r="J264" s="69"/>
      <c r="L264" s="73"/>
    </row>
    <row r="265" spans="1:12" ht="18">
      <c r="A265" s="181" t="s">
        <v>1590</v>
      </c>
      <c r="B265" s="76" t="s">
        <v>780</v>
      </c>
      <c r="C265" s="77" t="s">
        <v>1779</v>
      </c>
      <c r="D265" s="72">
        <f>+'Alimentazione CE Costi'!H200</f>
        <v>17717</v>
      </c>
      <c r="E265" s="72">
        <f>+'Alimentazione CE Costi'!I200</f>
        <v>45428</v>
      </c>
      <c r="F265" s="207"/>
      <c r="G265" s="194"/>
      <c r="H265" s="73"/>
      <c r="J265" s="69"/>
      <c r="L265" s="73"/>
    </row>
    <row r="266" spans="1:12" ht="18">
      <c r="A266" s="181"/>
      <c r="B266" s="76" t="s">
        <v>781</v>
      </c>
      <c r="C266" s="77" t="s">
        <v>1780</v>
      </c>
      <c r="D266" s="72">
        <f>+'Alimentazione CE Costi'!H202+'Alimentazione CE Costi'!H203</f>
        <v>0</v>
      </c>
      <c r="E266" s="72">
        <f>+'Alimentazione CE Costi'!I202+'Alimentazione CE Costi'!I203</f>
        <v>0</v>
      </c>
      <c r="F266" s="207"/>
      <c r="G266" s="194"/>
      <c r="H266" s="73"/>
      <c r="J266" s="69"/>
      <c r="L266" s="73"/>
    </row>
    <row r="267" spans="1:12" ht="18">
      <c r="A267" s="185"/>
      <c r="B267" s="76" t="s">
        <v>784</v>
      </c>
      <c r="C267" s="77" t="s">
        <v>1781</v>
      </c>
      <c r="D267" s="72">
        <f>+'Alimentazione CE Costi'!H204</f>
        <v>0</v>
      </c>
      <c r="E267" s="72">
        <f>+'Alimentazione CE Costi'!I204</f>
        <v>0</v>
      </c>
      <c r="F267" s="207"/>
      <c r="G267" s="194"/>
      <c r="H267" s="73"/>
      <c r="J267" s="69"/>
      <c r="L267" s="73"/>
    </row>
    <row r="268" spans="1:12" ht="39.6">
      <c r="A268" s="181"/>
      <c r="B268" s="76" t="s">
        <v>785</v>
      </c>
      <c r="C268" s="77" t="s">
        <v>1782</v>
      </c>
      <c r="D268" s="72">
        <f>+'Alimentazione CE Costi'!H205</f>
        <v>0</v>
      </c>
      <c r="E268" s="72">
        <f>+'Alimentazione CE Costi'!I205</f>
        <v>0</v>
      </c>
      <c r="F268" s="207"/>
      <c r="G268" s="194"/>
      <c r="H268" s="73"/>
      <c r="J268" s="69"/>
      <c r="L268" s="73"/>
    </row>
    <row r="269" spans="1:12" ht="26.4">
      <c r="A269" s="181"/>
      <c r="B269" s="136" t="s">
        <v>787</v>
      </c>
      <c r="C269" s="137" t="s">
        <v>1783</v>
      </c>
      <c r="D269" s="124">
        <f>SUM(D270:D274)</f>
        <v>0</v>
      </c>
      <c r="E269" s="124">
        <f>SUM(E270:E274)</f>
        <v>0</v>
      </c>
      <c r="F269" s="207" t="s">
        <v>2141</v>
      </c>
      <c r="G269" s="194"/>
      <c r="H269" s="73"/>
      <c r="J269" s="69"/>
      <c r="L269" s="73"/>
    </row>
    <row r="270" spans="1:12" ht="39.6">
      <c r="A270" s="181" t="s">
        <v>1545</v>
      </c>
      <c r="B270" s="76" t="s">
        <v>788</v>
      </c>
      <c r="C270" s="77" t="s">
        <v>1784</v>
      </c>
      <c r="D270" s="72">
        <f>+'Alimentazione CE Costi'!H207</f>
        <v>0</v>
      </c>
      <c r="E270" s="72">
        <f>+'Alimentazione CE Costi'!I207</f>
        <v>0</v>
      </c>
      <c r="F270" s="207"/>
      <c r="G270" s="194"/>
      <c r="H270" s="73"/>
      <c r="J270" s="69"/>
      <c r="L270" s="73"/>
    </row>
    <row r="271" spans="1:12" ht="26.4">
      <c r="A271" s="181"/>
      <c r="B271" s="76" t="s">
        <v>789</v>
      </c>
      <c r="C271" s="77" t="s">
        <v>1785</v>
      </c>
      <c r="D271" s="72">
        <f>+'Alimentazione CE Costi'!H208</f>
        <v>0</v>
      </c>
      <c r="E271" s="72">
        <f>+'Alimentazione CE Costi'!I208</f>
        <v>0</v>
      </c>
      <c r="F271" s="207"/>
      <c r="G271" s="194"/>
      <c r="H271" s="73"/>
      <c r="J271" s="69"/>
      <c r="L271" s="73"/>
    </row>
    <row r="272" spans="1:12" ht="18">
      <c r="A272" s="181" t="s">
        <v>1590</v>
      </c>
      <c r="B272" s="76" t="s">
        <v>790</v>
      </c>
      <c r="C272" s="77" t="s">
        <v>1786</v>
      </c>
      <c r="D272" s="72">
        <f>+'Alimentazione CE Costi'!H209</f>
        <v>0</v>
      </c>
      <c r="E272" s="72">
        <f>+'Alimentazione CE Costi'!I209</f>
        <v>0</v>
      </c>
      <c r="F272" s="207"/>
      <c r="G272" s="194"/>
      <c r="H272" s="73"/>
      <c r="J272" s="69"/>
      <c r="L272" s="73"/>
    </row>
    <row r="273" spans="1:12" ht="18">
      <c r="A273" s="181"/>
      <c r="B273" s="76" t="s">
        <v>791</v>
      </c>
      <c r="C273" s="77" t="s">
        <v>1787</v>
      </c>
      <c r="D273" s="72">
        <f>+'Alimentazione CE Costi'!H210</f>
        <v>0</v>
      </c>
      <c r="E273" s="72">
        <f>+'Alimentazione CE Costi'!I210</f>
        <v>0</v>
      </c>
      <c r="F273" s="207"/>
      <c r="G273" s="194"/>
      <c r="H273" s="73"/>
      <c r="J273" s="69"/>
      <c r="L273" s="73"/>
    </row>
    <row r="274" spans="1:12" ht="39.6">
      <c r="A274" s="181"/>
      <c r="B274" s="76" t="s">
        <v>792</v>
      </c>
      <c r="C274" s="77" t="s">
        <v>1788</v>
      </c>
      <c r="D274" s="72">
        <f>+'Alimentazione CE Costi'!H211</f>
        <v>0</v>
      </c>
      <c r="E274" s="72">
        <f>+'Alimentazione CE Costi'!I211</f>
        <v>0</v>
      </c>
      <c r="F274" s="207"/>
      <c r="G274" s="194"/>
      <c r="H274" s="73"/>
      <c r="J274" s="69"/>
      <c r="L274" s="73"/>
    </row>
    <row r="275" spans="1:12" ht="26.4">
      <c r="A275" s="181"/>
      <c r="B275" s="136" t="s">
        <v>794</v>
      </c>
      <c r="C275" s="137" t="s">
        <v>1789</v>
      </c>
      <c r="D275" s="124">
        <f>SUM(D276:D279)</f>
        <v>12020.44</v>
      </c>
      <c r="E275" s="124">
        <f>SUM(E276:E279)</f>
        <v>13717</v>
      </c>
      <c r="F275" s="207" t="s">
        <v>2141</v>
      </c>
      <c r="G275" s="194"/>
      <c r="H275" s="73"/>
      <c r="J275" s="69"/>
      <c r="L275" s="73"/>
    </row>
    <row r="276" spans="1:12" ht="39.6">
      <c r="A276" s="181" t="s">
        <v>1545</v>
      </c>
      <c r="B276" s="76" t="s">
        <v>795</v>
      </c>
      <c r="C276" s="77" t="s">
        <v>1790</v>
      </c>
      <c r="D276" s="72">
        <f>+'Alimentazione CE Costi'!H213</f>
        <v>0</v>
      </c>
      <c r="E276" s="72">
        <f>+'Alimentazione CE Costi'!I213</f>
        <v>0</v>
      </c>
      <c r="F276" s="207"/>
      <c r="G276" s="194"/>
      <c r="H276" s="73"/>
      <c r="J276" s="69"/>
      <c r="L276" s="73"/>
    </row>
    <row r="277" spans="1:12" ht="26.4">
      <c r="A277" s="181"/>
      <c r="B277" s="76" t="s">
        <v>796</v>
      </c>
      <c r="C277" s="77" t="s">
        <v>1791</v>
      </c>
      <c r="D277" s="72">
        <f>+'Alimentazione CE Costi'!H214</f>
        <v>0</v>
      </c>
      <c r="E277" s="72">
        <f>+'Alimentazione CE Costi'!I214</f>
        <v>0</v>
      </c>
      <c r="F277" s="207"/>
      <c r="G277" s="194"/>
      <c r="H277" s="73"/>
      <c r="J277" s="69"/>
      <c r="L277" s="73"/>
    </row>
    <row r="278" spans="1:12" ht="18">
      <c r="A278" s="181" t="s">
        <v>1590</v>
      </c>
      <c r="B278" s="76" t="s">
        <v>797</v>
      </c>
      <c r="C278" s="77" t="s">
        <v>1792</v>
      </c>
      <c r="D278" s="72">
        <f>+'Alimentazione CE Costi'!H215</f>
        <v>0</v>
      </c>
      <c r="E278" s="72">
        <f>+'Alimentazione CE Costi'!I215</f>
        <v>0</v>
      </c>
      <c r="F278" s="207"/>
      <c r="G278" s="194"/>
      <c r="H278" s="73"/>
      <c r="J278" s="69"/>
      <c r="L278" s="73"/>
    </row>
    <row r="279" spans="1:12" ht="18">
      <c r="A279" s="181"/>
      <c r="B279" s="76" t="s">
        <v>798</v>
      </c>
      <c r="C279" s="77" t="s">
        <v>1793</v>
      </c>
      <c r="D279" s="72">
        <f>+ROUND(SUM('Alimentazione CE Costi'!H217:H220),2)</f>
        <v>12020.44</v>
      </c>
      <c r="E279" s="72">
        <f>+ROUND(SUM('Alimentazione CE Costi'!I217:I220),2)</f>
        <v>13717</v>
      </c>
      <c r="F279" s="207"/>
      <c r="G279" s="194"/>
      <c r="H279" s="73"/>
      <c r="J279" s="69"/>
      <c r="L279" s="73"/>
    </row>
    <row r="280" spans="1:12" ht="26.4">
      <c r="A280" s="181"/>
      <c r="B280" s="136" t="s">
        <v>804</v>
      </c>
      <c r="C280" s="137" t="s">
        <v>1794</v>
      </c>
      <c r="D280" s="124">
        <f>+D281+D284+D286+D287+D288+D285</f>
        <v>551746.80000000005</v>
      </c>
      <c r="E280" s="124">
        <f>+E281+E284+E286+E287+E288+E285</f>
        <v>0</v>
      </c>
      <c r="F280" s="207" t="s">
        <v>2141</v>
      </c>
      <c r="G280" s="194"/>
      <c r="H280" s="73"/>
      <c r="J280" s="69"/>
      <c r="L280" s="73"/>
    </row>
    <row r="281" spans="1:12" ht="39.6">
      <c r="A281" s="181" t="s">
        <v>1545</v>
      </c>
      <c r="B281" s="128" t="s">
        <v>805</v>
      </c>
      <c r="C281" s="129" t="s">
        <v>1795</v>
      </c>
      <c r="D281" s="127">
        <f>+D282+D283</f>
        <v>0</v>
      </c>
      <c r="E281" s="127">
        <f>+E282+E283</f>
        <v>0</v>
      </c>
      <c r="F281" s="207" t="s">
        <v>2141</v>
      </c>
      <c r="G281" s="194"/>
      <c r="H281" s="73"/>
      <c r="J281" s="69"/>
      <c r="L281" s="73"/>
    </row>
    <row r="282" spans="1:12" ht="26.4">
      <c r="A282" s="183" t="s">
        <v>1545</v>
      </c>
      <c r="B282" s="78" t="s">
        <v>807</v>
      </c>
      <c r="C282" s="79" t="s">
        <v>1796</v>
      </c>
      <c r="D282" s="72">
        <f>+'Alimentazione CE Costi'!H223</f>
        <v>0</v>
      </c>
      <c r="E282" s="72">
        <f>+'Alimentazione CE Costi'!I223</f>
        <v>0</v>
      </c>
      <c r="F282" s="205"/>
      <c r="G282" s="194"/>
      <c r="H282" s="73"/>
      <c r="J282" s="69"/>
      <c r="L282" s="73"/>
    </row>
    <row r="283" spans="1:12" ht="26.4">
      <c r="A283" s="183" t="s">
        <v>1545</v>
      </c>
      <c r="B283" s="78" t="s">
        <v>809</v>
      </c>
      <c r="C283" s="79" t="s">
        <v>1797</v>
      </c>
      <c r="D283" s="72">
        <f>+'Alimentazione CE Costi'!H224</f>
        <v>0</v>
      </c>
      <c r="E283" s="72">
        <f>+'Alimentazione CE Costi'!I224</f>
        <v>0</v>
      </c>
      <c r="F283" s="205"/>
      <c r="G283" s="194"/>
      <c r="H283" s="73"/>
      <c r="J283" s="69"/>
      <c r="L283" s="73"/>
    </row>
    <row r="284" spans="1:12" ht="26.4">
      <c r="A284" s="181"/>
      <c r="B284" s="76" t="s">
        <v>811</v>
      </c>
      <c r="C284" s="77" t="s">
        <v>1798</v>
      </c>
      <c r="D284" s="72">
        <f>+'Alimentazione CE Costi'!H226+'Alimentazione CE Costi'!H227+'Alimentazione CE Costi'!H228+'Alimentazione CE Costi'!H229</f>
        <v>0</v>
      </c>
      <c r="E284" s="72">
        <f>+'Alimentazione CE Costi'!I226+'Alimentazione CE Costi'!I227+'Alimentazione CE Costi'!I228+'Alimentazione CE Costi'!I229</f>
        <v>0</v>
      </c>
      <c r="F284" s="207"/>
      <c r="G284" s="194"/>
      <c r="H284" s="73"/>
      <c r="J284" s="69"/>
      <c r="L284" s="73"/>
    </row>
    <row r="285" spans="1:12" ht="52.8">
      <c r="A285" s="181" t="s">
        <v>1590</v>
      </c>
      <c r="B285" s="76" t="s">
        <v>817</v>
      </c>
      <c r="C285" s="77" t="s">
        <v>1799</v>
      </c>
      <c r="D285" s="72">
        <f>+'Alimentazione CE Costi'!H230</f>
        <v>0</v>
      </c>
      <c r="E285" s="72">
        <f>+'Alimentazione CE Costi'!I230</f>
        <v>0</v>
      </c>
      <c r="F285" s="207"/>
      <c r="G285" s="194"/>
      <c r="H285" s="73"/>
      <c r="J285" s="69"/>
      <c r="L285" s="73"/>
    </row>
    <row r="286" spans="1:12" ht="26.4">
      <c r="A286" s="181" t="s">
        <v>1594</v>
      </c>
      <c r="B286" s="76" t="s">
        <v>819</v>
      </c>
      <c r="C286" s="77" t="s">
        <v>1800</v>
      </c>
      <c r="D286" s="72">
        <f>+'Alimentazione CE Costi'!H231</f>
        <v>551746.80000000005</v>
      </c>
      <c r="E286" s="72">
        <f>+'Alimentazione CE Costi'!I231</f>
        <v>0</v>
      </c>
      <c r="F286" s="207"/>
      <c r="G286" s="194"/>
      <c r="H286" s="73"/>
      <c r="J286" s="69"/>
      <c r="L286" s="73"/>
    </row>
    <row r="287" spans="1:12" ht="18">
      <c r="A287" s="181"/>
      <c r="B287" s="76" t="s">
        <v>820</v>
      </c>
      <c r="C287" s="77" t="s">
        <v>1801</v>
      </c>
      <c r="D287" s="72">
        <f>+ROUND(SUM('Alimentazione CE Costi'!H233:H240),2)</f>
        <v>0</v>
      </c>
      <c r="E287" s="72">
        <f>+ROUND(SUM('Alimentazione CE Costi'!I233:I240),2)</f>
        <v>0</v>
      </c>
      <c r="F287" s="207"/>
      <c r="G287" s="194"/>
      <c r="H287" s="73"/>
      <c r="J287" s="69"/>
      <c r="L287" s="73"/>
    </row>
    <row r="288" spans="1:12" ht="18">
      <c r="A288" s="181"/>
      <c r="B288" s="76" t="s">
        <v>826</v>
      </c>
      <c r="C288" s="77" t="s">
        <v>1802</v>
      </c>
      <c r="D288" s="72">
        <f>+'Alimentazione CE Costi'!H242+'Alimentazione CE Costi'!H243</f>
        <v>0</v>
      </c>
      <c r="E288" s="72">
        <f>+'Alimentazione CE Costi'!I242+'Alimentazione CE Costi'!I243</f>
        <v>0</v>
      </c>
      <c r="F288" s="207"/>
      <c r="G288" s="194"/>
      <c r="H288" s="73"/>
      <c r="J288" s="69"/>
      <c r="L288" s="73"/>
    </row>
    <row r="289" spans="1:12" ht="39.6">
      <c r="A289" s="185"/>
      <c r="B289" s="136" t="s">
        <v>829</v>
      </c>
      <c r="C289" s="137" t="s">
        <v>1803</v>
      </c>
      <c r="D289" s="124">
        <f>SUM(D290:D296)</f>
        <v>640542.12999999989</v>
      </c>
      <c r="E289" s="124">
        <f>SUM(E290:E296)</f>
        <v>765918</v>
      </c>
      <c r="F289" s="207" t="s">
        <v>2141</v>
      </c>
      <c r="G289" s="194"/>
      <c r="H289" s="73"/>
      <c r="J289" s="69"/>
      <c r="L289" s="73"/>
    </row>
    <row r="290" spans="1:12" ht="39.6">
      <c r="A290" s="181"/>
      <c r="B290" s="76" t="s">
        <v>831</v>
      </c>
      <c r="C290" s="77" t="s">
        <v>1804</v>
      </c>
      <c r="D290" s="72">
        <f>+'Alimentazione CE Costi'!H245</f>
        <v>46650</v>
      </c>
      <c r="E290" s="72">
        <f>+'Alimentazione CE Costi'!I245</f>
        <v>12100</v>
      </c>
      <c r="F290" s="207"/>
      <c r="G290" s="194"/>
      <c r="H290" s="73"/>
      <c r="J290" s="69"/>
      <c r="L290" s="73"/>
    </row>
    <row r="291" spans="1:12" ht="39.6">
      <c r="A291" s="181"/>
      <c r="B291" s="76" t="s">
        <v>833</v>
      </c>
      <c r="C291" s="77" t="s">
        <v>1805</v>
      </c>
      <c r="D291" s="72">
        <f>+'Alimentazione CE Costi'!H246</f>
        <v>397589.38</v>
      </c>
      <c r="E291" s="72">
        <f>+'Alimentazione CE Costi'!I246</f>
        <v>531584</v>
      </c>
      <c r="F291" s="207"/>
      <c r="G291" s="194"/>
      <c r="H291" s="73"/>
      <c r="J291" s="69"/>
      <c r="L291" s="73"/>
    </row>
    <row r="292" spans="1:12" ht="39.6">
      <c r="A292" s="181"/>
      <c r="B292" s="76" t="s">
        <v>835</v>
      </c>
      <c r="C292" s="77" t="s">
        <v>1806</v>
      </c>
      <c r="D292" s="72">
        <f>+'Alimentazione CE Costi'!H247</f>
        <v>0</v>
      </c>
      <c r="E292" s="72">
        <f>+'Alimentazione CE Costi'!I247</f>
        <v>0</v>
      </c>
      <c r="F292" s="207"/>
      <c r="G292" s="194"/>
      <c r="H292" s="73"/>
      <c r="J292" s="69"/>
      <c r="L292" s="73"/>
    </row>
    <row r="293" spans="1:12" ht="52.8">
      <c r="A293" s="181"/>
      <c r="B293" s="76" t="s">
        <v>837</v>
      </c>
      <c r="C293" s="77" t="s">
        <v>1807</v>
      </c>
      <c r="D293" s="72">
        <f>+'Alimentazione CE Costi'!H249+'Alimentazione CE Costi'!H250+'Alimentazione CE Costi'!H251+'Alimentazione CE Costi'!H252</f>
        <v>124098.82</v>
      </c>
      <c r="E293" s="72">
        <f>+'Alimentazione CE Costi'!I249+'Alimentazione CE Costi'!I250+'Alimentazione CE Costi'!I251+'Alimentazione CE Costi'!I252</f>
        <v>63411</v>
      </c>
      <c r="F293" s="207"/>
      <c r="G293" s="194"/>
      <c r="H293" s="73"/>
      <c r="J293" s="69"/>
      <c r="L293" s="73"/>
    </row>
    <row r="294" spans="1:12" ht="66">
      <c r="A294" s="181" t="s">
        <v>1545</v>
      </c>
      <c r="B294" s="76" t="s">
        <v>843</v>
      </c>
      <c r="C294" s="77" t="s">
        <v>1808</v>
      </c>
      <c r="D294" s="72">
        <f>+'Alimentazione CE Costi'!H254+'Alimentazione CE Costi'!H255+'Alimentazione CE Costi'!H256+'Alimentazione CE Costi'!H257</f>
        <v>0</v>
      </c>
      <c r="E294" s="72">
        <f>+'Alimentazione CE Costi'!I254+'Alimentazione CE Costi'!I255+'Alimentazione CE Costi'!I256+'Alimentazione CE Costi'!I257</f>
        <v>102903</v>
      </c>
      <c r="F294" s="207"/>
      <c r="G294" s="194"/>
      <c r="H294" s="73"/>
      <c r="J294" s="69"/>
      <c r="L294" s="73"/>
    </row>
    <row r="295" spans="1:12" ht="39.6">
      <c r="A295" s="181"/>
      <c r="B295" s="76" t="s">
        <v>845</v>
      </c>
      <c r="C295" s="77" t="s">
        <v>1809</v>
      </c>
      <c r="D295" s="72">
        <f>+ROUND(SUM('Alimentazione CE Costi'!H259:H269),2)</f>
        <v>72203.929999999993</v>
      </c>
      <c r="E295" s="72">
        <f>+ROUND(SUM('Alimentazione CE Costi'!I259:I269),2)</f>
        <v>55920</v>
      </c>
      <c r="F295" s="207"/>
      <c r="G295" s="194"/>
      <c r="H295" s="73"/>
      <c r="J295" s="69"/>
      <c r="L295" s="73"/>
    </row>
    <row r="296" spans="1:12" ht="52.8">
      <c r="A296" s="181" t="s">
        <v>1545</v>
      </c>
      <c r="B296" s="76" t="s">
        <v>856</v>
      </c>
      <c r="C296" s="77" t="s">
        <v>1810</v>
      </c>
      <c r="D296" s="72">
        <f>+ROUND(SUM('Alimentazione CE Costi'!H271:H279),2)</f>
        <v>0</v>
      </c>
      <c r="E296" s="72">
        <f>+ROUND(SUM('Alimentazione CE Costi'!I271:I279),2)</f>
        <v>0</v>
      </c>
      <c r="F296" s="207"/>
      <c r="G296" s="194"/>
      <c r="H296" s="73"/>
      <c r="J296" s="69"/>
      <c r="L296" s="73"/>
    </row>
    <row r="297" spans="1:12" ht="26.4">
      <c r="A297" s="181"/>
      <c r="B297" s="136" t="s">
        <v>858</v>
      </c>
      <c r="C297" s="137" t="s">
        <v>1811</v>
      </c>
      <c r="D297" s="124">
        <f>SUM(D298:D304)</f>
        <v>2597957.83</v>
      </c>
      <c r="E297" s="124">
        <f>SUM(E298:E304)</f>
        <v>1317207</v>
      </c>
      <c r="F297" s="207" t="s">
        <v>2141</v>
      </c>
      <c r="G297" s="194"/>
      <c r="H297" s="73"/>
      <c r="J297" s="69"/>
      <c r="L297" s="73"/>
    </row>
    <row r="298" spans="1:12" ht="26.4">
      <c r="A298" s="185"/>
      <c r="B298" s="76" t="s">
        <v>860</v>
      </c>
      <c r="C298" s="77" t="s">
        <v>1812</v>
      </c>
      <c r="D298" s="72">
        <f>+'Alimentazione CE Costi'!H281</f>
        <v>0</v>
      </c>
      <c r="E298" s="72">
        <f>+'Alimentazione CE Costi'!I281</f>
        <v>0</v>
      </c>
      <c r="F298" s="207"/>
      <c r="G298" s="194"/>
      <c r="H298" s="73"/>
      <c r="J298" s="69"/>
      <c r="L298" s="73"/>
    </row>
    <row r="299" spans="1:12" ht="18">
      <c r="A299" s="185"/>
      <c r="B299" s="76" t="s">
        <v>862</v>
      </c>
      <c r="C299" s="77" t="s">
        <v>1813</v>
      </c>
      <c r="D299" s="72">
        <f>+'Alimentazione CE Costi'!H282</f>
        <v>0</v>
      </c>
      <c r="E299" s="72">
        <f>+'Alimentazione CE Costi'!I282</f>
        <v>0</v>
      </c>
      <c r="F299" s="207"/>
      <c r="G299" s="194"/>
      <c r="H299" s="73"/>
      <c r="J299" s="69"/>
      <c r="L299" s="73"/>
    </row>
    <row r="300" spans="1:12" ht="39.6">
      <c r="A300" s="181"/>
      <c r="B300" s="76" t="s">
        <v>864</v>
      </c>
      <c r="C300" s="77" t="s">
        <v>1814</v>
      </c>
      <c r="D300" s="72">
        <f>+'Alimentazione CE Costi'!H283</f>
        <v>0</v>
      </c>
      <c r="E300" s="72">
        <f>+'Alimentazione CE Costi'!I283</f>
        <v>0</v>
      </c>
      <c r="F300" s="207"/>
      <c r="G300" s="194"/>
      <c r="H300" s="73"/>
      <c r="J300" s="69"/>
      <c r="L300" s="73"/>
    </row>
    <row r="301" spans="1:12" ht="18">
      <c r="A301" s="185"/>
      <c r="B301" s="76" t="s">
        <v>866</v>
      </c>
      <c r="C301" s="77" t="s">
        <v>1815</v>
      </c>
      <c r="D301" s="72">
        <f>+'Alimentazione CE Costi'!H284</f>
        <v>0</v>
      </c>
      <c r="E301" s="72">
        <f>+'Alimentazione CE Costi'!I284</f>
        <v>0</v>
      </c>
      <c r="F301" s="207"/>
      <c r="G301" s="194"/>
      <c r="H301" s="73"/>
      <c r="J301" s="69"/>
      <c r="L301" s="73"/>
    </row>
    <row r="302" spans="1:12" ht="26.4">
      <c r="A302" s="185"/>
      <c r="B302" s="76" t="s">
        <v>868</v>
      </c>
      <c r="C302" s="77" t="s">
        <v>1816</v>
      </c>
      <c r="D302" s="72">
        <f>+ROUND(SUM('Alimentazione CE Costi'!H286:H295),2)</f>
        <v>1498562.9</v>
      </c>
      <c r="E302" s="72">
        <f>+ROUND(SUM('Alimentazione CE Costi'!I286:I295),2)</f>
        <v>245565</v>
      </c>
      <c r="F302" s="207"/>
      <c r="G302" s="194"/>
      <c r="H302" s="73"/>
      <c r="J302" s="69"/>
      <c r="L302" s="73"/>
    </row>
    <row r="303" spans="1:12" ht="39.6">
      <c r="A303" s="185" t="s">
        <v>1545</v>
      </c>
      <c r="B303" s="76" t="s">
        <v>879</v>
      </c>
      <c r="C303" s="77" t="s">
        <v>1817</v>
      </c>
      <c r="D303" s="72">
        <f>+'Alimentazione CE Costi'!H297+'Alimentazione CE Costi'!H298</f>
        <v>1099394.93</v>
      </c>
      <c r="E303" s="72">
        <f>+'Alimentazione CE Costi'!I297+'Alimentazione CE Costi'!I298</f>
        <v>1071642</v>
      </c>
      <c r="F303" s="207"/>
      <c r="G303" s="194"/>
      <c r="H303" s="73"/>
      <c r="J303" s="69"/>
      <c r="L303" s="73"/>
    </row>
    <row r="304" spans="1:12" ht="26.4">
      <c r="A304" s="181" t="s">
        <v>1545</v>
      </c>
      <c r="B304" s="76" t="s">
        <v>883</v>
      </c>
      <c r="C304" s="77" t="s">
        <v>1818</v>
      </c>
      <c r="D304" s="72">
        <f>+'Alimentazione CE Costi'!H299</f>
        <v>0</v>
      </c>
      <c r="E304" s="72">
        <f>+'Alimentazione CE Costi'!I299</f>
        <v>0</v>
      </c>
      <c r="F304" s="207"/>
      <c r="G304" s="194"/>
      <c r="H304" s="86"/>
      <c r="J304" s="69"/>
      <c r="L304" s="73"/>
    </row>
    <row r="305" spans="1:12" ht="52.8">
      <c r="A305" s="181"/>
      <c r="B305" s="136" t="s">
        <v>885</v>
      </c>
      <c r="C305" s="137" t="s">
        <v>1819</v>
      </c>
      <c r="D305" s="124">
        <f>SUM(D306:D308,D315)</f>
        <v>3354497.3699999996</v>
      </c>
      <c r="E305" s="124">
        <f>SUM(E306:E308,E315)</f>
        <v>3362598</v>
      </c>
      <c r="F305" s="207" t="s">
        <v>2141</v>
      </c>
      <c r="G305" s="194"/>
      <c r="H305" s="73"/>
      <c r="J305" s="69"/>
      <c r="L305" s="73"/>
    </row>
    <row r="306" spans="1:12" ht="39.6">
      <c r="A306" s="183" t="s">
        <v>1545</v>
      </c>
      <c r="B306" s="76" t="s">
        <v>887</v>
      </c>
      <c r="C306" s="77" t="s">
        <v>1820</v>
      </c>
      <c r="D306" s="72">
        <f>+'Alimentazione CE Costi'!H301</f>
        <v>103638.6</v>
      </c>
      <c r="E306" s="72">
        <f>+'Alimentazione CE Costi'!I301</f>
        <v>91583</v>
      </c>
      <c r="F306" s="205"/>
      <c r="G306" s="194"/>
      <c r="H306" s="73"/>
      <c r="J306" s="69"/>
      <c r="L306" s="73"/>
    </row>
    <row r="307" spans="1:12" ht="39.6">
      <c r="A307" s="183"/>
      <c r="B307" s="76" t="s">
        <v>889</v>
      </c>
      <c r="C307" s="77" t="s">
        <v>1821</v>
      </c>
      <c r="D307" s="72">
        <f>+'Alimentazione CE Costi'!H302</f>
        <v>3405.47</v>
      </c>
      <c r="E307" s="72">
        <f>+'Alimentazione CE Costi'!I302</f>
        <v>14228</v>
      </c>
      <c r="F307" s="205"/>
      <c r="G307" s="194"/>
      <c r="H307" s="73"/>
      <c r="J307" s="69"/>
      <c r="L307" s="73"/>
    </row>
    <row r="308" spans="1:12" ht="39.6">
      <c r="A308" s="183"/>
      <c r="B308" s="128" t="s">
        <v>891</v>
      </c>
      <c r="C308" s="129" t="s">
        <v>1822</v>
      </c>
      <c r="D308" s="127">
        <f>SUM(D309:D314)</f>
        <v>3244013.15</v>
      </c>
      <c r="E308" s="127">
        <f>SUM(E309:E314)</f>
        <v>3256787</v>
      </c>
      <c r="F308" s="207" t="s">
        <v>2141</v>
      </c>
      <c r="G308" s="194"/>
      <c r="H308" s="73"/>
      <c r="J308" s="69"/>
      <c r="L308" s="73"/>
    </row>
    <row r="309" spans="1:12" ht="39.6">
      <c r="A309" s="183"/>
      <c r="B309" s="78" t="s">
        <v>893</v>
      </c>
      <c r="C309" s="79" t="s">
        <v>1823</v>
      </c>
      <c r="D309" s="72">
        <f>+'Alimentazione CE Costi'!H304</f>
        <v>13250.67</v>
      </c>
      <c r="E309" s="72">
        <f>+'Alimentazione CE Costi'!I304</f>
        <v>288461</v>
      </c>
      <c r="F309" s="205"/>
      <c r="G309" s="194"/>
      <c r="H309" s="73"/>
      <c r="J309" s="69"/>
      <c r="L309" s="73"/>
    </row>
    <row r="310" spans="1:12" ht="26.4">
      <c r="A310" s="183"/>
      <c r="B310" s="78" t="s">
        <v>895</v>
      </c>
      <c r="C310" s="79" t="s">
        <v>1824</v>
      </c>
      <c r="D310" s="72">
        <f>+'Alimentazione CE Costi'!H306+'Alimentazione CE Costi'!H307+'Alimentazione CE Costi'!H308</f>
        <v>96916.54</v>
      </c>
      <c r="E310" s="72">
        <f>+'Alimentazione CE Costi'!I306+'Alimentazione CE Costi'!I307+'Alimentazione CE Costi'!I308</f>
        <v>99997</v>
      </c>
      <c r="F310" s="205"/>
      <c r="G310" s="194"/>
      <c r="H310" s="73"/>
      <c r="J310" s="69"/>
      <c r="L310" s="73"/>
    </row>
    <row r="311" spans="1:12" ht="39.6">
      <c r="A311" s="183"/>
      <c r="B311" s="78" t="s">
        <v>900</v>
      </c>
      <c r="C311" s="79" t="s">
        <v>1825</v>
      </c>
      <c r="D311" s="72">
        <f>+'Alimentazione CE Costi'!H310+'Alimentazione CE Costi'!H311+'Alimentazione CE Costi'!H312+'Alimentazione CE Costi'!H313</f>
        <v>918810.53</v>
      </c>
      <c r="E311" s="72">
        <f>+'Alimentazione CE Costi'!I310+'Alimentazione CE Costi'!I311+'Alimentazione CE Costi'!I312+'Alimentazione CE Costi'!I313</f>
        <v>1671360</v>
      </c>
      <c r="F311" s="205"/>
      <c r="G311" s="194"/>
      <c r="H311" s="73"/>
      <c r="J311" s="69"/>
      <c r="L311" s="73"/>
    </row>
    <row r="312" spans="1:12" ht="26.4">
      <c r="A312" s="183"/>
      <c r="B312" s="78" t="s">
        <v>906</v>
      </c>
      <c r="C312" s="79" t="s">
        <v>1826</v>
      </c>
      <c r="D312" s="72">
        <f>+'Alimentazione CE Costi'!H315+'Alimentazione CE Costi'!H316</f>
        <v>784288.72</v>
      </c>
      <c r="E312" s="72">
        <f>+'Alimentazione CE Costi'!I315+'Alimentazione CE Costi'!I316</f>
        <v>668021</v>
      </c>
      <c r="F312" s="205"/>
      <c r="G312" s="194"/>
      <c r="H312" s="73"/>
      <c r="J312" s="69"/>
      <c r="L312" s="73"/>
    </row>
    <row r="313" spans="1:12" ht="26.4">
      <c r="A313" s="183"/>
      <c r="B313" s="78" t="s">
        <v>909</v>
      </c>
      <c r="C313" s="79" t="s">
        <v>1827</v>
      </c>
      <c r="D313" s="72">
        <f>+'Alimentazione CE Costi'!H317</f>
        <v>675533.79</v>
      </c>
      <c r="E313" s="72">
        <f>+'Alimentazione CE Costi'!I317</f>
        <v>260224</v>
      </c>
      <c r="F313" s="205"/>
      <c r="G313" s="194"/>
      <c r="H313" s="73"/>
      <c r="J313" s="69"/>
      <c r="L313" s="73"/>
    </row>
    <row r="314" spans="1:12" ht="26.4">
      <c r="A314" s="183"/>
      <c r="B314" s="78" t="s">
        <v>911</v>
      </c>
      <c r="C314" s="79" t="s">
        <v>1828</v>
      </c>
      <c r="D314" s="72">
        <f>+ROUND(SUM('Alimentazione CE Costi'!H319:H327),2)</f>
        <v>755212.9</v>
      </c>
      <c r="E314" s="72">
        <f>+ROUND(SUM('Alimentazione CE Costi'!I319:I327),2)</f>
        <v>268724</v>
      </c>
      <c r="F314" s="205"/>
      <c r="G314" s="194"/>
      <c r="H314" s="73"/>
      <c r="J314" s="69"/>
      <c r="L314" s="73"/>
    </row>
    <row r="315" spans="1:12" ht="26.4">
      <c r="A315" s="183"/>
      <c r="B315" s="128" t="s">
        <v>922</v>
      </c>
      <c r="C315" s="129" t="s">
        <v>1829</v>
      </c>
      <c r="D315" s="127">
        <f>SUM(D316:D318)</f>
        <v>3440.15</v>
      </c>
      <c r="E315" s="127">
        <f>SUM(E316:E318)</f>
        <v>0</v>
      </c>
      <c r="F315" s="207" t="s">
        <v>2141</v>
      </c>
      <c r="G315" s="194"/>
      <c r="H315" s="73"/>
      <c r="J315" s="69"/>
      <c r="L315" s="73"/>
    </row>
    <row r="316" spans="1:12" ht="39.6">
      <c r="A316" s="183" t="s">
        <v>1545</v>
      </c>
      <c r="B316" s="78" t="s">
        <v>924</v>
      </c>
      <c r="C316" s="79" t="s">
        <v>1830</v>
      </c>
      <c r="D316" s="72">
        <f>+'Alimentazione CE Costi'!H329</f>
        <v>3440.15</v>
      </c>
      <c r="E316" s="72">
        <f>+'Alimentazione CE Costi'!I329</f>
        <v>0</v>
      </c>
      <c r="F316" s="205"/>
      <c r="G316" s="194"/>
      <c r="H316" s="73"/>
      <c r="J316" s="69"/>
      <c r="L316" s="73"/>
    </row>
    <row r="317" spans="1:12" ht="39.6">
      <c r="A317" s="183"/>
      <c r="B317" s="78" t="s">
        <v>926</v>
      </c>
      <c r="C317" s="79" t="s">
        <v>1831</v>
      </c>
      <c r="D317" s="72">
        <f>+'Alimentazione CE Costi'!H330</f>
        <v>0</v>
      </c>
      <c r="E317" s="72">
        <f>+'Alimentazione CE Costi'!I330</f>
        <v>0</v>
      </c>
      <c r="F317" s="205"/>
      <c r="G317" s="194"/>
      <c r="H317" s="73"/>
      <c r="J317" s="69"/>
      <c r="L317" s="73"/>
    </row>
    <row r="318" spans="1:12" ht="39.6">
      <c r="A318" s="183" t="s">
        <v>1594</v>
      </c>
      <c r="B318" s="78" t="s">
        <v>928</v>
      </c>
      <c r="C318" s="79" t="s">
        <v>1832</v>
      </c>
      <c r="D318" s="72">
        <f>+'Alimentazione CE Costi'!H331</f>
        <v>0</v>
      </c>
      <c r="E318" s="72">
        <f>+'Alimentazione CE Costi'!I331</f>
        <v>0</v>
      </c>
      <c r="F318" s="205"/>
      <c r="G318" s="194"/>
      <c r="H318" s="73"/>
      <c r="J318" s="69"/>
      <c r="L318" s="73"/>
    </row>
    <row r="319" spans="1:12" ht="26.4">
      <c r="A319" s="183"/>
      <c r="B319" s="136" t="s">
        <v>930</v>
      </c>
      <c r="C319" s="137" t="s">
        <v>1833</v>
      </c>
      <c r="D319" s="124">
        <f>SUM(D320:D326)</f>
        <v>493718.02</v>
      </c>
      <c r="E319" s="124">
        <f>SUM(E320:E326)</f>
        <v>548024</v>
      </c>
      <c r="F319" s="207" t="s">
        <v>2141</v>
      </c>
      <c r="G319" s="194"/>
      <c r="H319" s="73"/>
      <c r="J319" s="69"/>
      <c r="L319" s="73"/>
    </row>
    <row r="320" spans="1:12" ht="52.8">
      <c r="A320" s="188" t="s">
        <v>1545</v>
      </c>
      <c r="B320" s="76" t="s">
        <v>932</v>
      </c>
      <c r="C320" s="77" t="s">
        <v>1834</v>
      </c>
      <c r="D320" s="72">
        <f>+'Alimentazione CE Costi'!H333</f>
        <v>0</v>
      </c>
      <c r="E320" s="72">
        <f>+'Alimentazione CE Costi'!I333</f>
        <v>0</v>
      </c>
      <c r="F320" s="205"/>
      <c r="G320" s="194"/>
      <c r="H320" s="73"/>
      <c r="J320" s="69"/>
      <c r="L320" s="73"/>
    </row>
    <row r="321" spans="1:12" ht="52.8">
      <c r="A321" s="183"/>
      <c r="B321" s="76" t="s">
        <v>934</v>
      </c>
      <c r="C321" s="77" t="s">
        <v>1835</v>
      </c>
      <c r="D321" s="72">
        <f>+'Alimentazione CE Costi'!H334</f>
        <v>0</v>
      </c>
      <c r="E321" s="72">
        <f>+'Alimentazione CE Costi'!I334</f>
        <v>0</v>
      </c>
      <c r="F321" s="205"/>
      <c r="G321" s="194"/>
      <c r="H321" s="73"/>
      <c r="J321" s="69"/>
      <c r="L321" s="73"/>
    </row>
    <row r="322" spans="1:12" ht="39.6">
      <c r="A322" s="183" t="s">
        <v>1594</v>
      </c>
      <c r="B322" s="76" t="s">
        <v>936</v>
      </c>
      <c r="C322" s="77" t="s">
        <v>1836</v>
      </c>
      <c r="D322" s="72">
        <f>+'Alimentazione CE Costi'!H335</f>
        <v>0</v>
      </c>
      <c r="E322" s="72">
        <f>+'Alimentazione CE Costi'!I335</f>
        <v>0</v>
      </c>
      <c r="F322" s="205"/>
      <c r="G322" s="194"/>
      <c r="H322" s="73"/>
      <c r="J322" s="69"/>
      <c r="L322" s="73"/>
    </row>
    <row r="323" spans="1:12" ht="18">
      <c r="A323" s="188"/>
      <c r="B323" s="76" t="s">
        <v>938</v>
      </c>
      <c r="C323" s="77" t="s">
        <v>1837</v>
      </c>
      <c r="D323" s="72">
        <f>+'Alimentazione CE Costi'!H337+'Alimentazione CE Costi'!H338</f>
        <v>493718.02</v>
      </c>
      <c r="E323" s="72">
        <f>+'Alimentazione CE Costi'!I337+'Alimentazione CE Costi'!I338</f>
        <v>548024</v>
      </c>
      <c r="F323" s="205"/>
      <c r="G323" s="194"/>
      <c r="H323" s="73"/>
      <c r="J323" s="69"/>
      <c r="L323" s="73"/>
    </row>
    <row r="324" spans="1:12" ht="26.4">
      <c r="A324" s="185"/>
      <c r="B324" s="76" t="s">
        <v>941</v>
      </c>
      <c r="C324" s="77" t="s">
        <v>1838</v>
      </c>
      <c r="D324" s="72">
        <f>+'Alimentazione CE Costi'!H339</f>
        <v>0</v>
      </c>
      <c r="E324" s="72">
        <f>+'Alimentazione CE Costi'!I339</f>
        <v>0</v>
      </c>
      <c r="F324" s="207"/>
      <c r="G324" s="194"/>
      <c r="H324" s="73"/>
      <c r="J324" s="69"/>
      <c r="L324" s="73"/>
    </row>
    <row r="325" spans="1:12" ht="39.6">
      <c r="A325" s="185" t="s">
        <v>1545</v>
      </c>
      <c r="B325" s="76" t="s">
        <v>943</v>
      </c>
      <c r="C325" s="77" t="s">
        <v>1839</v>
      </c>
      <c r="D325" s="72">
        <f>+'Alimentazione CE Costi'!H340</f>
        <v>0</v>
      </c>
      <c r="E325" s="72">
        <f>+'Alimentazione CE Costi'!I340</f>
        <v>0</v>
      </c>
      <c r="F325" s="207"/>
      <c r="G325" s="194"/>
      <c r="H325" s="73"/>
      <c r="J325" s="69"/>
      <c r="L325" s="73"/>
    </row>
    <row r="326" spans="1:12" ht="39.6">
      <c r="A326" s="185" t="s">
        <v>1594</v>
      </c>
      <c r="B326" s="76" t="s">
        <v>945</v>
      </c>
      <c r="C326" s="77" t="s">
        <v>1840</v>
      </c>
      <c r="D326" s="72">
        <f>+'Alimentazione CE Costi'!H341</f>
        <v>0</v>
      </c>
      <c r="E326" s="72">
        <f>+'Alimentazione CE Costi'!I341</f>
        <v>0</v>
      </c>
      <c r="F326" s="207"/>
      <c r="G326" s="194"/>
      <c r="H326" s="73"/>
      <c r="J326" s="69"/>
      <c r="L326" s="73"/>
    </row>
    <row r="327" spans="1:12" ht="26.4">
      <c r="A327" s="189" t="s">
        <v>1590</v>
      </c>
      <c r="B327" s="74" t="s">
        <v>946</v>
      </c>
      <c r="C327" s="75" t="s">
        <v>1841</v>
      </c>
      <c r="D327" s="72">
        <f>+'Alimentazione CE Costi'!H342</f>
        <v>0</v>
      </c>
      <c r="E327" s="72">
        <f>+'Alimentazione CE Costi'!I342</f>
        <v>0</v>
      </c>
      <c r="F327" s="207"/>
      <c r="G327" s="194"/>
      <c r="H327" s="73"/>
      <c r="J327" s="69"/>
      <c r="L327" s="73"/>
    </row>
    <row r="328" spans="1:12" ht="18">
      <c r="A328" s="185"/>
      <c r="B328" s="111" t="s">
        <v>948</v>
      </c>
      <c r="C328" s="112" t="s">
        <v>1842</v>
      </c>
      <c r="D328" s="110">
        <f>+D329+D349+D363</f>
        <v>8204385.7999999998</v>
      </c>
      <c r="E328" s="110">
        <f>+E329+E349+E363</f>
        <v>7895722</v>
      </c>
      <c r="F328" s="207" t="s">
        <v>2141</v>
      </c>
      <c r="G328" s="194"/>
      <c r="H328" s="73"/>
      <c r="J328" s="69"/>
      <c r="L328" s="73"/>
    </row>
    <row r="329" spans="1:12" ht="18">
      <c r="A329" s="181"/>
      <c r="B329" s="136" t="s">
        <v>950</v>
      </c>
      <c r="C329" s="137" t="s">
        <v>1843</v>
      </c>
      <c r="D329" s="124">
        <f>+D330+D331+D332+D335+D336+D337+D338+D339+D340+D341+D342+D345</f>
        <v>7655920.4100000001</v>
      </c>
      <c r="E329" s="124">
        <f>+E330+E331+E332+E335+E336+E337+E338+E339+E340+E341+E342+E345</f>
        <v>7285742</v>
      </c>
      <c r="F329" s="207" t="s">
        <v>2141</v>
      </c>
      <c r="G329" s="194"/>
      <c r="H329" s="73"/>
      <c r="J329" s="69"/>
      <c r="L329" s="73"/>
    </row>
    <row r="330" spans="1:12" ht="18">
      <c r="A330" s="181"/>
      <c r="B330" s="76" t="s">
        <v>952</v>
      </c>
      <c r="C330" s="77" t="s">
        <v>1844</v>
      </c>
      <c r="D330" s="72">
        <f>+'Alimentazione CE Costi'!H345</f>
        <v>299645.63</v>
      </c>
      <c r="E330" s="72">
        <f>+'Alimentazione CE Costi'!I345</f>
        <v>286354</v>
      </c>
      <c r="F330" s="207"/>
      <c r="G330" s="194"/>
      <c r="H330" s="73"/>
      <c r="J330" s="69"/>
      <c r="L330" s="73"/>
    </row>
    <row r="331" spans="1:12" ht="18">
      <c r="A331" s="181"/>
      <c r="B331" s="76" t="s">
        <v>954</v>
      </c>
      <c r="C331" s="77" t="s">
        <v>1845</v>
      </c>
      <c r="D331" s="72">
        <f>+'Alimentazione CE Costi'!H346</f>
        <v>1567601.47</v>
      </c>
      <c r="E331" s="72">
        <f>+'Alimentazione CE Costi'!I346</f>
        <v>1007370</v>
      </c>
      <c r="F331" s="207"/>
      <c r="G331" s="194"/>
      <c r="H331" s="73"/>
      <c r="J331" s="69"/>
      <c r="L331" s="73"/>
    </row>
    <row r="332" spans="1:12" ht="18">
      <c r="A332" s="181"/>
      <c r="B332" s="128" t="s">
        <v>956</v>
      </c>
      <c r="C332" s="129" t="s">
        <v>1846</v>
      </c>
      <c r="D332" s="127">
        <f>+D333+D334</f>
        <v>810055.82</v>
      </c>
      <c r="E332" s="127">
        <f>+E333+E334</f>
        <v>812880</v>
      </c>
      <c r="F332" s="207" t="s">
        <v>2141</v>
      </c>
      <c r="G332" s="194"/>
      <c r="H332" s="73"/>
      <c r="J332" s="69"/>
      <c r="L332" s="73"/>
    </row>
    <row r="333" spans="1:12" ht="18">
      <c r="A333" s="181"/>
      <c r="B333" s="76" t="s">
        <v>958</v>
      </c>
      <c r="C333" s="77" t="s">
        <v>1847</v>
      </c>
      <c r="D333" s="72">
        <f>+'Alimentazione CE Costi'!H348</f>
        <v>161330.23999999999</v>
      </c>
      <c r="E333" s="72">
        <f>+'Alimentazione CE Costi'!I348</f>
        <v>168291</v>
      </c>
      <c r="F333" s="207"/>
      <c r="G333" s="194"/>
      <c r="H333" s="73"/>
      <c r="J333" s="69"/>
      <c r="L333" s="73"/>
    </row>
    <row r="334" spans="1:12" ht="18">
      <c r="A334" s="181"/>
      <c r="B334" s="76" t="s">
        <v>960</v>
      </c>
      <c r="C334" s="77" t="s">
        <v>1848</v>
      </c>
      <c r="D334" s="72">
        <f>+'Alimentazione CE Costi'!H349</f>
        <v>648725.57999999996</v>
      </c>
      <c r="E334" s="72">
        <f>+'Alimentazione CE Costi'!I349</f>
        <v>644589</v>
      </c>
      <c r="F334" s="207"/>
      <c r="G334" s="194"/>
      <c r="H334" s="73"/>
      <c r="J334" s="69"/>
      <c r="L334" s="73"/>
    </row>
    <row r="335" spans="1:12" ht="18">
      <c r="A335" s="181"/>
      <c r="B335" s="76" t="s">
        <v>962</v>
      </c>
      <c r="C335" s="77" t="s">
        <v>1849</v>
      </c>
      <c r="D335" s="72">
        <f>+'Alimentazione CE Costi'!H350</f>
        <v>908515.96</v>
      </c>
      <c r="E335" s="72">
        <f>+'Alimentazione CE Costi'!I350</f>
        <v>1122124</v>
      </c>
      <c r="F335" s="207"/>
      <c r="G335" s="194"/>
      <c r="H335" s="73"/>
      <c r="J335" s="69"/>
      <c r="L335" s="73"/>
    </row>
    <row r="336" spans="1:12" ht="26.4">
      <c r="A336" s="181"/>
      <c r="B336" s="76" t="s">
        <v>964</v>
      </c>
      <c r="C336" s="77" t="s">
        <v>1850</v>
      </c>
      <c r="D336" s="72">
        <f>+'Alimentazione CE Costi'!H352+'Alimentazione CE Costi'!H353+'Alimentazione CE Costi'!H354</f>
        <v>0</v>
      </c>
      <c r="E336" s="72">
        <f>+'Alimentazione CE Costi'!I352+'Alimentazione CE Costi'!I353+'Alimentazione CE Costi'!I354</f>
        <v>0</v>
      </c>
      <c r="F336" s="207"/>
      <c r="G336" s="194"/>
      <c r="H336" s="73"/>
      <c r="J336" s="69"/>
      <c r="L336" s="73"/>
    </row>
    <row r="337" spans="1:12" ht="18">
      <c r="A337" s="181"/>
      <c r="B337" s="76" t="s">
        <v>969</v>
      </c>
      <c r="C337" s="77" t="s">
        <v>1851</v>
      </c>
      <c r="D337" s="72">
        <f>+'Alimentazione CE Costi'!H355</f>
        <v>275175.52</v>
      </c>
      <c r="E337" s="72">
        <f>+'Alimentazione CE Costi'!I355</f>
        <v>299736</v>
      </c>
      <c r="F337" s="207"/>
      <c r="G337" s="194"/>
      <c r="H337" s="73"/>
      <c r="J337" s="69"/>
      <c r="L337" s="73"/>
    </row>
    <row r="338" spans="1:12" ht="18">
      <c r="A338" s="181"/>
      <c r="B338" s="76" t="s">
        <v>971</v>
      </c>
      <c r="C338" s="77" t="s">
        <v>1852</v>
      </c>
      <c r="D338" s="72">
        <f>+'Alimentazione CE Costi'!H356</f>
        <v>250034.45</v>
      </c>
      <c r="E338" s="72">
        <f>+'Alimentazione CE Costi'!I356</f>
        <v>206950</v>
      </c>
      <c r="F338" s="207"/>
      <c r="G338" s="194"/>
      <c r="H338" s="73"/>
      <c r="J338" s="69"/>
      <c r="L338" s="73"/>
    </row>
    <row r="339" spans="1:12" ht="18">
      <c r="A339" s="181"/>
      <c r="B339" s="76" t="s">
        <v>973</v>
      </c>
      <c r="C339" s="77" t="s">
        <v>1853</v>
      </c>
      <c r="D339" s="72">
        <f>+'Alimentazione CE Costi'!H358+'Alimentazione CE Costi'!H359</f>
        <v>84081.06</v>
      </c>
      <c r="E339" s="72">
        <f>+'Alimentazione CE Costi'!I358+'Alimentazione CE Costi'!I359</f>
        <v>78463</v>
      </c>
      <c r="F339" s="207"/>
      <c r="G339" s="194"/>
      <c r="H339" s="73"/>
      <c r="J339" s="69"/>
      <c r="L339" s="73"/>
    </row>
    <row r="340" spans="1:12" ht="18">
      <c r="A340" s="181"/>
      <c r="B340" s="76" t="s">
        <v>977</v>
      </c>
      <c r="C340" s="77" t="s">
        <v>1854</v>
      </c>
      <c r="D340" s="72">
        <f>+'Alimentazione CE Costi'!H360</f>
        <v>665001.76</v>
      </c>
      <c r="E340" s="72">
        <f>+'Alimentazione CE Costi'!I360</f>
        <v>774546</v>
      </c>
      <c r="F340" s="207"/>
      <c r="G340" s="194"/>
      <c r="H340" s="73"/>
      <c r="J340" s="69"/>
      <c r="L340" s="73"/>
    </row>
    <row r="341" spans="1:12" ht="18">
      <c r="A341" s="181"/>
      <c r="B341" s="76" t="s">
        <v>979</v>
      </c>
      <c r="C341" s="77" t="s">
        <v>1855</v>
      </c>
      <c r="D341" s="72">
        <f>+ROUND(SUM('Alimentazione CE Costi'!H362:H366),2)</f>
        <v>199549.02</v>
      </c>
      <c r="E341" s="72">
        <f>+ROUND(SUM('Alimentazione CE Costi'!I362:I366),2)</f>
        <v>172281</v>
      </c>
      <c r="F341" s="207"/>
      <c r="G341" s="194"/>
      <c r="H341" s="73"/>
      <c r="J341" s="69"/>
      <c r="L341" s="73"/>
    </row>
    <row r="342" spans="1:12" ht="18">
      <c r="A342" s="185"/>
      <c r="B342" s="128" t="s">
        <v>985</v>
      </c>
      <c r="C342" s="129" t="s">
        <v>1856</v>
      </c>
      <c r="D342" s="127">
        <f>+D343+D344</f>
        <v>70348.039999999994</v>
      </c>
      <c r="E342" s="127">
        <f>+E343+E344</f>
        <v>64897</v>
      </c>
      <c r="F342" s="207" t="s">
        <v>2141</v>
      </c>
      <c r="G342" s="194"/>
      <c r="H342" s="73"/>
      <c r="J342" s="69"/>
      <c r="L342" s="73"/>
    </row>
    <row r="343" spans="1:12" ht="26.4">
      <c r="A343" s="185"/>
      <c r="B343" s="78" t="s">
        <v>987</v>
      </c>
      <c r="C343" s="79" t="s">
        <v>1857</v>
      </c>
      <c r="D343" s="72">
        <f>+'Alimentazione CE Costi'!H368</f>
        <v>0</v>
      </c>
      <c r="E343" s="72">
        <f>+'Alimentazione CE Costi'!I368</f>
        <v>0</v>
      </c>
      <c r="F343" s="207"/>
      <c r="G343" s="194"/>
      <c r="H343" s="86"/>
      <c r="J343" s="69"/>
      <c r="L343" s="73"/>
    </row>
    <row r="344" spans="1:12" ht="26.4">
      <c r="A344" s="185"/>
      <c r="B344" s="78" t="s">
        <v>989</v>
      </c>
      <c r="C344" s="79" t="s">
        <v>1858</v>
      </c>
      <c r="D344" s="72">
        <f>+'Alimentazione CE Costi'!H369</f>
        <v>70348.039999999994</v>
      </c>
      <c r="E344" s="72">
        <f>+'Alimentazione CE Costi'!I369</f>
        <v>64897</v>
      </c>
      <c r="F344" s="207"/>
      <c r="G344" s="194"/>
      <c r="H344" s="73"/>
      <c r="J344" s="69"/>
      <c r="L344" s="73"/>
    </row>
    <row r="345" spans="1:12" ht="18">
      <c r="A345" s="185"/>
      <c r="B345" s="128" t="s">
        <v>991</v>
      </c>
      <c r="C345" s="129" t="s">
        <v>1859</v>
      </c>
      <c r="D345" s="127">
        <f>+D346+D347+D348</f>
        <v>2525911.6800000002</v>
      </c>
      <c r="E345" s="127">
        <f>+E346+E347+E348</f>
        <v>2460141</v>
      </c>
      <c r="F345" s="207" t="s">
        <v>2141</v>
      </c>
      <c r="G345" s="194"/>
      <c r="H345" s="73"/>
      <c r="J345" s="69"/>
      <c r="L345" s="73"/>
    </row>
    <row r="346" spans="1:12" ht="39.6">
      <c r="A346" s="185" t="s">
        <v>1545</v>
      </c>
      <c r="B346" s="78" t="s">
        <v>993</v>
      </c>
      <c r="C346" s="79" t="s">
        <v>1860</v>
      </c>
      <c r="D346" s="72">
        <f>+'Alimentazione CE Costi'!H371</f>
        <v>441339.3</v>
      </c>
      <c r="E346" s="72">
        <f>+'Alimentazione CE Costi'!I371</f>
        <v>474990</v>
      </c>
      <c r="F346" s="207"/>
      <c r="G346" s="194"/>
      <c r="H346" s="73"/>
      <c r="J346" s="69"/>
      <c r="L346" s="73"/>
    </row>
    <row r="347" spans="1:12" ht="26.4">
      <c r="A347" s="181"/>
      <c r="B347" s="78" t="s">
        <v>995</v>
      </c>
      <c r="C347" s="79" t="s">
        <v>1861</v>
      </c>
      <c r="D347" s="72">
        <f>+'Alimentazione CE Costi'!H373+'Alimentazione CE Costi'!H374</f>
        <v>10934.32</v>
      </c>
      <c r="E347" s="72">
        <f>+'Alimentazione CE Costi'!I373+'Alimentazione CE Costi'!I374</f>
        <v>30744</v>
      </c>
      <c r="F347" s="207"/>
      <c r="G347" s="194"/>
      <c r="H347" s="73"/>
      <c r="J347" s="69"/>
      <c r="L347" s="73"/>
    </row>
    <row r="348" spans="1:12" ht="26.4">
      <c r="A348" s="185"/>
      <c r="B348" s="78" t="s">
        <v>999</v>
      </c>
      <c r="C348" s="79" t="s">
        <v>1862</v>
      </c>
      <c r="D348" s="72">
        <f>+ROUND(SUM('Alimentazione CE Costi'!H376:H390),2)</f>
        <v>2073638.06</v>
      </c>
      <c r="E348" s="72">
        <f>+ROUND(SUM('Alimentazione CE Costi'!I376:I390),2)</f>
        <v>1954407</v>
      </c>
      <c r="F348" s="207"/>
      <c r="G348" s="194"/>
      <c r="H348" s="73"/>
      <c r="J348" s="69"/>
      <c r="L348" s="73"/>
    </row>
    <row r="349" spans="1:12" ht="39.6">
      <c r="A349" s="181"/>
      <c r="B349" s="136" t="s">
        <v>1015</v>
      </c>
      <c r="C349" s="137" t="s">
        <v>1863</v>
      </c>
      <c r="D349" s="124">
        <f>+D350+D351+D352+D359</f>
        <v>513566.5</v>
      </c>
      <c r="E349" s="124">
        <f>+E350+E351+E352+E359</f>
        <v>488267</v>
      </c>
      <c r="F349" s="207" t="s">
        <v>2141</v>
      </c>
      <c r="G349" s="194"/>
      <c r="H349" s="73"/>
      <c r="J349" s="69"/>
      <c r="L349" s="73"/>
    </row>
    <row r="350" spans="1:12" ht="26.4">
      <c r="A350" s="181" t="s">
        <v>1545</v>
      </c>
      <c r="B350" s="76" t="s">
        <v>1017</v>
      </c>
      <c r="C350" s="77" t="s">
        <v>1864</v>
      </c>
      <c r="D350" s="72">
        <f>+'Alimentazione CE Costi'!H392</f>
        <v>0</v>
      </c>
      <c r="E350" s="72">
        <f>+'Alimentazione CE Costi'!I392</f>
        <v>1980</v>
      </c>
      <c r="F350" s="207"/>
      <c r="G350" s="194"/>
      <c r="H350" s="73"/>
      <c r="J350" s="69"/>
      <c r="L350" s="73"/>
    </row>
    <row r="351" spans="1:12" ht="26.4">
      <c r="A351" s="181"/>
      <c r="B351" s="76" t="s">
        <v>1019</v>
      </c>
      <c r="C351" s="77" t="s">
        <v>1865</v>
      </c>
      <c r="D351" s="72">
        <f>+'Alimentazione CE Costi'!H393</f>
        <v>0</v>
      </c>
      <c r="E351" s="72">
        <f>+'Alimentazione CE Costi'!I393</f>
        <v>0</v>
      </c>
      <c r="F351" s="207"/>
      <c r="G351" s="194"/>
      <c r="H351" s="73"/>
      <c r="J351" s="69"/>
      <c r="L351" s="73"/>
    </row>
    <row r="352" spans="1:12" ht="39.6">
      <c r="A352" s="181"/>
      <c r="B352" s="128" t="s">
        <v>1021</v>
      </c>
      <c r="C352" s="129" t="s">
        <v>1866</v>
      </c>
      <c r="D352" s="127">
        <f>SUM(D353:D358)</f>
        <v>513566.5</v>
      </c>
      <c r="E352" s="127">
        <f>SUM(E353:E358)</f>
        <v>484661</v>
      </c>
      <c r="F352" s="207" t="s">
        <v>2141</v>
      </c>
      <c r="G352" s="194"/>
      <c r="H352" s="73"/>
      <c r="J352" s="69"/>
      <c r="L352" s="73"/>
    </row>
    <row r="353" spans="1:12" ht="26.4">
      <c r="A353" s="181"/>
      <c r="B353" s="78" t="s">
        <v>1023</v>
      </c>
      <c r="C353" s="79" t="s">
        <v>1867</v>
      </c>
      <c r="D353" s="72">
        <f>+'Alimentazione CE Costi'!H396+'Alimentazione CE Costi'!H397+'Alimentazione CE Costi'!H398+'Alimentazione CE Costi'!H399+'Alimentazione CE Costi'!H400</f>
        <v>17090.239999999998</v>
      </c>
      <c r="E353" s="72">
        <f>+'Alimentazione CE Costi'!I396+'Alimentazione CE Costi'!I397+'Alimentazione CE Costi'!I398+'Alimentazione CE Costi'!I399+'Alimentazione CE Costi'!I400</f>
        <v>19379</v>
      </c>
      <c r="F353" s="207"/>
      <c r="G353" s="194"/>
      <c r="H353" s="73"/>
      <c r="J353" s="69"/>
      <c r="L353" s="73"/>
    </row>
    <row r="354" spans="1:12" ht="26.4">
      <c r="A354" s="181"/>
      <c r="B354" s="78" t="s">
        <v>1030</v>
      </c>
      <c r="C354" s="79" t="s">
        <v>1868</v>
      </c>
      <c r="D354" s="72">
        <f>+'Alimentazione CE Costi'!H401</f>
        <v>0</v>
      </c>
      <c r="E354" s="72">
        <f>+'Alimentazione CE Costi'!I401</f>
        <v>0</v>
      </c>
      <c r="F354" s="207"/>
      <c r="G354" s="194"/>
      <c r="H354" s="73"/>
      <c r="J354" s="69"/>
      <c r="L354" s="73"/>
    </row>
    <row r="355" spans="1:12" ht="26.4">
      <c r="A355" s="181"/>
      <c r="B355" s="78" t="s">
        <v>1032</v>
      </c>
      <c r="C355" s="79" t="s">
        <v>1869</v>
      </c>
      <c r="D355" s="72">
        <f>+'Alimentazione CE Costi'!H402</f>
        <v>0</v>
      </c>
      <c r="E355" s="72">
        <f>+'Alimentazione CE Costi'!I402</f>
        <v>0</v>
      </c>
      <c r="F355" s="207"/>
      <c r="G355" s="194"/>
      <c r="H355" s="73"/>
      <c r="J355" s="69"/>
      <c r="L355" s="73"/>
    </row>
    <row r="356" spans="1:12" ht="26.4">
      <c r="A356" s="181"/>
      <c r="B356" s="78" t="s">
        <v>1034</v>
      </c>
      <c r="C356" s="79" t="s">
        <v>1870</v>
      </c>
      <c r="D356" s="72">
        <f>+'Alimentazione CE Costi'!H403</f>
        <v>467925.25</v>
      </c>
      <c r="E356" s="72">
        <f>+'Alimentazione CE Costi'!I403</f>
        <v>435367</v>
      </c>
      <c r="F356" s="207"/>
      <c r="G356" s="194"/>
      <c r="H356" s="73"/>
      <c r="J356" s="69"/>
      <c r="L356" s="73"/>
    </row>
    <row r="357" spans="1:12" ht="26.4">
      <c r="A357" s="181"/>
      <c r="B357" s="78" t="s">
        <v>1036</v>
      </c>
      <c r="C357" s="79" t="s">
        <v>1871</v>
      </c>
      <c r="D357" s="82">
        <f>+SUM('Alimentazione CE Costi'!H405:H409)</f>
        <v>28551.01</v>
      </c>
      <c r="E357" s="82">
        <f>+SUM('Alimentazione CE Costi'!I405:I409)</f>
        <v>29915</v>
      </c>
      <c r="F357" s="207"/>
      <c r="G357" s="194"/>
      <c r="H357" s="73"/>
      <c r="J357" s="69"/>
      <c r="L357" s="73"/>
    </row>
    <row r="358" spans="1:12" ht="66">
      <c r="A358" s="181"/>
      <c r="B358" s="78" t="s">
        <v>1042</v>
      </c>
      <c r="C358" s="79" t="s">
        <v>1872</v>
      </c>
      <c r="D358" s="72">
        <f>+'Alimentazione CE Costi'!H410</f>
        <v>0</v>
      </c>
      <c r="E358" s="72">
        <f>+'Alimentazione CE Costi'!I410</f>
        <v>0</v>
      </c>
      <c r="F358" s="207"/>
      <c r="G358" s="194"/>
      <c r="H358" s="73"/>
      <c r="J358" s="69"/>
      <c r="L358" s="73"/>
    </row>
    <row r="359" spans="1:12" ht="26.4">
      <c r="A359" s="181"/>
      <c r="B359" s="128" t="s">
        <v>1044</v>
      </c>
      <c r="C359" s="129" t="s">
        <v>1873</v>
      </c>
      <c r="D359" s="127">
        <f>SUM(D360:D362)</f>
        <v>0</v>
      </c>
      <c r="E359" s="127">
        <f>SUM(E360:E362)</f>
        <v>1626</v>
      </c>
      <c r="F359" s="207" t="s">
        <v>2141</v>
      </c>
      <c r="G359" s="194"/>
      <c r="H359" s="73"/>
      <c r="J359" s="69"/>
      <c r="L359" s="73"/>
    </row>
    <row r="360" spans="1:12" ht="39.6">
      <c r="A360" s="181" t="s">
        <v>1545</v>
      </c>
      <c r="B360" s="78" t="s">
        <v>1046</v>
      </c>
      <c r="C360" s="79" t="s">
        <v>1874</v>
      </c>
      <c r="D360" s="72">
        <f>+'Alimentazione CE Costi'!H412</f>
        <v>0</v>
      </c>
      <c r="E360" s="72">
        <f>+'Alimentazione CE Costi'!I412</f>
        <v>0</v>
      </c>
      <c r="F360" s="207"/>
      <c r="G360" s="194"/>
      <c r="H360" s="73"/>
      <c r="J360" s="69"/>
      <c r="L360" s="73"/>
    </row>
    <row r="361" spans="1:12" ht="39.6">
      <c r="A361" s="181"/>
      <c r="B361" s="78" t="s">
        <v>1048</v>
      </c>
      <c r="C361" s="79" t="s">
        <v>1875</v>
      </c>
      <c r="D361" s="72">
        <f>+'Alimentazione CE Costi'!H413</f>
        <v>0</v>
      </c>
      <c r="E361" s="72">
        <f>+'Alimentazione CE Costi'!I413</f>
        <v>1626</v>
      </c>
      <c r="F361" s="207"/>
      <c r="G361" s="194"/>
      <c r="H361" s="73"/>
      <c r="J361" s="69"/>
      <c r="L361" s="73"/>
    </row>
    <row r="362" spans="1:12" ht="39.6">
      <c r="A362" s="181" t="s">
        <v>1594</v>
      </c>
      <c r="B362" s="78" t="s">
        <v>1050</v>
      </c>
      <c r="C362" s="79" t="s">
        <v>1876</v>
      </c>
      <c r="D362" s="72">
        <f>+'Alimentazione CE Costi'!H414</f>
        <v>0</v>
      </c>
      <c r="E362" s="72">
        <f>+'Alimentazione CE Costi'!I414</f>
        <v>0</v>
      </c>
      <c r="F362" s="207"/>
      <c r="G362" s="194"/>
      <c r="H362" s="73"/>
      <c r="J362" s="69"/>
      <c r="L362" s="73"/>
    </row>
    <row r="363" spans="1:12" ht="26.4">
      <c r="A363" s="181"/>
      <c r="B363" s="136" t="s">
        <v>1052</v>
      </c>
      <c r="C363" s="137" t="s">
        <v>1877</v>
      </c>
      <c r="D363" s="124">
        <f>+D364+D365</f>
        <v>34898.89</v>
      </c>
      <c r="E363" s="124">
        <f>+E364+E365</f>
        <v>121713</v>
      </c>
      <c r="F363" s="207" t="s">
        <v>2141</v>
      </c>
      <c r="G363" s="194"/>
      <c r="H363" s="73"/>
      <c r="J363" s="69"/>
      <c r="L363" s="73"/>
    </row>
    <row r="364" spans="1:12" ht="26.4">
      <c r="A364" s="181"/>
      <c r="B364" s="76" t="s">
        <v>1054</v>
      </c>
      <c r="C364" s="77" t="s">
        <v>1878</v>
      </c>
      <c r="D364" s="72">
        <f>+'Alimentazione CE Costi'!H416</f>
        <v>0</v>
      </c>
      <c r="E364" s="72">
        <f>+'Alimentazione CE Costi'!I416</f>
        <v>2723</v>
      </c>
      <c r="F364" s="207"/>
      <c r="G364" s="194"/>
      <c r="H364" s="73"/>
      <c r="J364" s="69"/>
      <c r="L364" s="73"/>
    </row>
    <row r="365" spans="1:12" ht="26.4">
      <c r="A365" s="181"/>
      <c r="B365" s="76" t="s">
        <v>1056</v>
      </c>
      <c r="C365" s="77" t="s">
        <v>1879</v>
      </c>
      <c r="D365" s="72">
        <f>+'Alimentazione CE Costi'!H417</f>
        <v>34898.89</v>
      </c>
      <c r="E365" s="72">
        <f>+'Alimentazione CE Costi'!I417</f>
        <v>118990</v>
      </c>
      <c r="F365" s="207"/>
      <c r="G365" s="194"/>
      <c r="H365" s="73"/>
      <c r="J365" s="69"/>
      <c r="L365" s="73"/>
    </row>
    <row r="366" spans="1:12" ht="26.4">
      <c r="A366" s="181"/>
      <c r="B366" s="116" t="s">
        <v>1880</v>
      </c>
      <c r="C366" s="117" t="s">
        <v>1881</v>
      </c>
      <c r="D366" s="118">
        <f>SUM(D367:D373)</f>
        <v>1889413.9100000001</v>
      </c>
      <c r="E366" s="118">
        <f>SUM(E367:E373)</f>
        <v>1683760</v>
      </c>
      <c r="F366" s="207" t="s">
        <v>2141</v>
      </c>
      <c r="G366" s="194"/>
      <c r="H366" s="73"/>
      <c r="J366" s="69"/>
      <c r="L366" s="73"/>
    </row>
    <row r="367" spans="1:12" ht="26.4">
      <c r="A367" s="181"/>
      <c r="B367" s="74" t="s">
        <v>1059</v>
      </c>
      <c r="C367" s="75" t="s">
        <v>1882</v>
      </c>
      <c r="D367" s="72">
        <f>+'Alimentazione CE Costi'!H419</f>
        <v>50423.57</v>
      </c>
      <c r="E367" s="72">
        <f>+'Alimentazione CE Costi'!I419</f>
        <v>30000</v>
      </c>
      <c r="F367" s="207"/>
      <c r="G367" s="194"/>
      <c r="H367" s="73"/>
      <c r="J367" s="69"/>
      <c r="L367" s="73"/>
    </row>
    <row r="368" spans="1:12" ht="26.4">
      <c r="A368" s="185"/>
      <c r="B368" s="74" t="s">
        <v>1061</v>
      </c>
      <c r="C368" s="75" t="s">
        <v>1883</v>
      </c>
      <c r="D368" s="72">
        <f>+'Alimentazione CE Costi'!H421+'Alimentazione CE Costi'!H422+'Alimentazione CE Costi'!H423</f>
        <v>314615.84000000003</v>
      </c>
      <c r="E368" s="72">
        <f>+'Alimentazione CE Costi'!I421+'Alimentazione CE Costi'!I422+'Alimentazione CE Costi'!I423</f>
        <v>233548</v>
      </c>
      <c r="F368" s="207"/>
      <c r="G368" s="194"/>
      <c r="H368" s="73"/>
      <c r="J368" s="69"/>
      <c r="L368" s="73"/>
    </row>
    <row r="369" spans="1:12" ht="39.6">
      <c r="A369" s="185"/>
      <c r="B369" s="74" t="s">
        <v>1066</v>
      </c>
      <c r="C369" s="75" t="s">
        <v>1884</v>
      </c>
      <c r="D369" s="72">
        <f>+'Alimentazione CE Costi'!H424</f>
        <v>1377636.86</v>
      </c>
      <c r="E369" s="72">
        <f>+'Alimentazione CE Costi'!I424</f>
        <v>1228128</v>
      </c>
      <c r="F369" s="207"/>
      <c r="G369" s="194"/>
      <c r="H369" s="73"/>
      <c r="J369" s="69"/>
      <c r="L369" s="73"/>
    </row>
    <row r="370" spans="1:12" ht="26.4">
      <c r="A370" s="185"/>
      <c r="B370" s="74" t="s">
        <v>1068</v>
      </c>
      <c r="C370" s="75" t="s">
        <v>1885</v>
      </c>
      <c r="D370" s="72">
        <f>+'Alimentazione CE Costi'!H425</f>
        <v>0</v>
      </c>
      <c r="E370" s="72">
        <f>+'Alimentazione CE Costi'!I425</f>
        <v>0</v>
      </c>
      <c r="F370" s="207"/>
      <c r="G370" s="194"/>
      <c r="H370" s="73"/>
      <c r="J370" s="69"/>
      <c r="L370" s="73"/>
    </row>
    <row r="371" spans="1:12" ht="26.4">
      <c r="A371" s="185"/>
      <c r="B371" s="74" t="s">
        <v>1070</v>
      </c>
      <c r="C371" s="75" t="s">
        <v>1886</v>
      </c>
      <c r="D371" s="72">
        <f>+'Alimentazione CE Costi'!H426</f>
        <v>1894.3</v>
      </c>
      <c r="E371" s="72">
        <f>+'Alimentazione CE Costi'!I426</f>
        <v>5492</v>
      </c>
      <c r="F371" s="207"/>
      <c r="G371" s="194"/>
      <c r="H371" s="73"/>
      <c r="J371" s="69"/>
      <c r="L371" s="73"/>
    </row>
    <row r="372" spans="1:12" ht="26.4">
      <c r="A372" s="185"/>
      <c r="B372" s="74" t="s">
        <v>1072</v>
      </c>
      <c r="C372" s="75" t="s">
        <v>1887</v>
      </c>
      <c r="D372" s="72">
        <f>+'Alimentazione CE Costi'!H428+'Alimentazione CE Costi'!H429+'Alimentazione CE Costi'!H430</f>
        <v>144843.34</v>
      </c>
      <c r="E372" s="72">
        <f>+'Alimentazione CE Costi'!I428+'Alimentazione CE Costi'!I429+'Alimentazione CE Costi'!I430</f>
        <v>186592</v>
      </c>
      <c r="F372" s="207"/>
      <c r="G372" s="194"/>
      <c r="H372" s="73"/>
      <c r="J372" s="69"/>
      <c r="L372" s="73"/>
    </row>
    <row r="373" spans="1:12" ht="39.6">
      <c r="A373" s="190" t="s">
        <v>1545</v>
      </c>
      <c r="B373" s="74" t="s">
        <v>1076</v>
      </c>
      <c r="C373" s="75" t="s">
        <v>1888</v>
      </c>
      <c r="D373" s="72">
        <f>+'Alimentazione CE Costi'!H431</f>
        <v>0</v>
      </c>
      <c r="E373" s="72">
        <f>+'Alimentazione CE Costi'!I431</f>
        <v>0</v>
      </c>
      <c r="F373" s="207"/>
      <c r="G373" s="194"/>
      <c r="H373" s="73"/>
      <c r="J373" s="69"/>
      <c r="L373" s="73"/>
    </row>
    <row r="374" spans="1:12" ht="18">
      <c r="A374" s="181"/>
      <c r="B374" s="116" t="s">
        <v>1077</v>
      </c>
      <c r="C374" s="117" t="s">
        <v>1889</v>
      </c>
      <c r="D374" s="118">
        <f>+D375+D376+D379+D382+D383</f>
        <v>653353.59000000008</v>
      </c>
      <c r="E374" s="118">
        <f>+E375+E376+E379+E382+E383</f>
        <v>300970</v>
      </c>
      <c r="F374" s="207" t="s">
        <v>2141</v>
      </c>
      <c r="G374" s="194"/>
      <c r="H374" s="73"/>
      <c r="J374" s="69"/>
      <c r="L374" s="73"/>
    </row>
    <row r="375" spans="1:12" ht="18">
      <c r="A375" s="181"/>
      <c r="B375" s="74" t="s">
        <v>1079</v>
      </c>
      <c r="C375" s="75" t="s">
        <v>1890</v>
      </c>
      <c r="D375" s="72">
        <f>+'Alimentazione CE Costi'!H434+'Alimentazione CE Costi'!H435</f>
        <v>30746.16</v>
      </c>
      <c r="E375" s="72">
        <f>+'Alimentazione CE Costi'!I434+'Alimentazione CE Costi'!I435</f>
        <v>30517</v>
      </c>
      <c r="F375" s="207"/>
      <c r="G375" s="194"/>
      <c r="H375" s="73"/>
      <c r="J375" s="69"/>
      <c r="L375" s="73"/>
    </row>
    <row r="376" spans="1:12" ht="18">
      <c r="A376" s="181"/>
      <c r="B376" s="111" t="s">
        <v>1083</v>
      </c>
      <c r="C376" s="112" t="s">
        <v>1891</v>
      </c>
      <c r="D376" s="110">
        <f>+D377+D378</f>
        <v>620223.67000000004</v>
      </c>
      <c r="E376" s="110">
        <f>+E377+E378</f>
        <v>270453</v>
      </c>
      <c r="F376" s="207" t="s">
        <v>2141</v>
      </c>
      <c r="G376" s="194"/>
      <c r="H376" s="73"/>
      <c r="J376" s="69"/>
      <c r="L376" s="73"/>
    </row>
    <row r="377" spans="1:12" ht="18">
      <c r="A377" s="181"/>
      <c r="B377" s="76" t="s">
        <v>1085</v>
      </c>
      <c r="C377" s="77" t="s">
        <v>1892</v>
      </c>
      <c r="D377" s="72">
        <f>+'Alimentazione CE Costi'!H437</f>
        <v>430798.09</v>
      </c>
      <c r="E377" s="72">
        <f>+'Alimentazione CE Costi'!I437</f>
        <v>244316</v>
      </c>
      <c r="F377" s="207"/>
      <c r="G377" s="194"/>
      <c r="H377" s="73"/>
      <c r="J377" s="69"/>
      <c r="L377" s="73"/>
    </row>
    <row r="378" spans="1:12" ht="26.4">
      <c r="A378" s="181"/>
      <c r="B378" s="76" t="s">
        <v>1087</v>
      </c>
      <c r="C378" s="77" t="s">
        <v>1893</v>
      </c>
      <c r="D378" s="72">
        <f>+ROUND(SUM('Alimentazione CE Costi'!H439:H442),2)</f>
        <v>189425.58</v>
      </c>
      <c r="E378" s="72">
        <f>+ROUND(SUM('Alimentazione CE Costi'!I439:I442),2)</f>
        <v>26137</v>
      </c>
      <c r="F378" s="207"/>
      <c r="G378" s="194"/>
      <c r="H378" s="73"/>
      <c r="J378" s="69"/>
      <c r="L378" s="73"/>
    </row>
    <row r="379" spans="1:12" ht="18">
      <c r="A379" s="181"/>
      <c r="B379" s="111" t="s">
        <v>1093</v>
      </c>
      <c r="C379" s="112" t="s">
        <v>1894</v>
      </c>
      <c r="D379" s="110">
        <f>+D380+D381</f>
        <v>2383.7600000000002</v>
      </c>
      <c r="E379" s="110">
        <f>+E380+E381</f>
        <v>0</v>
      </c>
      <c r="F379" s="207" t="s">
        <v>2141</v>
      </c>
      <c r="G379" s="194"/>
      <c r="H379" s="73"/>
      <c r="J379" s="69"/>
      <c r="L379" s="73"/>
    </row>
    <row r="380" spans="1:12" ht="18">
      <c r="A380" s="181"/>
      <c r="B380" s="76" t="s">
        <v>1095</v>
      </c>
      <c r="C380" s="77" t="s">
        <v>1895</v>
      </c>
      <c r="D380" s="72">
        <f>+'Alimentazione CE Costi'!H445+'Alimentazione CE Costi'!H446</f>
        <v>2383.7600000000002</v>
      </c>
      <c r="E380" s="72">
        <f>+'Alimentazione CE Costi'!I445+'Alimentazione CE Costi'!I446</f>
        <v>0</v>
      </c>
      <c r="F380" s="207"/>
      <c r="G380" s="194"/>
      <c r="H380" s="73"/>
      <c r="J380" s="69"/>
      <c r="L380" s="73"/>
    </row>
    <row r="381" spans="1:12" ht="26.4">
      <c r="A381" s="181"/>
      <c r="B381" s="76" t="s">
        <v>1099</v>
      </c>
      <c r="C381" s="77" t="s">
        <v>1896</v>
      </c>
      <c r="D381" s="72">
        <f>+'Alimentazione CE Costi'!H448+'Alimentazione CE Costi'!H449</f>
        <v>0</v>
      </c>
      <c r="E381" s="72">
        <f>+'Alimentazione CE Costi'!I448+'Alimentazione CE Costi'!I449</f>
        <v>0</v>
      </c>
      <c r="F381" s="207"/>
      <c r="G381" s="194"/>
      <c r="H381" s="73"/>
      <c r="J381" s="69"/>
      <c r="L381" s="73"/>
    </row>
    <row r="382" spans="1:12" ht="18">
      <c r="A382" s="183"/>
      <c r="B382" s="74" t="s">
        <v>1101</v>
      </c>
      <c r="C382" s="75" t="s">
        <v>1897</v>
      </c>
      <c r="D382" s="72">
        <f>+'Alimentazione CE Costi'!H450</f>
        <v>0</v>
      </c>
      <c r="E382" s="72">
        <f>+'Alimentazione CE Costi'!I450</f>
        <v>0</v>
      </c>
      <c r="F382" s="205"/>
      <c r="G382" s="194"/>
      <c r="H382" s="73"/>
      <c r="J382" s="69"/>
      <c r="L382" s="73"/>
    </row>
    <row r="383" spans="1:12" ht="39.6">
      <c r="A383" s="191" t="s">
        <v>1545</v>
      </c>
      <c r="B383" s="74" t="s">
        <v>1103</v>
      </c>
      <c r="C383" s="75" t="s">
        <v>1898</v>
      </c>
      <c r="D383" s="72">
        <f>+'Alimentazione CE Costi'!H451</f>
        <v>0</v>
      </c>
      <c r="E383" s="72">
        <f>+'Alimentazione CE Costi'!I451</f>
        <v>0</v>
      </c>
      <c r="F383" s="205"/>
      <c r="G383" s="194"/>
      <c r="H383" s="73"/>
      <c r="J383" s="69"/>
      <c r="L383" s="73"/>
    </row>
    <row r="384" spans="1:12" ht="18">
      <c r="A384" s="181"/>
      <c r="B384" s="138" t="s">
        <v>1899</v>
      </c>
      <c r="C384" s="139" t="s">
        <v>1900</v>
      </c>
      <c r="D384" s="140">
        <f>+D385+D399+D408+D417</f>
        <v>38942493.719999999</v>
      </c>
      <c r="E384" s="140">
        <f>+E385+E399+E408+E417</f>
        <v>36730245</v>
      </c>
      <c r="F384" s="207" t="s">
        <v>2141</v>
      </c>
      <c r="G384" s="194"/>
      <c r="H384" s="73"/>
      <c r="J384" s="69"/>
      <c r="L384" s="73"/>
    </row>
    <row r="385" spans="1:12" ht="18">
      <c r="A385" s="181"/>
      <c r="B385" s="116" t="s">
        <v>1105</v>
      </c>
      <c r="C385" s="117" t="s">
        <v>1901</v>
      </c>
      <c r="D385" s="118">
        <f>+D386+D395</f>
        <v>31637147.060000002</v>
      </c>
      <c r="E385" s="118">
        <f>+E386+E395</f>
        <v>29550337</v>
      </c>
      <c r="F385" s="207" t="s">
        <v>2141</v>
      </c>
      <c r="G385" s="194"/>
      <c r="H385" s="73"/>
      <c r="J385" s="69"/>
      <c r="L385" s="73"/>
    </row>
    <row r="386" spans="1:12" ht="26.4">
      <c r="A386" s="181"/>
      <c r="B386" s="111" t="s">
        <v>1107</v>
      </c>
      <c r="C386" s="112" t="s">
        <v>1902</v>
      </c>
      <c r="D386" s="110">
        <f>+D387+D391</f>
        <v>15692508.840000002</v>
      </c>
      <c r="E386" s="110">
        <f>+E387+E391</f>
        <v>15131788</v>
      </c>
      <c r="F386" s="207" t="s">
        <v>2141</v>
      </c>
      <c r="G386" s="194"/>
      <c r="H386" s="73"/>
      <c r="J386" s="69"/>
      <c r="L386" s="73"/>
    </row>
    <row r="387" spans="1:12" ht="26.4">
      <c r="A387" s="181"/>
      <c r="B387" s="122" t="s">
        <v>1109</v>
      </c>
      <c r="C387" s="123" t="s">
        <v>1903</v>
      </c>
      <c r="D387" s="124">
        <f>SUM(D388:D390)</f>
        <v>14013311.040000001</v>
      </c>
      <c r="E387" s="124">
        <f>SUM(E388:E390)</f>
        <v>13555862</v>
      </c>
      <c r="F387" s="207" t="s">
        <v>2141</v>
      </c>
      <c r="G387" s="194"/>
      <c r="H387" s="73"/>
      <c r="J387" s="69"/>
      <c r="L387" s="73"/>
    </row>
    <row r="388" spans="1:12" ht="26.4">
      <c r="A388" s="185"/>
      <c r="B388" s="76" t="s">
        <v>1111</v>
      </c>
      <c r="C388" s="77" t="s">
        <v>1904</v>
      </c>
      <c r="D388" s="72">
        <f>+ROUND(SUM('Alimentazione CE Costi'!H456:H471),2)</f>
        <v>13138319.15</v>
      </c>
      <c r="E388" s="72">
        <f>+ROUND(SUM('Alimentazione CE Costi'!I456:I471),2)</f>
        <v>12351694</v>
      </c>
      <c r="F388" s="207"/>
      <c r="G388" s="194"/>
      <c r="H388" s="73"/>
      <c r="J388" s="69"/>
      <c r="L388" s="73"/>
    </row>
    <row r="389" spans="1:12" ht="26.4">
      <c r="A389" s="185"/>
      <c r="B389" s="76" t="s">
        <v>1129</v>
      </c>
      <c r="C389" s="77" t="s">
        <v>1905</v>
      </c>
      <c r="D389" s="72">
        <f>+ROUND(SUM('Alimentazione CE Costi'!H473:H488),2)</f>
        <v>874991.89</v>
      </c>
      <c r="E389" s="72">
        <f>+ROUND(SUM('Alimentazione CE Costi'!I473:I488),2)</f>
        <v>1204168</v>
      </c>
      <c r="F389" s="207"/>
      <c r="G389" s="194"/>
      <c r="H389" s="73"/>
      <c r="J389" s="69"/>
      <c r="L389" s="73"/>
    </row>
    <row r="390" spans="1:12" ht="26.4">
      <c r="A390" s="185"/>
      <c r="B390" s="76" t="s">
        <v>1131</v>
      </c>
      <c r="C390" s="77" t="s">
        <v>1906</v>
      </c>
      <c r="D390" s="72">
        <f>+'Alimentazione CE Costi'!H489</f>
        <v>0</v>
      </c>
      <c r="E390" s="72">
        <f>+'Alimentazione CE Costi'!I489</f>
        <v>0</v>
      </c>
      <c r="F390" s="207"/>
      <c r="G390" s="194"/>
      <c r="H390" s="73"/>
      <c r="J390" s="69"/>
      <c r="L390" s="73"/>
    </row>
    <row r="391" spans="1:12" ht="26.4">
      <c r="A391" s="181"/>
      <c r="B391" s="122" t="s">
        <v>1133</v>
      </c>
      <c r="C391" s="123" t="s">
        <v>1907</v>
      </c>
      <c r="D391" s="124">
        <f>SUM(D392:D394)</f>
        <v>1679197.8</v>
      </c>
      <c r="E391" s="124">
        <f>SUM(E392:E394)</f>
        <v>1575926</v>
      </c>
      <c r="F391" s="207" t="s">
        <v>2141</v>
      </c>
      <c r="G391" s="194"/>
      <c r="H391" s="73"/>
      <c r="J391" s="69"/>
      <c r="L391" s="73"/>
    </row>
    <row r="392" spans="1:12" ht="26.4">
      <c r="A392" s="185"/>
      <c r="B392" s="76" t="s">
        <v>1135</v>
      </c>
      <c r="C392" s="77" t="s">
        <v>1908</v>
      </c>
      <c r="D392" s="72">
        <f>+ROUND(SUM('Alimentazione CE Costi'!H492:H500),2)</f>
        <v>1491602.95</v>
      </c>
      <c r="E392" s="72">
        <f>+ROUND(SUM('Alimentazione CE Costi'!I492:I500),2)</f>
        <v>1317858</v>
      </c>
      <c r="F392" s="207"/>
      <c r="G392" s="194"/>
      <c r="H392" s="73"/>
      <c r="J392" s="69"/>
      <c r="L392" s="73"/>
    </row>
    <row r="393" spans="1:12" ht="26.4">
      <c r="A393" s="185"/>
      <c r="B393" s="76" t="s">
        <v>1142</v>
      </c>
      <c r="C393" s="77" t="s">
        <v>1909</v>
      </c>
      <c r="D393" s="72">
        <f>+ROUND(SUM('Alimentazione CE Costi'!H502:H510),2)</f>
        <v>187594.85</v>
      </c>
      <c r="E393" s="72">
        <f>+ROUND(SUM('Alimentazione CE Costi'!I502:I510),2)</f>
        <v>258068</v>
      </c>
      <c r="F393" s="207"/>
      <c r="G393" s="194"/>
      <c r="H393" s="73"/>
      <c r="J393" s="69"/>
      <c r="L393" s="73"/>
    </row>
    <row r="394" spans="1:12" ht="26.4">
      <c r="A394" s="185"/>
      <c r="B394" s="76" t="s">
        <v>1143</v>
      </c>
      <c r="C394" s="77" t="s">
        <v>1910</v>
      </c>
      <c r="D394" s="72">
        <f>+'Alimentazione CE Costi'!H511</f>
        <v>0</v>
      </c>
      <c r="E394" s="72">
        <f>+'Alimentazione CE Costi'!I511</f>
        <v>0</v>
      </c>
      <c r="F394" s="207"/>
      <c r="G394" s="194"/>
      <c r="H394" s="73"/>
      <c r="J394" s="69"/>
      <c r="L394" s="73"/>
    </row>
    <row r="395" spans="1:12" ht="26.4">
      <c r="A395" s="181"/>
      <c r="B395" s="136" t="s">
        <v>1145</v>
      </c>
      <c r="C395" s="137" t="s">
        <v>1911</v>
      </c>
      <c r="D395" s="124">
        <f>SUM(D396:D398)</f>
        <v>15944638.219999999</v>
      </c>
      <c r="E395" s="124">
        <f>SUM(E396:E398)</f>
        <v>14418549</v>
      </c>
      <c r="F395" s="207" t="s">
        <v>2141</v>
      </c>
      <c r="G395" s="194"/>
      <c r="H395" s="73"/>
      <c r="J395" s="69"/>
      <c r="L395" s="73"/>
    </row>
    <row r="396" spans="1:12" ht="26.4">
      <c r="A396" s="185"/>
      <c r="B396" s="76" t="s">
        <v>1147</v>
      </c>
      <c r="C396" s="77" t="s">
        <v>1912</v>
      </c>
      <c r="D396" s="72">
        <f>+ROUND(SUM('Alimentazione CE Costi'!H514:H523),2)</f>
        <v>14475479.09</v>
      </c>
      <c r="E396" s="72">
        <f>+ROUND(SUM('Alimentazione CE Costi'!I514:I523),2)</f>
        <v>13684636</v>
      </c>
      <c r="F396" s="207"/>
      <c r="G396" s="194"/>
      <c r="H396" s="73"/>
      <c r="J396" s="69"/>
      <c r="L396" s="73"/>
    </row>
    <row r="397" spans="1:12" ht="26.4">
      <c r="A397" s="185"/>
      <c r="B397" s="76" t="s">
        <v>1153</v>
      </c>
      <c r="C397" s="77" t="s">
        <v>1913</v>
      </c>
      <c r="D397" s="72">
        <f>+ROUND(SUM('Alimentazione CE Costi'!H525:H534),2)</f>
        <v>1469159.13</v>
      </c>
      <c r="E397" s="72">
        <f>+ROUND(SUM('Alimentazione CE Costi'!I525:I534),2)</f>
        <v>733913</v>
      </c>
      <c r="F397" s="207"/>
      <c r="G397" s="194"/>
      <c r="H397" s="73"/>
      <c r="J397" s="69"/>
      <c r="L397" s="73"/>
    </row>
    <row r="398" spans="1:12" ht="26.4">
      <c r="A398" s="185"/>
      <c r="B398" s="76" t="s">
        <v>1155</v>
      </c>
      <c r="C398" s="77" t="s">
        <v>1914</v>
      </c>
      <c r="D398" s="72">
        <f>+'Alimentazione CE Costi'!H535</f>
        <v>0</v>
      </c>
      <c r="E398" s="72">
        <f>+'Alimentazione CE Costi'!I535</f>
        <v>0</v>
      </c>
      <c r="F398" s="207"/>
      <c r="G398" s="194"/>
      <c r="H398" s="73"/>
      <c r="J398" s="69"/>
      <c r="L398" s="73"/>
    </row>
    <row r="399" spans="1:12" ht="26.4">
      <c r="A399" s="181"/>
      <c r="B399" s="116" t="s">
        <v>1157</v>
      </c>
      <c r="C399" s="117" t="s">
        <v>1915</v>
      </c>
      <c r="D399" s="118">
        <f>+D400+D404</f>
        <v>162770.89000000001</v>
      </c>
      <c r="E399" s="118">
        <f>+E400+E404</f>
        <v>144868</v>
      </c>
      <c r="F399" s="207" t="s">
        <v>2141</v>
      </c>
      <c r="G399" s="194"/>
      <c r="H399" s="73"/>
      <c r="J399" s="69"/>
      <c r="L399" s="73"/>
    </row>
    <row r="400" spans="1:12" ht="26.4">
      <c r="A400" s="181"/>
      <c r="B400" s="111" t="s">
        <v>1159</v>
      </c>
      <c r="C400" s="112" t="s">
        <v>1916</v>
      </c>
      <c r="D400" s="110">
        <f>SUM(D401:D403)</f>
        <v>162770.89000000001</v>
      </c>
      <c r="E400" s="110">
        <f>SUM(E401:E403)</f>
        <v>144868</v>
      </c>
      <c r="F400" s="207" t="s">
        <v>2141</v>
      </c>
      <c r="G400" s="194"/>
      <c r="H400" s="73"/>
      <c r="J400" s="69"/>
      <c r="L400" s="73"/>
    </row>
    <row r="401" spans="1:12" ht="26.4">
      <c r="A401" s="185"/>
      <c r="B401" s="76" t="s">
        <v>1161</v>
      </c>
      <c r="C401" s="77" t="s">
        <v>1917</v>
      </c>
      <c r="D401" s="72">
        <f>+ROUND(SUM('Alimentazione CE Costi'!H539:H547),2)</f>
        <v>154958.16</v>
      </c>
      <c r="E401" s="72">
        <f>+ROUND(SUM('Alimentazione CE Costi'!I539:I547),2)</f>
        <v>85362</v>
      </c>
      <c r="F401" s="207"/>
      <c r="G401" s="194"/>
      <c r="H401" s="73"/>
      <c r="J401" s="69"/>
      <c r="L401" s="73"/>
    </row>
    <row r="402" spans="1:12" ht="26.4">
      <c r="A402" s="185"/>
      <c r="B402" s="76" t="s">
        <v>1164</v>
      </c>
      <c r="C402" s="77" t="s">
        <v>1918</v>
      </c>
      <c r="D402" s="72">
        <f>+ROUND(SUM('Alimentazione CE Costi'!H549:H557),2)</f>
        <v>7812.73</v>
      </c>
      <c r="E402" s="72">
        <f>+ROUND(SUM('Alimentazione CE Costi'!I549:I557),2)</f>
        <v>59506</v>
      </c>
      <c r="F402" s="207"/>
      <c r="G402" s="194"/>
      <c r="H402" s="73"/>
      <c r="J402" s="69"/>
      <c r="L402" s="73"/>
    </row>
    <row r="403" spans="1:12" ht="26.4">
      <c r="A403" s="185"/>
      <c r="B403" s="76" t="s">
        <v>1166</v>
      </c>
      <c r="C403" s="77" t="s">
        <v>1919</v>
      </c>
      <c r="D403" s="72">
        <f>+'Alimentazione CE Costi'!H558</f>
        <v>0</v>
      </c>
      <c r="E403" s="72">
        <f>+'Alimentazione CE Costi'!I558</f>
        <v>0</v>
      </c>
      <c r="F403" s="207"/>
      <c r="G403" s="194"/>
      <c r="H403" s="73"/>
      <c r="J403" s="69"/>
      <c r="L403" s="73"/>
    </row>
    <row r="404" spans="1:12" ht="26.4">
      <c r="A404" s="181"/>
      <c r="B404" s="111" t="s">
        <v>1168</v>
      </c>
      <c r="C404" s="112" t="s">
        <v>1920</v>
      </c>
      <c r="D404" s="110">
        <f>SUM(D405:D407)</f>
        <v>0</v>
      </c>
      <c r="E404" s="110">
        <f>SUM(E405:E407)</f>
        <v>0</v>
      </c>
      <c r="F404" s="207" t="s">
        <v>2141</v>
      </c>
      <c r="G404" s="194"/>
      <c r="H404" s="73"/>
      <c r="J404" s="69"/>
      <c r="L404" s="73"/>
    </row>
    <row r="405" spans="1:12" ht="26.4">
      <c r="A405" s="185"/>
      <c r="B405" s="76" t="s">
        <v>1170</v>
      </c>
      <c r="C405" s="77" t="s">
        <v>1921</v>
      </c>
      <c r="D405" s="72">
        <f>+ROUND(SUM('Alimentazione CE Costi'!H561:H570),2)</f>
        <v>0</v>
      </c>
      <c r="E405" s="72">
        <f>+ROUND(SUM('Alimentazione CE Costi'!I561:I570),2)</f>
        <v>0</v>
      </c>
      <c r="F405" s="207"/>
      <c r="G405" s="194"/>
      <c r="H405" s="73"/>
      <c r="J405" s="69"/>
      <c r="L405" s="73"/>
    </row>
    <row r="406" spans="1:12" ht="26.4">
      <c r="A406" s="185"/>
      <c r="B406" s="76" t="s">
        <v>1172</v>
      </c>
      <c r="C406" s="77" t="s">
        <v>1922</v>
      </c>
      <c r="D406" s="72">
        <f>+ROUND(SUM('Alimentazione CE Costi'!H572:H581),2)</f>
        <v>0</v>
      </c>
      <c r="E406" s="72">
        <f>+ROUND(SUM('Alimentazione CE Costi'!I572:I581),2)</f>
        <v>0</v>
      </c>
      <c r="F406" s="207"/>
      <c r="G406" s="194"/>
      <c r="H406" s="73"/>
      <c r="J406" s="69"/>
      <c r="L406" s="73"/>
    </row>
    <row r="407" spans="1:12" ht="26.4">
      <c r="A407" s="185"/>
      <c r="B407" s="76" t="s">
        <v>1174</v>
      </c>
      <c r="C407" s="77" t="s">
        <v>1923</v>
      </c>
      <c r="D407" s="72">
        <f>+'Alimentazione CE Costi'!H582</f>
        <v>0</v>
      </c>
      <c r="E407" s="72">
        <f>+'Alimentazione CE Costi'!I582</f>
        <v>0</v>
      </c>
      <c r="F407" s="207"/>
      <c r="G407" s="194"/>
      <c r="H407" s="73"/>
      <c r="J407" s="69"/>
      <c r="L407" s="73"/>
    </row>
    <row r="408" spans="1:12" ht="18">
      <c r="A408" s="181"/>
      <c r="B408" s="116" t="s">
        <v>1176</v>
      </c>
      <c r="C408" s="117" t="s">
        <v>1924</v>
      </c>
      <c r="D408" s="118">
        <f>+D409+D413</f>
        <v>4217757.1800000006</v>
      </c>
      <c r="E408" s="118">
        <f>+E409+E413</f>
        <v>4258726</v>
      </c>
      <c r="F408" s="207" t="s">
        <v>2141</v>
      </c>
      <c r="G408" s="194"/>
      <c r="H408" s="73"/>
      <c r="J408" s="69"/>
      <c r="L408" s="73"/>
    </row>
    <row r="409" spans="1:12" ht="26.4">
      <c r="A409" s="181"/>
      <c r="B409" s="111" t="s">
        <v>1178</v>
      </c>
      <c r="C409" s="112" t="s">
        <v>1925</v>
      </c>
      <c r="D409" s="110">
        <f>SUM(D410:D412)</f>
        <v>208184.59000000003</v>
      </c>
      <c r="E409" s="110">
        <f>SUM(E410:E412)</f>
        <v>195219</v>
      </c>
      <c r="F409" s="207" t="s">
        <v>2141</v>
      </c>
      <c r="G409" s="194"/>
      <c r="H409" s="73"/>
      <c r="J409" s="69"/>
      <c r="L409" s="73"/>
    </row>
    <row r="410" spans="1:12" ht="26.4">
      <c r="A410" s="185"/>
      <c r="B410" s="76" t="s">
        <v>1180</v>
      </c>
      <c r="C410" s="77" t="s">
        <v>1926</v>
      </c>
      <c r="D410" s="72">
        <f>+ROUND(SUM('Alimentazione CE Costi'!H586:H594),2)</f>
        <v>81268.27</v>
      </c>
      <c r="E410" s="72">
        <f>+ROUND(SUM('Alimentazione CE Costi'!I586:I594),2)</f>
        <v>79476</v>
      </c>
      <c r="F410" s="207"/>
      <c r="G410" s="194"/>
      <c r="H410" s="73"/>
      <c r="J410" s="69"/>
      <c r="L410" s="73"/>
    </row>
    <row r="411" spans="1:12" ht="26.4">
      <c r="A411" s="185"/>
      <c r="B411" s="76" t="s">
        <v>1183</v>
      </c>
      <c r="C411" s="77" t="s">
        <v>1927</v>
      </c>
      <c r="D411" s="72">
        <f>+ROUND(SUM('Alimentazione CE Costi'!H596:H604),2)</f>
        <v>126916.32</v>
      </c>
      <c r="E411" s="72">
        <f>+ROUND(SUM('Alimentazione CE Costi'!I596:I604),2)</f>
        <v>115743</v>
      </c>
      <c r="F411" s="207"/>
      <c r="G411" s="194"/>
      <c r="H411" s="73"/>
      <c r="J411" s="69"/>
      <c r="L411" s="73"/>
    </row>
    <row r="412" spans="1:12" ht="26.4">
      <c r="A412" s="185"/>
      <c r="B412" s="76" t="s">
        <v>1185</v>
      </c>
      <c r="C412" s="77" t="s">
        <v>1928</v>
      </c>
      <c r="D412" s="72">
        <f>+'Alimentazione CE Costi'!H605</f>
        <v>0</v>
      </c>
      <c r="E412" s="72">
        <f>+'Alimentazione CE Costi'!I605</f>
        <v>0</v>
      </c>
      <c r="F412" s="207"/>
      <c r="G412" s="194"/>
      <c r="H412" s="73"/>
      <c r="J412" s="69"/>
      <c r="L412" s="73"/>
    </row>
    <row r="413" spans="1:12" ht="26.4">
      <c r="A413" s="181"/>
      <c r="B413" s="111" t="s">
        <v>1187</v>
      </c>
      <c r="C413" s="112" t="s">
        <v>1929</v>
      </c>
      <c r="D413" s="110">
        <f>SUM(D414:D416)</f>
        <v>4009572.5900000003</v>
      </c>
      <c r="E413" s="110">
        <f>SUM(E414:E416)</f>
        <v>4063507</v>
      </c>
      <c r="F413" s="207" t="s">
        <v>2141</v>
      </c>
      <c r="G413" s="194"/>
      <c r="H413" s="73"/>
      <c r="J413" s="69"/>
      <c r="L413" s="73"/>
    </row>
    <row r="414" spans="1:12" ht="26.4">
      <c r="A414" s="185"/>
      <c r="B414" s="76" t="s">
        <v>1189</v>
      </c>
      <c r="C414" s="77" t="s">
        <v>1930</v>
      </c>
      <c r="D414" s="72">
        <f>+ROUND(SUM('Alimentazione CE Costi'!H608:H617),2)</f>
        <v>3946278.41</v>
      </c>
      <c r="E414" s="72">
        <f>+ROUND(SUM('Alimentazione CE Costi'!I608:I617),2)</f>
        <v>3954529</v>
      </c>
      <c r="F414" s="207"/>
      <c r="G414" s="194"/>
      <c r="H414" s="73"/>
      <c r="J414" s="69"/>
      <c r="L414" s="73"/>
    </row>
    <row r="415" spans="1:12" ht="26.4">
      <c r="A415" s="185"/>
      <c r="B415" s="76" t="s">
        <v>1191</v>
      </c>
      <c r="C415" s="77" t="s">
        <v>1931</v>
      </c>
      <c r="D415" s="72">
        <f>+ROUND(SUM('Alimentazione CE Costi'!H619:H628),2)</f>
        <v>63294.18</v>
      </c>
      <c r="E415" s="72">
        <f>+ROUND(SUM('Alimentazione CE Costi'!I619:I628),2)</f>
        <v>108978</v>
      </c>
      <c r="F415" s="207"/>
      <c r="G415" s="194"/>
      <c r="H415" s="73"/>
      <c r="J415" s="69"/>
      <c r="L415" s="73"/>
    </row>
    <row r="416" spans="1:12" ht="26.4">
      <c r="A416" s="185"/>
      <c r="B416" s="76" t="s">
        <v>1193</v>
      </c>
      <c r="C416" s="77" t="s">
        <v>1932</v>
      </c>
      <c r="D416" s="72">
        <f>+'Alimentazione CE Costi'!H629</f>
        <v>0</v>
      </c>
      <c r="E416" s="72">
        <f>+'Alimentazione CE Costi'!I629</f>
        <v>0</v>
      </c>
      <c r="F416" s="207"/>
      <c r="G416" s="194"/>
      <c r="H416" s="73"/>
      <c r="J416" s="69"/>
      <c r="L416" s="73"/>
    </row>
    <row r="417" spans="1:12" ht="26.4">
      <c r="A417" s="181"/>
      <c r="B417" s="116" t="s">
        <v>1195</v>
      </c>
      <c r="C417" s="117" t="s">
        <v>1933</v>
      </c>
      <c r="D417" s="118">
        <f>+D418+D422</f>
        <v>2924818.59</v>
      </c>
      <c r="E417" s="118">
        <f>+E418+E422</f>
        <v>2776314</v>
      </c>
      <c r="F417" s="207" t="s">
        <v>2141</v>
      </c>
      <c r="G417" s="194"/>
      <c r="H417" s="73"/>
      <c r="J417" s="69"/>
      <c r="L417" s="73"/>
    </row>
    <row r="418" spans="1:12" ht="26.4">
      <c r="A418" s="181"/>
      <c r="B418" s="111" t="s">
        <v>1197</v>
      </c>
      <c r="C418" s="112" t="s">
        <v>1934</v>
      </c>
      <c r="D418" s="110">
        <f>SUM(D419:D421)</f>
        <v>584772.61</v>
      </c>
      <c r="E418" s="110">
        <f>SUM(E419:E421)</f>
        <v>508335</v>
      </c>
      <c r="F418" s="207" t="s">
        <v>2141</v>
      </c>
      <c r="G418" s="194"/>
      <c r="H418" s="73"/>
      <c r="J418" s="69"/>
      <c r="L418" s="73"/>
    </row>
    <row r="419" spans="1:12" ht="39.6">
      <c r="A419" s="185"/>
      <c r="B419" s="76" t="s">
        <v>1199</v>
      </c>
      <c r="C419" s="77" t="s">
        <v>1935</v>
      </c>
      <c r="D419" s="72">
        <f>+ROUND(SUM('Alimentazione CE Costi'!H633:H641),2)</f>
        <v>350793.72</v>
      </c>
      <c r="E419" s="72">
        <f>+ROUND(SUM('Alimentazione CE Costi'!I633:I641),2)</f>
        <v>283875</v>
      </c>
      <c r="F419" s="207"/>
      <c r="G419" s="194"/>
      <c r="H419" s="73"/>
      <c r="J419" s="69"/>
      <c r="L419" s="73"/>
    </row>
    <row r="420" spans="1:12" ht="26.4">
      <c r="A420" s="185"/>
      <c r="B420" s="76" t="s">
        <v>1202</v>
      </c>
      <c r="C420" s="77" t="s">
        <v>1936</v>
      </c>
      <c r="D420" s="72">
        <f>+ROUND(SUM('Alimentazione CE Costi'!H643:H651),2)</f>
        <v>233978.89</v>
      </c>
      <c r="E420" s="72">
        <f>+ROUND(SUM('Alimentazione CE Costi'!I643:I651),2)</f>
        <v>224460</v>
      </c>
      <c r="F420" s="207"/>
      <c r="G420" s="194"/>
      <c r="H420" s="73"/>
      <c r="J420" s="69"/>
      <c r="L420" s="73"/>
    </row>
    <row r="421" spans="1:12" ht="26.4">
      <c r="A421" s="185"/>
      <c r="B421" s="76" t="s">
        <v>1204</v>
      </c>
      <c r="C421" s="77" t="s">
        <v>1937</v>
      </c>
      <c r="D421" s="72">
        <f>+'Alimentazione CE Costi'!H652</f>
        <v>0</v>
      </c>
      <c r="E421" s="72">
        <f>+'Alimentazione CE Costi'!I652</f>
        <v>0</v>
      </c>
      <c r="F421" s="207"/>
      <c r="G421" s="194"/>
      <c r="H421" s="73"/>
      <c r="J421" s="69"/>
      <c r="L421" s="73"/>
    </row>
    <row r="422" spans="1:12" ht="26.4">
      <c r="A422" s="181"/>
      <c r="B422" s="111" t="s">
        <v>1206</v>
      </c>
      <c r="C422" s="112" t="s">
        <v>1938</v>
      </c>
      <c r="D422" s="110">
        <f>SUM(D423:D425)</f>
        <v>2340045.98</v>
      </c>
      <c r="E422" s="110">
        <f>SUM(E423:E425)</f>
        <v>2267979</v>
      </c>
      <c r="F422" s="207" t="s">
        <v>2141</v>
      </c>
      <c r="G422" s="194"/>
      <c r="H422" s="73"/>
      <c r="J422" s="69"/>
      <c r="L422" s="73"/>
    </row>
    <row r="423" spans="1:12" ht="39.6">
      <c r="A423" s="185"/>
      <c r="B423" s="76" t="s">
        <v>1208</v>
      </c>
      <c r="C423" s="77" t="s">
        <v>1939</v>
      </c>
      <c r="D423" s="72">
        <f>+ROUND(SUM('Alimentazione CE Costi'!H655:H664),2)</f>
        <v>2227160.59</v>
      </c>
      <c r="E423" s="72">
        <f>+ROUND(SUM('Alimentazione CE Costi'!I655:I664),2)</f>
        <v>2200997</v>
      </c>
      <c r="F423" s="207"/>
      <c r="G423" s="194"/>
      <c r="H423" s="73"/>
      <c r="J423" s="69"/>
      <c r="L423" s="73"/>
    </row>
    <row r="424" spans="1:12" ht="26.4">
      <c r="A424" s="185"/>
      <c r="B424" s="76" t="s">
        <v>1210</v>
      </c>
      <c r="C424" s="77" t="s">
        <v>1940</v>
      </c>
      <c r="D424" s="72">
        <f>+ROUND(SUM('Alimentazione CE Costi'!H666:H675),2)</f>
        <v>112885.39</v>
      </c>
      <c r="E424" s="72">
        <f>+ROUND(SUM('Alimentazione CE Costi'!I666:I675),2)</f>
        <v>66982</v>
      </c>
      <c r="F424" s="207"/>
      <c r="G424" s="194"/>
      <c r="H424" s="73"/>
      <c r="J424" s="69"/>
      <c r="L424" s="73"/>
    </row>
    <row r="425" spans="1:12" ht="26.4">
      <c r="A425" s="185"/>
      <c r="B425" s="76" t="s">
        <v>1212</v>
      </c>
      <c r="C425" s="77" t="s">
        <v>1941</v>
      </c>
      <c r="D425" s="72">
        <f>+'Alimentazione CE Costi'!H676</f>
        <v>0</v>
      </c>
      <c r="E425" s="72">
        <f>+'Alimentazione CE Costi'!I676</f>
        <v>0</v>
      </c>
      <c r="F425" s="207"/>
      <c r="G425" s="194"/>
      <c r="H425" s="73"/>
      <c r="J425" s="69"/>
      <c r="L425" s="73"/>
    </row>
    <row r="426" spans="1:12" ht="18">
      <c r="A426" s="181"/>
      <c r="B426" s="116" t="s">
        <v>1213</v>
      </c>
      <c r="C426" s="117" t="s">
        <v>1942</v>
      </c>
      <c r="D426" s="118">
        <f>+D427+D428+D429</f>
        <v>803779.25</v>
      </c>
      <c r="E426" s="118">
        <f>+E427+E428+E429</f>
        <v>873901</v>
      </c>
      <c r="F426" s="207" t="s">
        <v>2141</v>
      </c>
      <c r="G426" s="194"/>
      <c r="H426" s="73"/>
      <c r="J426" s="69"/>
      <c r="L426" s="73"/>
    </row>
    <row r="427" spans="1:12" ht="26.4">
      <c r="A427" s="181"/>
      <c r="B427" s="74" t="s">
        <v>1215</v>
      </c>
      <c r="C427" s="75" t="s">
        <v>1943</v>
      </c>
      <c r="D427" s="82">
        <f>+ROUND(SUM('Alimentazione CE Costi'!H679:H685),2)</f>
        <v>128820.9</v>
      </c>
      <c r="E427" s="82">
        <f>+ROUND(SUM('Alimentazione CE Costi'!I679:I685),2)</f>
        <v>123460</v>
      </c>
      <c r="F427" s="207"/>
      <c r="G427" s="194"/>
      <c r="H427" s="73"/>
      <c r="J427" s="69"/>
      <c r="L427" s="73"/>
    </row>
    <row r="428" spans="1:12" ht="18">
      <c r="A428" s="181"/>
      <c r="B428" s="74" t="s">
        <v>1224</v>
      </c>
      <c r="C428" s="75" t="s">
        <v>1944</v>
      </c>
      <c r="D428" s="82">
        <f>+'Alimentazione CE Costi'!H686</f>
        <v>0</v>
      </c>
      <c r="E428" s="82">
        <f>+'Alimentazione CE Costi'!I686</f>
        <v>0</v>
      </c>
      <c r="F428" s="207"/>
      <c r="G428" s="194"/>
      <c r="H428" s="73"/>
      <c r="J428" s="69"/>
      <c r="L428" s="73"/>
    </row>
    <row r="429" spans="1:12" ht="18">
      <c r="A429" s="181"/>
      <c r="B429" s="111" t="s">
        <v>1226</v>
      </c>
      <c r="C429" s="112" t="s">
        <v>1945</v>
      </c>
      <c r="D429" s="110">
        <f>+D430+D431+D432+D433</f>
        <v>674958.35</v>
      </c>
      <c r="E429" s="110">
        <f>+E430+E431+E432+E433</f>
        <v>750441</v>
      </c>
      <c r="F429" s="207" t="s">
        <v>2141</v>
      </c>
      <c r="G429" s="194"/>
      <c r="H429" s="73"/>
      <c r="J429" s="69"/>
      <c r="L429" s="73"/>
    </row>
    <row r="430" spans="1:12" ht="39.6">
      <c r="A430" s="181"/>
      <c r="B430" s="76" t="s">
        <v>1228</v>
      </c>
      <c r="C430" s="77" t="s">
        <v>1946</v>
      </c>
      <c r="D430" s="72">
        <f>+ROUND(SUM('Alimentazione CE Costi'!H690:H700),2)</f>
        <v>674958.35</v>
      </c>
      <c r="E430" s="72">
        <f>+ROUND(SUM('Alimentazione CE Costi'!I690:I700),2)</f>
        <v>750431</v>
      </c>
      <c r="F430" s="207"/>
      <c r="G430" s="194"/>
      <c r="H430" s="73"/>
      <c r="J430" s="69"/>
      <c r="L430" s="73"/>
    </row>
    <row r="431" spans="1:12" ht="18">
      <c r="A431" s="185"/>
      <c r="B431" s="76" t="s">
        <v>1236</v>
      </c>
      <c r="C431" s="77" t="s">
        <v>1947</v>
      </c>
      <c r="D431" s="72">
        <f>+'Alimentazione CE Costi'!H702+'Alimentazione CE Costi'!H703+'Alimentazione CE Costi'!H704</f>
        <v>0</v>
      </c>
      <c r="E431" s="72">
        <f>+'Alimentazione CE Costi'!I702+'Alimentazione CE Costi'!I703+'Alimentazione CE Costi'!I704</f>
        <v>10</v>
      </c>
      <c r="F431" s="207"/>
      <c r="G431" s="194"/>
      <c r="H431" s="73"/>
      <c r="J431" s="69"/>
      <c r="L431" s="73"/>
    </row>
    <row r="432" spans="1:12" ht="26.4">
      <c r="A432" s="185" t="s">
        <v>1545</v>
      </c>
      <c r="B432" s="76" t="s">
        <v>1240</v>
      </c>
      <c r="C432" s="77" t="s">
        <v>1948</v>
      </c>
      <c r="D432" s="72">
        <f>+'Alimentazione CE Costi'!H705</f>
        <v>0</v>
      </c>
      <c r="E432" s="72">
        <f>+'Alimentazione CE Costi'!I705</f>
        <v>0</v>
      </c>
      <c r="F432" s="207"/>
      <c r="G432" s="194"/>
      <c r="H432" s="73"/>
      <c r="J432" s="69"/>
      <c r="L432" s="73"/>
    </row>
    <row r="433" spans="1:12" ht="26.4">
      <c r="A433" s="185"/>
      <c r="B433" s="76" t="s">
        <v>1242</v>
      </c>
      <c r="C433" s="77" t="s">
        <v>1949</v>
      </c>
      <c r="D433" s="72">
        <f>+'Alimentazione CE Costi'!H706</f>
        <v>0</v>
      </c>
      <c r="E433" s="72">
        <f>+'Alimentazione CE Costi'!I706</f>
        <v>0</v>
      </c>
      <c r="F433" s="207"/>
      <c r="G433" s="194"/>
      <c r="H433" s="73"/>
      <c r="J433" s="69"/>
      <c r="L433" s="73"/>
    </row>
    <row r="434" spans="1:12" ht="18">
      <c r="A434" s="181"/>
      <c r="B434" s="141" t="s">
        <v>1950</v>
      </c>
      <c r="C434" s="142" t="s">
        <v>1951</v>
      </c>
      <c r="D434" s="131">
        <f>+D435+D436</f>
        <v>2164533.2000000002</v>
      </c>
      <c r="E434" s="131">
        <f>+E435+E436</f>
        <v>1724598</v>
      </c>
      <c r="F434" s="207" t="s">
        <v>2141</v>
      </c>
      <c r="G434" s="194"/>
      <c r="H434" s="73"/>
      <c r="J434" s="69"/>
      <c r="L434" s="73"/>
    </row>
    <row r="435" spans="1:12" ht="26.4">
      <c r="A435" s="181"/>
      <c r="B435" s="70" t="s">
        <v>1244</v>
      </c>
      <c r="C435" s="71" t="s">
        <v>1952</v>
      </c>
      <c r="D435" s="72">
        <f>+ROUND(SUM('Alimentazione CE Costi'!H708:H715),2)</f>
        <v>3497.87</v>
      </c>
      <c r="E435" s="72">
        <f>+ROUND(SUM('Alimentazione CE Costi'!I708:I715),2)</f>
        <v>854</v>
      </c>
      <c r="F435" s="207"/>
      <c r="G435" s="194"/>
      <c r="H435" s="73"/>
      <c r="J435" s="69"/>
      <c r="L435" s="73"/>
    </row>
    <row r="436" spans="1:12" ht="26.4">
      <c r="A436" s="181"/>
      <c r="B436" s="116" t="s">
        <v>1254</v>
      </c>
      <c r="C436" s="117" t="s">
        <v>1953</v>
      </c>
      <c r="D436" s="118">
        <f>+D437+D440</f>
        <v>2161035.33</v>
      </c>
      <c r="E436" s="118">
        <f>+E437+E440</f>
        <v>1723744</v>
      </c>
      <c r="F436" s="207" t="s">
        <v>2141</v>
      </c>
      <c r="G436" s="194"/>
      <c r="H436" s="73"/>
      <c r="J436" s="69"/>
      <c r="L436" s="73"/>
    </row>
    <row r="437" spans="1:12" ht="18">
      <c r="A437" s="183"/>
      <c r="B437" s="111" t="s">
        <v>1256</v>
      </c>
      <c r="C437" s="112" t="s">
        <v>1954</v>
      </c>
      <c r="D437" s="110">
        <f>+D438+D439</f>
        <v>799658.63</v>
      </c>
      <c r="E437" s="110">
        <f>+E438+E439</f>
        <v>799008</v>
      </c>
      <c r="F437" s="207" t="s">
        <v>2141</v>
      </c>
      <c r="G437" s="194"/>
      <c r="H437" s="73"/>
      <c r="J437" s="69"/>
      <c r="L437" s="73"/>
    </row>
    <row r="438" spans="1:12" ht="26.4">
      <c r="A438" s="183"/>
      <c r="B438" s="76" t="s">
        <v>1258</v>
      </c>
      <c r="C438" s="77" t="s">
        <v>1955</v>
      </c>
      <c r="D438" s="72">
        <f>+'Alimentazione CE Costi'!H718</f>
        <v>47707.41</v>
      </c>
      <c r="E438" s="72">
        <f>+'Alimentazione CE Costi'!I718</f>
        <v>47707</v>
      </c>
      <c r="F438" s="205"/>
      <c r="G438" s="194"/>
      <c r="H438" s="73"/>
      <c r="J438" s="69"/>
      <c r="L438" s="73"/>
    </row>
    <row r="439" spans="1:12" ht="26.4">
      <c r="A439" s="183"/>
      <c r="B439" s="76" t="s">
        <v>1260</v>
      </c>
      <c r="C439" s="77" t="s">
        <v>1956</v>
      </c>
      <c r="D439" s="72">
        <f>+'Alimentazione CE Costi'!H719</f>
        <v>751951.22</v>
      </c>
      <c r="E439" s="72">
        <f>+'Alimentazione CE Costi'!I719</f>
        <v>751301</v>
      </c>
      <c r="F439" s="205"/>
      <c r="G439" s="194"/>
      <c r="H439" s="73"/>
      <c r="J439" s="69"/>
      <c r="L439" s="73"/>
    </row>
    <row r="440" spans="1:12" ht="26.4">
      <c r="A440" s="183"/>
      <c r="B440" s="70" t="s">
        <v>1262</v>
      </c>
      <c r="C440" s="71" t="s">
        <v>1957</v>
      </c>
      <c r="D440" s="72">
        <f>+ROUND(SUM('Alimentazione CE Costi'!H721:H725),2)</f>
        <v>1361376.7</v>
      </c>
      <c r="E440" s="72">
        <f>+ROUND(SUM('Alimentazione CE Costi'!I721:I725),2)</f>
        <v>924736</v>
      </c>
      <c r="F440" s="205"/>
      <c r="G440" s="194"/>
      <c r="H440" s="73"/>
      <c r="J440" s="69"/>
      <c r="L440" s="73"/>
    </row>
    <row r="441" spans="1:12" ht="26.4">
      <c r="A441" s="183"/>
      <c r="B441" s="116" t="s">
        <v>1269</v>
      </c>
      <c r="C441" s="117" t="s">
        <v>1958</v>
      </c>
      <c r="D441" s="118">
        <f>+D442+D443</f>
        <v>54782.96</v>
      </c>
      <c r="E441" s="118">
        <f>+E442+E443</f>
        <v>90694</v>
      </c>
      <c r="F441" s="207" t="s">
        <v>2141</v>
      </c>
      <c r="G441" s="194"/>
      <c r="H441" s="73"/>
      <c r="J441" s="69"/>
      <c r="L441" s="73"/>
    </row>
    <row r="442" spans="1:12" ht="39.6">
      <c r="A442" s="183"/>
      <c r="B442" s="74" t="s">
        <v>1271</v>
      </c>
      <c r="C442" s="75" t="s">
        <v>1959</v>
      </c>
      <c r="D442" s="82">
        <f>+ROUND(SUM('Alimentazione CE Costi'!H729:H743),2)</f>
        <v>0</v>
      </c>
      <c r="E442" s="82">
        <f>+ROUND(SUM('Alimentazione CE Costi'!I729:I743),2)</f>
        <v>0</v>
      </c>
      <c r="F442" s="205"/>
      <c r="G442" s="194"/>
      <c r="H442" s="73"/>
      <c r="J442" s="69"/>
      <c r="L442" s="73"/>
    </row>
    <row r="443" spans="1:12" ht="18">
      <c r="A443" s="183"/>
      <c r="B443" s="74" t="s">
        <v>1289</v>
      </c>
      <c r="C443" s="75" t="s">
        <v>1960</v>
      </c>
      <c r="D443" s="72">
        <f>+ROUND(SUM('Alimentazione CE Costi'!H745:H791),2)</f>
        <v>54782.96</v>
      </c>
      <c r="E443" s="72">
        <f>+ROUND(SUM('Alimentazione CE Costi'!I745:I791),2)</f>
        <v>90694</v>
      </c>
      <c r="F443" s="205"/>
      <c r="G443" s="194"/>
      <c r="H443" s="73"/>
      <c r="J443" s="69"/>
      <c r="L443" s="73"/>
    </row>
    <row r="444" spans="1:12" ht="18">
      <c r="A444" s="183"/>
      <c r="B444" s="116" t="s">
        <v>1337</v>
      </c>
      <c r="C444" s="117" t="s">
        <v>1961</v>
      </c>
      <c r="D444" s="118">
        <f>+D445+D454</f>
        <v>-31165.100000000002</v>
      </c>
      <c r="E444" s="118">
        <f>+E445+E454</f>
        <v>-52203</v>
      </c>
      <c r="F444" s="207" t="s">
        <v>2141</v>
      </c>
      <c r="G444" s="194"/>
      <c r="H444" s="73"/>
      <c r="J444" s="69"/>
      <c r="L444" s="73"/>
    </row>
    <row r="445" spans="1:12" ht="26.4">
      <c r="A445" s="183"/>
      <c r="B445" s="111" t="s">
        <v>1339</v>
      </c>
      <c r="C445" s="112" t="s">
        <v>1962</v>
      </c>
      <c r="D445" s="110">
        <f>SUM(D446:D453)</f>
        <v>-17881.730000000003</v>
      </c>
      <c r="E445" s="110">
        <f>SUM(E446:E453)</f>
        <v>-65465</v>
      </c>
      <c r="F445" s="207" t="s">
        <v>2141</v>
      </c>
      <c r="G445" s="194"/>
      <c r="H445" s="73"/>
      <c r="J445" s="69"/>
      <c r="L445" s="73"/>
    </row>
    <row r="446" spans="1:12" ht="26.4">
      <c r="A446" s="183"/>
      <c r="B446" s="76" t="s">
        <v>1340</v>
      </c>
      <c r="C446" s="77" t="s">
        <v>1963</v>
      </c>
      <c r="D446" s="72">
        <f>+'Alimentazione CE Costi'!H794</f>
        <v>42302.879999999997</v>
      </c>
      <c r="E446" s="72">
        <f>+'Alimentazione CE Costi'!I794</f>
        <v>22020</v>
      </c>
      <c r="F446" s="205"/>
      <c r="G446" s="194"/>
      <c r="H446" s="73"/>
      <c r="J446" s="69"/>
      <c r="L446" s="73"/>
    </row>
    <row r="447" spans="1:12" ht="18">
      <c r="A447" s="183"/>
      <c r="B447" s="76" t="s">
        <v>1341</v>
      </c>
      <c r="C447" s="77" t="s">
        <v>1964</v>
      </c>
      <c r="D447" s="72">
        <f>+'Alimentazione CE Costi'!H795</f>
        <v>0</v>
      </c>
      <c r="E447" s="72">
        <f>+'Alimentazione CE Costi'!I795</f>
        <v>0</v>
      </c>
      <c r="F447" s="205"/>
      <c r="G447" s="194"/>
      <c r="H447" s="73"/>
      <c r="J447" s="69"/>
      <c r="L447" s="73"/>
    </row>
    <row r="448" spans="1:12" ht="18">
      <c r="A448" s="183"/>
      <c r="B448" s="76" t="s">
        <v>1342</v>
      </c>
      <c r="C448" s="77" t="s">
        <v>1965</v>
      </c>
      <c r="D448" s="72">
        <f>+'Alimentazione CE Costi'!H796</f>
        <v>-27557.99</v>
      </c>
      <c r="E448" s="72">
        <f>+'Alimentazione CE Costi'!I796</f>
        <v>-93937</v>
      </c>
      <c r="F448" s="205"/>
      <c r="G448" s="194"/>
      <c r="H448" s="73"/>
      <c r="J448" s="69"/>
      <c r="L448" s="73"/>
    </row>
    <row r="449" spans="1:12" ht="18">
      <c r="A449" s="183"/>
      <c r="B449" s="76" t="s">
        <v>1343</v>
      </c>
      <c r="C449" s="77" t="s">
        <v>1966</v>
      </c>
      <c r="D449" s="72">
        <f>+'Alimentazione CE Costi'!H797</f>
        <v>-450.77</v>
      </c>
      <c r="E449" s="72">
        <f>+'Alimentazione CE Costi'!I797</f>
        <v>361</v>
      </c>
      <c r="F449" s="205"/>
      <c r="G449" s="194"/>
      <c r="H449" s="73"/>
      <c r="J449" s="69"/>
      <c r="L449" s="73"/>
    </row>
    <row r="450" spans="1:12" ht="26.4">
      <c r="A450" s="183"/>
      <c r="B450" s="76" t="s">
        <v>1344</v>
      </c>
      <c r="C450" s="77" t="s">
        <v>1967</v>
      </c>
      <c r="D450" s="72">
        <f>+'Alimentazione CE Costi'!H798</f>
        <v>0</v>
      </c>
      <c r="E450" s="72">
        <f>+'Alimentazione CE Costi'!I798</f>
        <v>0</v>
      </c>
      <c r="F450" s="205"/>
      <c r="G450" s="194"/>
      <c r="H450" s="73"/>
      <c r="J450" s="69"/>
      <c r="L450" s="73"/>
    </row>
    <row r="451" spans="1:12" ht="18">
      <c r="A451" s="183"/>
      <c r="B451" s="76" t="s">
        <v>1345</v>
      </c>
      <c r="C451" s="77" t="s">
        <v>1968</v>
      </c>
      <c r="D451" s="72">
        <f>+'Alimentazione CE Costi'!H799</f>
        <v>-7142.5</v>
      </c>
      <c r="E451" s="72">
        <f>+'Alimentazione CE Costi'!I799</f>
        <v>-5095</v>
      </c>
      <c r="F451" s="205"/>
      <c r="G451" s="194"/>
      <c r="H451" s="73"/>
      <c r="J451" s="69"/>
      <c r="L451" s="73"/>
    </row>
    <row r="452" spans="1:12" ht="26.4">
      <c r="A452" s="183"/>
      <c r="B452" s="76" t="s">
        <v>1346</v>
      </c>
      <c r="C452" s="77" t="s">
        <v>1969</v>
      </c>
      <c r="D452" s="72">
        <f>+'Alimentazione CE Costi'!H800</f>
        <v>0</v>
      </c>
      <c r="E452" s="72">
        <f>+'Alimentazione CE Costi'!I800</f>
        <v>0</v>
      </c>
      <c r="F452" s="205"/>
      <c r="G452" s="194"/>
      <c r="H452" s="73"/>
      <c r="J452" s="69"/>
      <c r="L452" s="73"/>
    </row>
    <row r="453" spans="1:12" ht="18">
      <c r="A453" s="183"/>
      <c r="B453" s="76" t="s">
        <v>1347</v>
      </c>
      <c r="C453" s="77" t="s">
        <v>1970</v>
      </c>
      <c r="D453" s="72">
        <f>+'Alimentazione CE Costi'!H801</f>
        <v>-25033.35</v>
      </c>
      <c r="E453" s="72">
        <f>+'Alimentazione CE Costi'!I801</f>
        <v>11186</v>
      </c>
      <c r="F453" s="205"/>
      <c r="G453" s="194"/>
      <c r="H453" s="73"/>
      <c r="J453" s="69"/>
      <c r="L453" s="73"/>
    </row>
    <row r="454" spans="1:12" ht="26.4">
      <c r="A454" s="183"/>
      <c r="B454" s="111" t="s">
        <v>1349</v>
      </c>
      <c r="C454" s="112" t="s">
        <v>1971</v>
      </c>
      <c r="D454" s="110">
        <f>SUM(D455:D460)</f>
        <v>-13283.369999999999</v>
      </c>
      <c r="E454" s="110">
        <f>SUM(E455:E460)</f>
        <v>13262</v>
      </c>
      <c r="F454" s="207" t="s">
        <v>2141</v>
      </c>
      <c r="G454" s="194"/>
      <c r="H454" s="73"/>
      <c r="J454" s="69"/>
      <c r="L454" s="73"/>
    </row>
    <row r="455" spans="1:12" ht="18">
      <c r="A455" s="183"/>
      <c r="B455" s="76" t="s">
        <v>1350</v>
      </c>
      <c r="C455" s="77" t="s">
        <v>1972</v>
      </c>
      <c r="D455" s="72">
        <f>+'Alimentazione CE Costi'!H803</f>
        <v>0</v>
      </c>
      <c r="E455" s="72">
        <f>+'Alimentazione CE Costi'!I803</f>
        <v>0</v>
      </c>
      <c r="F455" s="205"/>
      <c r="G455" s="194"/>
      <c r="H455" s="73"/>
      <c r="J455" s="69"/>
      <c r="L455" s="73"/>
    </row>
    <row r="456" spans="1:12" ht="26.4">
      <c r="A456" s="183"/>
      <c r="B456" s="76" t="s">
        <v>1351</v>
      </c>
      <c r="C456" s="77" t="s">
        <v>1973</v>
      </c>
      <c r="D456" s="72">
        <f>+'Alimentazione CE Costi'!H804</f>
        <v>215.85</v>
      </c>
      <c r="E456" s="72">
        <f>+'Alimentazione CE Costi'!I804</f>
        <v>10810</v>
      </c>
      <c r="F456" s="205"/>
      <c r="G456" s="194"/>
      <c r="H456" s="73"/>
      <c r="J456" s="69"/>
      <c r="L456" s="73"/>
    </row>
    <row r="457" spans="1:12" ht="26.4">
      <c r="A457" s="183"/>
      <c r="B457" s="76" t="s">
        <v>1352</v>
      </c>
      <c r="C457" s="77" t="s">
        <v>1974</v>
      </c>
      <c r="D457" s="72">
        <f>+'Alimentazione CE Costi'!H805</f>
        <v>1557.53</v>
      </c>
      <c r="E457" s="72">
        <f>+'Alimentazione CE Costi'!I805</f>
        <v>-2</v>
      </c>
      <c r="F457" s="205"/>
      <c r="G457" s="194"/>
      <c r="H457" s="73"/>
      <c r="J457" s="69"/>
      <c r="L457" s="73"/>
    </row>
    <row r="458" spans="1:12" ht="18">
      <c r="A458" s="183"/>
      <c r="B458" s="76" t="s">
        <v>1353</v>
      </c>
      <c r="C458" s="77" t="s">
        <v>1975</v>
      </c>
      <c r="D458" s="72">
        <f>+'Alimentazione CE Costi'!H806</f>
        <v>-4928.6499999999996</v>
      </c>
      <c r="E458" s="72">
        <f>+'Alimentazione CE Costi'!I806</f>
        <v>2131</v>
      </c>
      <c r="F458" s="205"/>
      <c r="G458" s="194"/>
      <c r="H458" s="73"/>
      <c r="J458" s="69"/>
      <c r="L458" s="73"/>
    </row>
    <row r="459" spans="1:12" ht="18">
      <c r="A459" s="183"/>
      <c r="B459" s="76" t="s">
        <v>1354</v>
      </c>
      <c r="C459" s="77" t="s">
        <v>1976</v>
      </c>
      <c r="D459" s="72">
        <f>+'Alimentazione CE Costi'!H807</f>
        <v>-4894.32</v>
      </c>
      <c r="E459" s="72">
        <f>+'Alimentazione CE Costi'!I807</f>
        <v>214</v>
      </c>
      <c r="F459" s="205"/>
      <c r="G459" s="194"/>
      <c r="H459" s="73"/>
      <c r="J459" s="69"/>
      <c r="L459" s="73"/>
    </row>
    <row r="460" spans="1:12" ht="18">
      <c r="A460" s="183"/>
      <c r="B460" s="76" t="s">
        <v>1355</v>
      </c>
      <c r="C460" s="77" t="s">
        <v>1977</v>
      </c>
      <c r="D460" s="72">
        <f>+'Alimentazione CE Costi'!H808</f>
        <v>-5233.78</v>
      </c>
      <c r="E460" s="72">
        <f>+'Alimentazione CE Costi'!I808</f>
        <v>109</v>
      </c>
      <c r="F460" s="205"/>
      <c r="G460" s="194"/>
      <c r="H460" s="73"/>
      <c r="J460" s="69"/>
      <c r="L460" s="73"/>
    </row>
    <row r="461" spans="1:12" ht="18">
      <c r="A461" s="183"/>
      <c r="B461" s="116" t="s">
        <v>1357</v>
      </c>
      <c r="C461" s="117" t="s">
        <v>1978</v>
      </c>
      <c r="D461" s="118">
        <f>+D462+D470+D471+D478</f>
        <v>5252577.32</v>
      </c>
      <c r="E461" s="118">
        <f>+E462+E470+E471+E478</f>
        <v>6105816</v>
      </c>
      <c r="F461" s="207" t="s">
        <v>2141</v>
      </c>
      <c r="G461" s="194"/>
      <c r="H461" s="73"/>
      <c r="J461" s="69"/>
      <c r="L461" s="73"/>
    </row>
    <row r="462" spans="1:12" ht="18">
      <c r="A462" s="183"/>
      <c r="B462" s="111" t="s">
        <v>1359</v>
      </c>
      <c r="C462" s="112" t="s">
        <v>1979</v>
      </c>
      <c r="D462" s="110">
        <f>SUM(D463:D469)</f>
        <v>0</v>
      </c>
      <c r="E462" s="110">
        <f>SUM(E463:E469)</f>
        <v>573203</v>
      </c>
      <c r="F462" s="207" t="s">
        <v>2141</v>
      </c>
      <c r="G462" s="194"/>
      <c r="H462" s="73"/>
      <c r="J462" s="69"/>
      <c r="L462" s="73"/>
    </row>
    <row r="463" spans="1:12" ht="26.4">
      <c r="A463" s="183"/>
      <c r="B463" s="76" t="s">
        <v>1361</v>
      </c>
      <c r="C463" s="77" t="s">
        <v>1980</v>
      </c>
      <c r="D463" s="72">
        <f>+'Alimentazione CE Costi'!H811</f>
        <v>0</v>
      </c>
      <c r="E463" s="72">
        <f>+'Alimentazione CE Costi'!I811</f>
        <v>564234</v>
      </c>
      <c r="F463" s="205"/>
      <c r="G463" s="194"/>
      <c r="H463" s="73"/>
      <c r="J463" s="69"/>
      <c r="L463" s="73"/>
    </row>
    <row r="464" spans="1:12" ht="26.4">
      <c r="A464" s="183"/>
      <c r="B464" s="76" t="s">
        <v>1363</v>
      </c>
      <c r="C464" s="77" t="s">
        <v>1981</v>
      </c>
      <c r="D464" s="72">
        <f>+'Alimentazione CE Costi'!H812</f>
        <v>0</v>
      </c>
      <c r="E464" s="72">
        <f>+'Alimentazione CE Costi'!I812</f>
        <v>0</v>
      </c>
      <c r="F464" s="205"/>
      <c r="G464" s="194"/>
      <c r="H464" s="73"/>
      <c r="J464" s="69"/>
      <c r="L464" s="73"/>
    </row>
    <row r="465" spans="1:12" ht="39.6">
      <c r="A465" s="183"/>
      <c r="B465" s="76" t="s">
        <v>1365</v>
      </c>
      <c r="C465" s="77" t="s">
        <v>1982</v>
      </c>
      <c r="D465" s="72">
        <f>+'Alimentazione CE Costi'!H813</f>
        <v>0</v>
      </c>
      <c r="E465" s="72">
        <f>+'Alimentazione CE Costi'!I813</f>
        <v>0</v>
      </c>
      <c r="F465" s="205"/>
      <c r="G465" s="194"/>
      <c r="H465" s="73"/>
      <c r="J465" s="69"/>
      <c r="L465" s="73"/>
    </row>
    <row r="466" spans="1:12" ht="26.4">
      <c r="A466" s="183"/>
      <c r="B466" s="76" t="s">
        <v>1367</v>
      </c>
      <c r="C466" s="77" t="s">
        <v>1983</v>
      </c>
      <c r="D466" s="72">
        <f>+'Alimentazione CE Costi'!H814</f>
        <v>0</v>
      </c>
      <c r="E466" s="72">
        <f>+'Alimentazione CE Costi'!I814</f>
        <v>0</v>
      </c>
      <c r="F466" s="205"/>
      <c r="G466" s="194"/>
      <c r="H466" s="73"/>
      <c r="J466" s="69"/>
      <c r="L466" s="73"/>
    </row>
    <row r="467" spans="1:12" ht="26.4">
      <c r="A467" s="183"/>
      <c r="B467" s="76" t="s">
        <v>1369</v>
      </c>
      <c r="C467" s="77" t="s">
        <v>1984</v>
      </c>
      <c r="D467" s="72">
        <f>+'Alimentazione CE Costi'!H815</f>
        <v>0</v>
      </c>
      <c r="E467" s="72">
        <f>+'Alimentazione CE Costi'!I815</f>
        <v>0</v>
      </c>
      <c r="F467" s="205"/>
      <c r="G467" s="194"/>
      <c r="H467" s="73"/>
      <c r="J467" s="69"/>
      <c r="L467" s="73"/>
    </row>
    <row r="468" spans="1:12" ht="18">
      <c r="A468" s="183"/>
      <c r="B468" s="76" t="s">
        <v>1371</v>
      </c>
      <c r="C468" s="77" t="s">
        <v>1985</v>
      </c>
      <c r="D468" s="72">
        <f>+'Alimentazione CE Costi'!H817+'Alimentazione CE Costi'!H818+'Alimentazione CE Costi'!H819</f>
        <v>0</v>
      </c>
      <c r="E468" s="72">
        <f>+'Alimentazione CE Costi'!I817+'Alimentazione CE Costi'!I818+'Alimentazione CE Costi'!I819</f>
        <v>8969</v>
      </c>
      <c r="F468" s="205"/>
      <c r="G468" s="194"/>
      <c r="H468" s="73"/>
      <c r="J468" s="69"/>
      <c r="L468" s="73"/>
    </row>
    <row r="469" spans="1:12" ht="26.4">
      <c r="A469" s="183"/>
      <c r="B469" s="76" t="s">
        <v>1375</v>
      </c>
      <c r="C469" s="77" t="s">
        <v>1986</v>
      </c>
      <c r="D469" s="72">
        <f>+'Alimentazione CE Costi'!H820</f>
        <v>0</v>
      </c>
      <c r="E469" s="72">
        <f>+'Alimentazione CE Costi'!I820</f>
        <v>0</v>
      </c>
      <c r="F469" s="205"/>
      <c r="G469" s="194"/>
      <c r="H469" s="73"/>
      <c r="J469" s="69"/>
      <c r="L469" s="73"/>
    </row>
    <row r="470" spans="1:12" ht="26.4">
      <c r="A470" s="183"/>
      <c r="B470" s="74" t="s">
        <v>1377</v>
      </c>
      <c r="C470" s="75" t="s">
        <v>1987</v>
      </c>
      <c r="D470" s="72">
        <f>+'Alimentazione CE Costi'!H822+'Alimentazione CE Costi'!H823</f>
        <v>0</v>
      </c>
      <c r="E470" s="72">
        <f>+'Alimentazione CE Costi'!I822+'Alimentazione CE Costi'!I823</f>
        <v>0</v>
      </c>
      <c r="F470" s="205"/>
      <c r="G470" s="194"/>
      <c r="H470" s="73"/>
      <c r="J470" s="69"/>
      <c r="L470" s="73"/>
    </row>
    <row r="471" spans="1:12" ht="39.6">
      <c r="A471" s="183"/>
      <c r="B471" s="111" t="s">
        <v>1381</v>
      </c>
      <c r="C471" s="112" t="s">
        <v>1988</v>
      </c>
      <c r="D471" s="110">
        <f>SUM(D472:D477)</f>
        <v>4857696.3900000006</v>
      </c>
      <c r="E471" s="110">
        <f>SUM(E472:E477)</f>
        <v>5362916</v>
      </c>
      <c r="F471" s="207" t="s">
        <v>2141</v>
      </c>
      <c r="G471" s="194"/>
      <c r="H471" s="73"/>
      <c r="J471" s="69"/>
      <c r="L471" s="73"/>
    </row>
    <row r="472" spans="1:12" ht="39.6">
      <c r="A472" s="183"/>
      <c r="B472" s="76" t="s">
        <v>1383</v>
      </c>
      <c r="C472" s="77" t="s">
        <v>1989</v>
      </c>
      <c r="D472" s="72">
        <f>+'Alimentazione CE Costi'!H825</f>
        <v>606847.74</v>
      </c>
      <c r="E472" s="72">
        <f>+'Alimentazione CE Costi'!I825</f>
        <v>0</v>
      </c>
      <c r="F472" s="205"/>
      <c r="G472" s="194"/>
      <c r="H472" s="73"/>
      <c r="J472" s="69"/>
      <c r="L472" s="73"/>
    </row>
    <row r="473" spans="1:12" ht="39.6">
      <c r="A473" s="183"/>
      <c r="B473" s="76" t="s">
        <v>1385</v>
      </c>
      <c r="C473" s="77" t="s">
        <v>1990</v>
      </c>
      <c r="D473" s="72">
        <f>+'Alimentazione CE Costi'!H826</f>
        <v>0</v>
      </c>
      <c r="E473" s="72">
        <f>+'Alimentazione CE Costi'!I826</f>
        <v>0</v>
      </c>
      <c r="F473" s="205"/>
      <c r="G473" s="194"/>
      <c r="H473" s="73"/>
      <c r="J473" s="69"/>
      <c r="L473" s="73"/>
    </row>
    <row r="474" spans="1:12" ht="39.6">
      <c r="A474" s="183"/>
      <c r="B474" s="76" t="s">
        <v>1387</v>
      </c>
      <c r="C474" s="77" t="s">
        <v>1991</v>
      </c>
      <c r="D474" s="72">
        <f>+'Alimentazione CE Costi'!H827</f>
        <v>104000</v>
      </c>
      <c r="E474" s="72">
        <f>+'Alimentazione CE Costi'!I827</f>
        <v>104000</v>
      </c>
      <c r="F474" s="205"/>
      <c r="G474" s="194"/>
      <c r="H474" s="73"/>
      <c r="J474" s="69"/>
      <c r="L474" s="73"/>
    </row>
    <row r="475" spans="1:12" ht="39.6">
      <c r="A475" s="183"/>
      <c r="B475" s="76" t="s">
        <v>1389</v>
      </c>
      <c r="C475" s="77" t="s">
        <v>1992</v>
      </c>
      <c r="D475" s="72">
        <f>+'Alimentazione CE Costi'!H828</f>
        <v>3690794.51</v>
      </c>
      <c r="E475" s="72">
        <f>+'Alimentazione CE Costi'!I828</f>
        <v>4758935</v>
      </c>
      <c r="F475" s="205"/>
      <c r="G475" s="194"/>
      <c r="H475" s="73"/>
      <c r="J475" s="69"/>
      <c r="L475" s="73"/>
    </row>
    <row r="476" spans="1:12" ht="26.4">
      <c r="A476" s="183"/>
      <c r="B476" s="76" t="s">
        <v>1391</v>
      </c>
      <c r="C476" s="77" t="s">
        <v>1993</v>
      </c>
      <c r="D476" s="72">
        <f>+'Alimentazione CE Costi'!H830+'Alimentazione CE Costi'!H831</f>
        <v>41078.660000000003</v>
      </c>
      <c r="E476" s="72">
        <f>+'Alimentazione CE Costi'!I830+'Alimentazione CE Costi'!I831</f>
        <v>65048</v>
      </c>
      <c r="F476" s="205"/>
      <c r="G476" s="194"/>
      <c r="H476" s="73"/>
      <c r="J476" s="69"/>
      <c r="L476" s="73"/>
    </row>
    <row r="477" spans="1:12" ht="39.6">
      <c r="A477" s="183"/>
      <c r="B477" s="76" t="s">
        <v>1395</v>
      </c>
      <c r="C477" s="77" t="s">
        <v>1994</v>
      </c>
      <c r="D477" s="72">
        <f>+'Alimentazione CE Costi'!H832</f>
        <v>414975.48</v>
      </c>
      <c r="E477" s="72">
        <f>+'Alimentazione CE Costi'!I832</f>
        <v>434933</v>
      </c>
      <c r="F477" s="205"/>
      <c r="G477" s="194"/>
      <c r="H477" s="73"/>
      <c r="J477" s="69"/>
      <c r="L477" s="73"/>
    </row>
    <row r="478" spans="1:12" ht="18">
      <c r="A478" s="183"/>
      <c r="B478" s="111" t="s">
        <v>1397</v>
      </c>
      <c r="C478" s="112" t="s">
        <v>1995</v>
      </c>
      <c r="D478" s="110">
        <f>SUM(D479:D488)</f>
        <v>394880.93</v>
      </c>
      <c r="E478" s="110">
        <f>SUM(E479:E488)</f>
        <v>169697</v>
      </c>
      <c r="F478" s="207" t="s">
        <v>2141</v>
      </c>
      <c r="G478" s="194"/>
      <c r="H478" s="73"/>
      <c r="J478" s="69"/>
      <c r="L478" s="73"/>
    </row>
    <row r="479" spans="1:12" ht="26.4">
      <c r="A479" s="183"/>
      <c r="B479" s="87" t="s">
        <v>1399</v>
      </c>
      <c r="C479" s="88" t="s">
        <v>1996</v>
      </c>
      <c r="D479" s="72">
        <f>+'Alimentazione CE Costi'!H834</f>
        <v>0</v>
      </c>
      <c r="E479" s="72">
        <f>+'Alimentazione CE Costi'!I834</f>
        <v>0</v>
      </c>
      <c r="F479" s="205"/>
      <c r="G479" s="194"/>
      <c r="H479" s="73"/>
      <c r="J479" s="69"/>
      <c r="L479" s="73"/>
    </row>
    <row r="480" spans="1:12" ht="26.4">
      <c r="A480" s="183"/>
      <c r="B480" s="87" t="s">
        <v>1401</v>
      </c>
      <c r="C480" s="88" t="s">
        <v>1997</v>
      </c>
      <c r="D480" s="72">
        <f>+'Alimentazione CE Costi'!H835</f>
        <v>0</v>
      </c>
      <c r="E480" s="72">
        <f>+'Alimentazione CE Costi'!I835</f>
        <v>0</v>
      </c>
      <c r="F480" s="205"/>
      <c r="G480" s="194"/>
      <c r="H480" s="73"/>
      <c r="J480" s="69"/>
      <c r="L480" s="73"/>
    </row>
    <row r="481" spans="1:12" ht="26.4">
      <c r="A481" s="183"/>
      <c r="B481" s="87" t="s">
        <v>1403</v>
      </c>
      <c r="C481" s="88" t="s">
        <v>1998</v>
      </c>
      <c r="D481" s="72">
        <f>+'Alimentazione CE Costi'!H836</f>
        <v>222799.24</v>
      </c>
      <c r="E481" s="72">
        <f>+'Alimentazione CE Costi'!I836</f>
        <v>78172</v>
      </c>
      <c r="F481" s="205"/>
      <c r="G481" s="194"/>
      <c r="H481" s="73"/>
      <c r="J481" s="69"/>
      <c r="L481" s="73"/>
    </row>
    <row r="482" spans="1:12" ht="26.4">
      <c r="A482" s="183"/>
      <c r="B482" s="76" t="s">
        <v>1405</v>
      </c>
      <c r="C482" s="77" t="s">
        <v>1999</v>
      </c>
      <c r="D482" s="72">
        <f>+'Alimentazione CE Costi'!H837</f>
        <v>24755.48</v>
      </c>
      <c r="E482" s="72">
        <f>+'Alimentazione CE Costi'!I837</f>
        <v>13795</v>
      </c>
      <c r="F482" s="205"/>
      <c r="G482" s="194"/>
      <c r="H482" s="73"/>
      <c r="J482" s="69"/>
      <c r="L482" s="73"/>
    </row>
    <row r="483" spans="1:12" ht="18">
      <c r="A483" s="183"/>
      <c r="B483" s="76" t="s">
        <v>1407</v>
      </c>
      <c r="C483" s="77" t="s">
        <v>2000</v>
      </c>
      <c r="D483" s="72">
        <f>+'Alimentazione CE Costi'!H838</f>
        <v>147326.21</v>
      </c>
      <c r="E483" s="72">
        <f>+'Alimentazione CE Costi'!I838</f>
        <v>45176</v>
      </c>
      <c r="F483" s="205"/>
      <c r="G483" s="194"/>
      <c r="H483" s="73"/>
      <c r="J483" s="69"/>
      <c r="L483" s="73"/>
    </row>
    <row r="484" spans="1:12" ht="26.4">
      <c r="A484" s="183"/>
      <c r="B484" s="76" t="s">
        <v>1409</v>
      </c>
      <c r="C484" s="77" t="s">
        <v>2001</v>
      </c>
      <c r="D484" s="72">
        <f>+'Alimentazione CE Costi'!H839</f>
        <v>0</v>
      </c>
      <c r="E484" s="72">
        <f>+'Alimentazione CE Costi'!I839</f>
        <v>0</v>
      </c>
      <c r="F484" s="205"/>
      <c r="G484" s="194"/>
      <c r="H484" s="73"/>
      <c r="J484" s="69"/>
      <c r="L484" s="73"/>
    </row>
    <row r="485" spans="1:12" ht="26.4">
      <c r="A485" s="183"/>
      <c r="B485" s="76" t="s">
        <v>1411</v>
      </c>
      <c r="C485" s="77" t="s">
        <v>2002</v>
      </c>
      <c r="D485" s="72">
        <f>+'Alimentazione CE Costi'!H840</f>
        <v>0</v>
      </c>
      <c r="E485" s="72">
        <f>+'Alimentazione CE Costi'!I840</f>
        <v>32554</v>
      </c>
      <c r="F485" s="205"/>
      <c r="G485" s="194"/>
      <c r="H485" s="73"/>
      <c r="J485" s="69"/>
      <c r="L485" s="73"/>
    </row>
    <row r="486" spans="1:12" ht="26.4">
      <c r="A486" s="183"/>
      <c r="B486" s="76" t="s">
        <v>1413</v>
      </c>
      <c r="C486" s="77" t="s">
        <v>2003</v>
      </c>
      <c r="D486" s="72">
        <f>+'Alimentazione CE Costi'!H841</f>
        <v>0</v>
      </c>
      <c r="E486" s="72">
        <f>+'Alimentazione CE Costi'!I841</f>
        <v>0</v>
      </c>
      <c r="F486" s="205"/>
      <c r="G486" s="194"/>
      <c r="H486" s="73"/>
      <c r="J486" s="69"/>
      <c r="L486" s="73"/>
    </row>
    <row r="487" spans="1:12" ht="26.4">
      <c r="A487" s="183"/>
      <c r="B487" s="76" t="s">
        <v>1415</v>
      </c>
      <c r="C487" s="77" t="s">
        <v>2004</v>
      </c>
      <c r="D487" s="72">
        <f>+'Alimentazione CE Costi'!H842</f>
        <v>0</v>
      </c>
      <c r="E487" s="72">
        <f>+'Alimentazione CE Costi'!I842</f>
        <v>0</v>
      </c>
      <c r="F487" s="205"/>
      <c r="G487" s="194"/>
      <c r="H487" s="73"/>
      <c r="J487" s="69"/>
      <c r="L487" s="73"/>
    </row>
    <row r="488" spans="1:12" ht="18">
      <c r="A488" s="183"/>
      <c r="B488" s="87" t="s">
        <v>1416</v>
      </c>
      <c r="C488" s="89" t="s">
        <v>2005</v>
      </c>
      <c r="D488" s="72">
        <f>+'Alimentazione CE Costi'!H843</f>
        <v>0</v>
      </c>
      <c r="E488" s="72">
        <f>+'Alimentazione CE Costi'!I843</f>
        <v>0</v>
      </c>
      <c r="F488" s="205"/>
      <c r="G488" s="194"/>
      <c r="H488" s="73"/>
      <c r="J488" s="69"/>
      <c r="L488" s="73"/>
    </row>
    <row r="489" spans="1:12" ht="18">
      <c r="A489" s="181"/>
      <c r="B489" s="119" t="s">
        <v>2006</v>
      </c>
      <c r="C489" s="120" t="s">
        <v>2007</v>
      </c>
      <c r="D489" s="121">
        <f>+D461+D444+D434+D426+D384+D374+D366+D197+D157+D441</f>
        <v>79328169.629999995</v>
      </c>
      <c r="E489" s="121">
        <f>+E461+E444+E434+E426+E384+E374+E366+E197+E157+E441</f>
        <v>73442229</v>
      </c>
      <c r="F489" s="207"/>
      <c r="G489" s="194"/>
      <c r="H489" s="73"/>
      <c r="J489" s="69"/>
      <c r="L489" s="73"/>
    </row>
    <row r="490" spans="1:12" ht="18">
      <c r="A490" s="181"/>
      <c r="B490" s="132"/>
      <c r="C490" s="133" t="s">
        <v>2008</v>
      </c>
      <c r="D490" s="134"/>
      <c r="E490" s="134"/>
      <c r="F490" s="207"/>
      <c r="G490" s="194"/>
      <c r="H490" s="73"/>
      <c r="J490" s="69"/>
      <c r="L490" s="73"/>
    </row>
    <row r="491" spans="1:12" ht="18">
      <c r="A491" s="181"/>
      <c r="B491" s="116" t="s">
        <v>462</v>
      </c>
      <c r="C491" s="117" t="s">
        <v>2009</v>
      </c>
      <c r="D491" s="118">
        <f>+D492+D493+D494</f>
        <v>1.3900000000000001</v>
      </c>
      <c r="E491" s="118">
        <f>+E492+E493+E494</f>
        <v>12</v>
      </c>
      <c r="F491" s="207" t="s">
        <v>2141</v>
      </c>
      <c r="G491" s="194"/>
      <c r="H491" s="73"/>
      <c r="J491" s="69"/>
      <c r="L491" s="73"/>
    </row>
    <row r="492" spans="1:12" ht="26.4">
      <c r="A492" s="181"/>
      <c r="B492" s="74" t="s">
        <v>464</v>
      </c>
      <c r="C492" s="75" t="s">
        <v>2010</v>
      </c>
      <c r="D492" s="72">
        <f>+'Alimentazione CE Ricavi'!H232</f>
        <v>0.05</v>
      </c>
      <c r="E492" s="72">
        <f>+'Alimentazione CE Ricavi'!I232</f>
        <v>0</v>
      </c>
      <c r="F492" s="207"/>
      <c r="G492" s="194"/>
      <c r="H492" s="73"/>
      <c r="J492" s="69"/>
      <c r="L492" s="73"/>
    </row>
    <row r="493" spans="1:12" ht="26.4">
      <c r="A493" s="181"/>
      <c r="B493" s="74" t="s">
        <v>466</v>
      </c>
      <c r="C493" s="75" t="s">
        <v>2011</v>
      </c>
      <c r="D493" s="72">
        <f>+'Alimentazione CE Ricavi'!H234+'Alimentazione CE Ricavi'!H235</f>
        <v>1.34</v>
      </c>
      <c r="E493" s="72">
        <f>+'Alimentazione CE Ricavi'!I234+'Alimentazione CE Ricavi'!I235</f>
        <v>12</v>
      </c>
      <c r="F493" s="207"/>
      <c r="G493" s="194"/>
      <c r="H493" s="73"/>
      <c r="J493" s="69"/>
      <c r="L493" s="73"/>
    </row>
    <row r="494" spans="1:12" ht="18">
      <c r="A494" s="181"/>
      <c r="B494" s="74" t="s">
        <v>470</v>
      </c>
      <c r="C494" s="75" t="s">
        <v>2012</v>
      </c>
      <c r="D494" s="72">
        <f>+'Alimentazione CE Ricavi'!H237+'Alimentazione CE Ricavi'!H238+'Alimentazione CE Ricavi'!H239</f>
        <v>0</v>
      </c>
      <c r="E494" s="72">
        <f>+'Alimentazione CE Ricavi'!I237+'Alimentazione CE Ricavi'!I238+'Alimentazione CE Ricavi'!I239</f>
        <v>0</v>
      </c>
      <c r="F494" s="207"/>
      <c r="G494" s="194"/>
      <c r="H494" s="73"/>
      <c r="J494" s="69"/>
      <c r="L494" s="73"/>
    </row>
    <row r="495" spans="1:12" ht="18">
      <c r="A495" s="181"/>
      <c r="B495" s="116" t="s">
        <v>474</v>
      </c>
      <c r="C495" s="117" t="s">
        <v>2013</v>
      </c>
      <c r="D495" s="118">
        <f>SUM(D496:D500)</f>
        <v>0</v>
      </c>
      <c r="E495" s="118">
        <f>SUM(E496:E500)</f>
        <v>0</v>
      </c>
      <c r="F495" s="207" t="s">
        <v>2141</v>
      </c>
      <c r="G495" s="194"/>
      <c r="H495" s="73"/>
      <c r="J495" s="69"/>
      <c r="L495" s="73"/>
    </row>
    <row r="496" spans="1:12" ht="18">
      <c r="A496" s="181"/>
      <c r="B496" s="74" t="s">
        <v>476</v>
      </c>
      <c r="C496" s="75" t="s">
        <v>2014</v>
      </c>
      <c r="D496" s="72">
        <f>+'Alimentazione CE Ricavi'!H241</f>
        <v>0</v>
      </c>
      <c r="E496" s="72">
        <f>+'Alimentazione CE Ricavi'!I241</f>
        <v>0</v>
      </c>
      <c r="F496" s="207"/>
      <c r="G496" s="194"/>
      <c r="H496" s="73"/>
      <c r="J496" s="69"/>
      <c r="L496" s="73"/>
    </row>
    <row r="497" spans="1:12" ht="26.4">
      <c r="A497" s="181"/>
      <c r="B497" s="74" t="s">
        <v>478</v>
      </c>
      <c r="C497" s="75" t="s">
        <v>2015</v>
      </c>
      <c r="D497" s="72">
        <f>+'Alimentazione CE Ricavi'!H242</f>
        <v>0</v>
      </c>
      <c r="E497" s="72">
        <f>+'Alimentazione CE Ricavi'!I242</f>
        <v>0</v>
      </c>
      <c r="F497" s="207"/>
      <c r="G497" s="194"/>
      <c r="H497" s="73"/>
      <c r="J497" s="69"/>
      <c r="L497" s="73"/>
    </row>
    <row r="498" spans="1:12" ht="26.4">
      <c r="A498" s="181"/>
      <c r="B498" s="74" t="s">
        <v>480</v>
      </c>
      <c r="C498" s="75" t="s">
        <v>2016</v>
      </c>
      <c r="D498" s="72">
        <f>+'Alimentazione CE Ricavi'!H243</f>
        <v>0</v>
      </c>
      <c r="E498" s="72">
        <f>+'Alimentazione CE Ricavi'!I243</f>
        <v>0</v>
      </c>
      <c r="F498" s="207"/>
      <c r="G498" s="194"/>
      <c r="H498" s="73"/>
      <c r="J498" s="69"/>
      <c r="L498" s="73"/>
    </row>
    <row r="499" spans="1:12" ht="26.4">
      <c r="A499" s="181"/>
      <c r="B499" s="74" t="s">
        <v>482</v>
      </c>
      <c r="C499" s="75" t="s">
        <v>2017</v>
      </c>
      <c r="D499" s="72">
        <f>+'Alimentazione CE Ricavi'!H244</f>
        <v>0</v>
      </c>
      <c r="E499" s="72">
        <f>+'Alimentazione CE Ricavi'!I244</f>
        <v>0</v>
      </c>
      <c r="F499" s="207"/>
      <c r="G499" s="194"/>
      <c r="H499" s="73"/>
      <c r="J499" s="69"/>
      <c r="L499" s="73"/>
    </row>
    <row r="500" spans="1:12" ht="18">
      <c r="A500" s="181"/>
      <c r="B500" s="74" t="s">
        <v>484</v>
      </c>
      <c r="C500" s="75" t="s">
        <v>2018</v>
      </c>
      <c r="D500" s="72">
        <f>+'Alimentazione CE Ricavi'!H245</f>
        <v>0</v>
      </c>
      <c r="E500" s="72">
        <f>+'Alimentazione CE Ricavi'!I245</f>
        <v>0</v>
      </c>
      <c r="F500" s="207"/>
      <c r="G500" s="194"/>
      <c r="H500" s="73"/>
      <c r="J500" s="69"/>
      <c r="L500" s="73"/>
    </row>
    <row r="501" spans="1:12" ht="18">
      <c r="A501" s="181"/>
      <c r="B501" s="116" t="s">
        <v>1418</v>
      </c>
      <c r="C501" s="117" t="s">
        <v>2019</v>
      </c>
      <c r="D501" s="118">
        <f>SUM(D502:D504)</f>
        <v>203.41</v>
      </c>
      <c r="E501" s="118">
        <f>SUM(E502:E504)</f>
        <v>0</v>
      </c>
      <c r="F501" s="207" t="s">
        <v>2141</v>
      </c>
      <c r="G501" s="194"/>
      <c r="H501" s="73"/>
      <c r="J501" s="69"/>
      <c r="L501" s="73"/>
    </row>
    <row r="502" spans="1:12" ht="26.4">
      <c r="A502" s="181"/>
      <c r="B502" s="74" t="s">
        <v>1420</v>
      </c>
      <c r="C502" s="75" t="s">
        <v>2020</v>
      </c>
      <c r="D502" s="72">
        <f>+'Alimentazione CE Costi'!H845</f>
        <v>0</v>
      </c>
      <c r="E502" s="72">
        <f>+'Alimentazione CE Costi'!I845</f>
        <v>0</v>
      </c>
      <c r="F502" s="207"/>
      <c r="G502" s="194"/>
      <c r="H502" s="73"/>
      <c r="J502" s="69"/>
      <c r="L502" s="73"/>
    </row>
    <row r="503" spans="1:12" ht="18">
      <c r="A503" s="181"/>
      <c r="B503" s="74" t="s">
        <v>1422</v>
      </c>
      <c r="C503" s="75" t="s">
        <v>2021</v>
      </c>
      <c r="D503" s="72">
        <f>+'Alimentazione CE Costi'!H846</f>
        <v>0</v>
      </c>
      <c r="E503" s="72">
        <f>+'Alimentazione CE Costi'!I846</f>
        <v>0</v>
      </c>
      <c r="F503" s="207"/>
      <c r="G503" s="194"/>
      <c r="H503" s="73"/>
      <c r="J503" s="69"/>
      <c r="L503" s="73"/>
    </row>
    <row r="504" spans="1:12" ht="18">
      <c r="A504" s="181"/>
      <c r="B504" s="74" t="s">
        <v>1424</v>
      </c>
      <c r="C504" s="75" t="s">
        <v>2022</v>
      </c>
      <c r="D504" s="72">
        <f>+'Alimentazione CE Costi'!H848+'Alimentazione CE Costi'!H849</f>
        <v>203.41</v>
      </c>
      <c r="E504" s="72">
        <f>+'Alimentazione CE Costi'!I848+'Alimentazione CE Costi'!I849</f>
        <v>0</v>
      </c>
      <c r="F504" s="207"/>
      <c r="G504" s="194"/>
      <c r="H504" s="73"/>
      <c r="J504" s="69"/>
      <c r="L504" s="73"/>
    </row>
    <row r="505" spans="1:12" ht="18">
      <c r="A505" s="185"/>
      <c r="B505" s="116" t="s">
        <v>2023</v>
      </c>
      <c r="C505" s="117" t="s">
        <v>2024</v>
      </c>
      <c r="D505" s="118">
        <f>SUM(D506:D507)</f>
        <v>0</v>
      </c>
      <c r="E505" s="118">
        <f>SUM(E506:E507)</f>
        <v>0</v>
      </c>
      <c r="F505" s="207" t="s">
        <v>2141</v>
      </c>
      <c r="G505" s="194"/>
      <c r="H505" s="73"/>
      <c r="J505" s="69"/>
      <c r="L505" s="73"/>
    </row>
    <row r="506" spans="1:12" ht="18">
      <c r="A506" s="185"/>
      <c r="B506" s="74" t="s">
        <v>1427</v>
      </c>
      <c r="C506" s="75" t="s">
        <v>2025</v>
      </c>
      <c r="D506" s="72">
        <f>+'Alimentazione CE Costi'!H851</f>
        <v>0</v>
      </c>
      <c r="E506" s="72">
        <f>+'Alimentazione CE Costi'!I851</f>
        <v>0</v>
      </c>
      <c r="F506" s="207"/>
      <c r="G506" s="194"/>
      <c r="H506" s="73"/>
      <c r="J506" s="69"/>
      <c r="L506" s="73"/>
    </row>
    <row r="507" spans="1:12" ht="18">
      <c r="A507" s="181"/>
      <c r="B507" s="74" t="s">
        <v>1429</v>
      </c>
      <c r="C507" s="75" t="s">
        <v>2026</v>
      </c>
      <c r="D507" s="72">
        <f>+'Alimentazione CE Costi'!H852</f>
        <v>0</v>
      </c>
      <c r="E507" s="72">
        <f>+'Alimentazione CE Costi'!I852</f>
        <v>0</v>
      </c>
      <c r="F507" s="207"/>
      <c r="G507" s="194"/>
      <c r="H507" s="73"/>
      <c r="J507" s="69"/>
      <c r="L507" s="73"/>
    </row>
    <row r="508" spans="1:12" ht="18">
      <c r="A508" s="185"/>
      <c r="B508" s="119" t="s">
        <v>2027</v>
      </c>
      <c r="C508" s="120" t="s">
        <v>2028</v>
      </c>
      <c r="D508" s="121">
        <f>+D491+D495-D501-D505</f>
        <v>-202.02</v>
      </c>
      <c r="E508" s="121">
        <f>+E491+E495-E501-E505</f>
        <v>12</v>
      </c>
      <c r="F508" s="207" t="s">
        <v>2141</v>
      </c>
      <c r="G508" s="194"/>
      <c r="H508" s="73"/>
      <c r="J508" s="69"/>
      <c r="L508" s="73"/>
    </row>
    <row r="509" spans="1:12" ht="26.4">
      <c r="A509" s="181"/>
      <c r="B509" s="132"/>
      <c r="C509" s="133" t="s">
        <v>2029</v>
      </c>
      <c r="D509" s="134"/>
      <c r="E509" s="134"/>
      <c r="F509" s="207"/>
      <c r="G509" s="194"/>
      <c r="H509" s="73"/>
      <c r="J509" s="69"/>
      <c r="L509" s="73"/>
    </row>
    <row r="510" spans="1:12" ht="18">
      <c r="A510" s="181"/>
      <c r="B510" s="70" t="s">
        <v>486</v>
      </c>
      <c r="C510" s="71" t="s">
        <v>2030</v>
      </c>
      <c r="D510" s="72">
        <f>+'Alimentazione CE Ricavi'!H246</f>
        <v>0</v>
      </c>
      <c r="E510" s="72">
        <f>+'Alimentazione CE Ricavi'!I246</f>
        <v>0</v>
      </c>
      <c r="F510" s="207"/>
      <c r="G510" s="194"/>
      <c r="H510" s="73"/>
      <c r="J510" s="69"/>
      <c r="L510" s="73"/>
    </row>
    <row r="511" spans="1:12" ht="18">
      <c r="A511" s="181"/>
      <c r="B511" s="70" t="s">
        <v>1431</v>
      </c>
      <c r="C511" s="71" t="s">
        <v>2031</v>
      </c>
      <c r="D511" s="72">
        <f>+'Alimentazione CE Costi'!H853</f>
        <v>0</v>
      </c>
      <c r="E511" s="72">
        <f>+'Alimentazione CE Costi'!I853</f>
        <v>0</v>
      </c>
      <c r="F511" s="207"/>
      <c r="G511" s="194"/>
      <c r="H511" s="73"/>
      <c r="J511" s="69"/>
      <c r="L511" s="73"/>
    </row>
    <row r="512" spans="1:12" ht="26.4">
      <c r="A512" s="181"/>
      <c r="B512" s="119" t="s">
        <v>2032</v>
      </c>
      <c r="C512" s="120" t="s">
        <v>2033</v>
      </c>
      <c r="D512" s="121">
        <f>+D510-D511</f>
        <v>0</v>
      </c>
      <c r="E512" s="121">
        <f>+E510-E511</f>
        <v>0</v>
      </c>
      <c r="F512" s="207" t="s">
        <v>2141</v>
      </c>
      <c r="G512" s="194"/>
      <c r="H512" s="73"/>
      <c r="J512" s="69"/>
      <c r="L512" s="73"/>
    </row>
    <row r="513" spans="1:12" ht="18">
      <c r="A513" s="181"/>
      <c r="B513" s="132"/>
      <c r="C513" s="133" t="s">
        <v>2034</v>
      </c>
      <c r="D513" s="134"/>
      <c r="E513" s="134"/>
      <c r="F513" s="207"/>
      <c r="G513" s="194"/>
      <c r="H513" s="73"/>
      <c r="J513" s="69"/>
      <c r="L513" s="73"/>
    </row>
    <row r="514" spans="1:12" ht="18">
      <c r="A514" s="181"/>
      <c r="B514" s="116" t="s">
        <v>487</v>
      </c>
      <c r="C514" s="117" t="s">
        <v>2035</v>
      </c>
      <c r="D514" s="118">
        <f>+D515+D516</f>
        <v>540764.68000000005</v>
      </c>
      <c r="E514" s="118">
        <f>+E515+E516</f>
        <v>250987</v>
      </c>
      <c r="F514" s="207" t="s">
        <v>2141</v>
      </c>
      <c r="G514" s="194"/>
      <c r="H514" s="73"/>
      <c r="J514" s="69"/>
      <c r="L514" s="73"/>
    </row>
    <row r="515" spans="1:12" ht="18">
      <c r="A515" s="181"/>
      <c r="B515" s="74" t="s">
        <v>489</v>
      </c>
      <c r="C515" s="75" t="s">
        <v>2036</v>
      </c>
      <c r="D515" s="72">
        <f>+'Alimentazione CE Ricavi'!H248</f>
        <v>0</v>
      </c>
      <c r="E515" s="72">
        <f>+'Alimentazione CE Ricavi'!I248</f>
        <v>0</v>
      </c>
      <c r="F515" s="207"/>
      <c r="G515" s="194"/>
      <c r="H515" s="73"/>
      <c r="J515" s="69"/>
      <c r="L515" s="73"/>
    </row>
    <row r="516" spans="1:12" ht="18">
      <c r="A516" s="181"/>
      <c r="B516" s="111" t="s">
        <v>491</v>
      </c>
      <c r="C516" s="112" t="s">
        <v>2037</v>
      </c>
      <c r="D516" s="110">
        <f>+D517+D518+D529+D539</f>
        <v>540764.68000000005</v>
      </c>
      <c r="E516" s="110">
        <f>+E517+E518+E529+E539</f>
        <v>250987</v>
      </c>
      <c r="F516" s="207" t="s">
        <v>2141</v>
      </c>
      <c r="G516" s="194"/>
      <c r="H516" s="73"/>
      <c r="J516" s="69"/>
      <c r="L516" s="73"/>
    </row>
    <row r="517" spans="1:12" ht="26.4">
      <c r="A517" s="181"/>
      <c r="B517" s="76" t="s">
        <v>493</v>
      </c>
      <c r="C517" s="77" t="s">
        <v>2038</v>
      </c>
      <c r="D517" s="72">
        <f>+'Alimentazione CE Ricavi'!H250</f>
        <v>17269.060000000001</v>
      </c>
      <c r="E517" s="72">
        <f>+'Alimentazione CE Ricavi'!I250</f>
        <v>18176</v>
      </c>
      <c r="F517" s="207"/>
      <c r="G517" s="194"/>
      <c r="H517" s="73"/>
      <c r="J517" s="69"/>
      <c r="L517" s="73"/>
    </row>
    <row r="518" spans="1:12" ht="18">
      <c r="A518" s="181"/>
      <c r="B518" s="122" t="s">
        <v>495</v>
      </c>
      <c r="C518" s="123" t="s">
        <v>2039</v>
      </c>
      <c r="D518" s="124">
        <f>+D519+D520+D521</f>
        <v>80571.73</v>
      </c>
      <c r="E518" s="124">
        <f>+E519+E520+E521</f>
        <v>171068</v>
      </c>
      <c r="F518" s="207" t="s">
        <v>2141</v>
      </c>
      <c r="G518" s="194"/>
      <c r="H518" s="73"/>
      <c r="J518" s="69"/>
      <c r="L518" s="73"/>
    </row>
    <row r="519" spans="1:12" ht="26.4">
      <c r="A519" s="183"/>
      <c r="B519" s="76" t="s">
        <v>497</v>
      </c>
      <c r="C519" s="77" t="s">
        <v>2040</v>
      </c>
      <c r="D519" s="72">
        <f>+'Alimentazione CE Ricavi'!H252</f>
        <v>0</v>
      </c>
      <c r="E519" s="72">
        <f>+'Alimentazione CE Ricavi'!I252</f>
        <v>0</v>
      </c>
      <c r="F519" s="205"/>
      <c r="G519" s="194"/>
      <c r="H519" s="73"/>
      <c r="J519" s="69"/>
      <c r="L519" s="73"/>
    </row>
    <row r="520" spans="1:12" ht="26.4">
      <c r="A520" s="183" t="s">
        <v>1545</v>
      </c>
      <c r="B520" s="76" t="s">
        <v>499</v>
      </c>
      <c r="C520" s="77" t="s">
        <v>2041</v>
      </c>
      <c r="D520" s="72">
        <f>+'Alimentazione CE Ricavi'!H253</f>
        <v>963.61</v>
      </c>
      <c r="E520" s="72">
        <f>+'Alimentazione CE Ricavi'!I253</f>
        <v>91256</v>
      </c>
      <c r="F520" s="205"/>
      <c r="G520" s="194"/>
      <c r="H520" s="73"/>
      <c r="J520" s="69"/>
      <c r="L520" s="73"/>
    </row>
    <row r="521" spans="1:12" ht="18">
      <c r="A521" s="183"/>
      <c r="B521" s="128" t="s">
        <v>501</v>
      </c>
      <c r="C521" s="129" t="s">
        <v>2042</v>
      </c>
      <c r="D521" s="127">
        <f>SUM(D522:D528)</f>
        <v>79608.12</v>
      </c>
      <c r="E521" s="127">
        <f>SUM(E522:E528)</f>
        <v>79812</v>
      </c>
      <c r="F521" s="207" t="s">
        <v>2141</v>
      </c>
      <c r="G521" s="194"/>
      <c r="H521" s="73"/>
      <c r="J521" s="69"/>
      <c r="L521" s="73"/>
    </row>
    <row r="522" spans="1:12" ht="26.4">
      <c r="A522" s="183" t="s">
        <v>1590</v>
      </c>
      <c r="B522" s="78" t="s">
        <v>503</v>
      </c>
      <c r="C522" s="79" t="s">
        <v>2043</v>
      </c>
      <c r="D522" s="72">
        <f>+'Alimentazione CE Ricavi'!H255</f>
        <v>0</v>
      </c>
      <c r="E522" s="72">
        <f>+'Alimentazione CE Ricavi'!I255</f>
        <v>0</v>
      </c>
      <c r="F522" s="205"/>
      <c r="G522" s="194"/>
      <c r="H522" s="73"/>
      <c r="J522" s="69"/>
      <c r="L522" s="73"/>
    </row>
    <row r="523" spans="1:12" ht="26.4">
      <c r="A523" s="183"/>
      <c r="B523" s="78" t="s">
        <v>505</v>
      </c>
      <c r="C523" s="79" t="s">
        <v>2044</v>
      </c>
      <c r="D523" s="72">
        <f>+'Alimentazione CE Ricavi'!H256</f>
        <v>16379.67</v>
      </c>
      <c r="E523" s="72">
        <f>+'Alimentazione CE Ricavi'!I256</f>
        <v>10436</v>
      </c>
      <c r="F523" s="205"/>
      <c r="G523" s="194"/>
      <c r="H523" s="73"/>
      <c r="J523" s="69"/>
      <c r="L523" s="73"/>
    </row>
    <row r="524" spans="1:12" ht="26.4">
      <c r="A524" s="183"/>
      <c r="B524" s="78" t="s">
        <v>507</v>
      </c>
      <c r="C524" s="79" t="s">
        <v>2045</v>
      </c>
      <c r="D524" s="72">
        <f>+'Alimentazione CE Ricavi'!H257</f>
        <v>0</v>
      </c>
      <c r="E524" s="72">
        <f>+'Alimentazione CE Ricavi'!I257</f>
        <v>0</v>
      </c>
      <c r="F524" s="205"/>
      <c r="G524" s="194"/>
      <c r="H524" s="73"/>
      <c r="J524" s="69"/>
      <c r="L524" s="73"/>
    </row>
    <row r="525" spans="1:12" ht="26.4">
      <c r="A525" s="183"/>
      <c r="B525" s="78" t="s">
        <v>509</v>
      </c>
      <c r="C525" s="79" t="s">
        <v>2046</v>
      </c>
      <c r="D525" s="72">
        <f>+'Alimentazione CE Ricavi'!H258</f>
        <v>0</v>
      </c>
      <c r="E525" s="72">
        <f>+'Alimentazione CE Ricavi'!I258</f>
        <v>0</v>
      </c>
      <c r="F525" s="205"/>
      <c r="G525" s="194"/>
      <c r="H525" s="73"/>
      <c r="J525" s="69"/>
      <c r="L525" s="73"/>
    </row>
    <row r="526" spans="1:12" ht="39.6">
      <c r="A526" s="183"/>
      <c r="B526" s="78" t="s">
        <v>511</v>
      </c>
      <c r="C526" s="79" t="s">
        <v>2047</v>
      </c>
      <c r="D526" s="72">
        <f>+'Alimentazione CE Ricavi'!H259</f>
        <v>0</v>
      </c>
      <c r="E526" s="72">
        <f>+'Alimentazione CE Ricavi'!I259</f>
        <v>0</v>
      </c>
      <c r="F526" s="205"/>
      <c r="G526" s="194"/>
      <c r="H526" s="73"/>
      <c r="J526" s="69"/>
      <c r="L526" s="73"/>
    </row>
    <row r="527" spans="1:12" ht="26.4">
      <c r="A527" s="183"/>
      <c r="B527" s="78" t="s">
        <v>513</v>
      </c>
      <c r="C527" s="79" t="s">
        <v>2048</v>
      </c>
      <c r="D527" s="72">
        <f>+'Alimentazione CE Ricavi'!H260</f>
        <v>10970.61</v>
      </c>
      <c r="E527" s="72">
        <f>+'Alimentazione CE Ricavi'!I260</f>
        <v>55342</v>
      </c>
      <c r="F527" s="205"/>
      <c r="G527" s="194"/>
      <c r="H527" s="73"/>
      <c r="J527" s="69"/>
      <c r="L527" s="73"/>
    </row>
    <row r="528" spans="1:12" ht="26.4">
      <c r="A528" s="183"/>
      <c r="B528" s="78" t="s">
        <v>515</v>
      </c>
      <c r="C528" s="79" t="s">
        <v>2049</v>
      </c>
      <c r="D528" s="72">
        <f>+'Alimentazione CE Ricavi'!H261</f>
        <v>52257.84</v>
      </c>
      <c r="E528" s="72">
        <f>+'Alimentazione CE Ricavi'!I261</f>
        <v>14034</v>
      </c>
      <c r="F528" s="205"/>
      <c r="G528" s="194"/>
      <c r="H528" s="73"/>
      <c r="J528" s="69"/>
      <c r="L528" s="73"/>
    </row>
    <row r="529" spans="1:12" ht="18">
      <c r="A529" s="183"/>
      <c r="B529" s="122" t="s">
        <v>2050</v>
      </c>
      <c r="C529" s="123" t="s">
        <v>2051</v>
      </c>
      <c r="D529" s="124">
        <f>+D530+D531</f>
        <v>442899.33</v>
      </c>
      <c r="E529" s="124">
        <f>+E530+E531</f>
        <v>61702</v>
      </c>
      <c r="F529" s="207" t="s">
        <v>2141</v>
      </c>
      <c r="G529" s="194"/>
      <c r="H529" s="73"/>
      <c r="J529" s="69"/>
      <c r="L529" s="73"/>
    </row>
    <row r="530" spans="1:12" ht="26.4">
      <c r="A530" s="181" t="s">
        <v>1545</v>
      </c>
      <c r="B530" s="76" t="s">
        <v>518</v>
      </c>
      <c r="C530" s="77" t="s">
        <v>2052</v>
      </c>
      <c r="D530" s="72">
        <f>+'Alimentazione CE Ricavi'!H263</f>
        <v>0</v>
      </c>
      <c r="E530" s="72">
        <f>+'Alimentazione CE Ricavi'!I263</f>
        <v>0</v>
      </c>
      <c r="F530" s="207"/>
      <c r="G530" s="194"/>
      <c r="H530" s="73"/>
      <c r="J530" s="69"/>
      <c r="L530" s="73"/>
    </row>
    <row r="531" spans="1:12" ht="18">
      <c r="A531" s="181"/>
      <c r="B531" s="128" t="s">
        <v>2053</v>
      </c>
      <c r="C531" s="129" t="s">
        <v>2054</v>
      </c>
      <c r="D531" s="127">
        <f>SUM(D532:D538)</f>
        <v>442899.33</v>
      </c>
      <c r="E531" s="127">
        <f>SUM(E532:E538)</f>
        <v>61702</v>
      </c>
      <c r="F531" s="207" t="s">
        <v>2141</v>
      </c>
      <c r="G531" s="194"/>
      <c r="H531" s="73"/>
      <c r="J531" s="69"/>
      <c r="L531" s="73"/>
    </row>
    <row r="532" spans="1:12" ht="26.4">
      <c r="A532" s="181" t="s">
        <v>1590</v>
      </c>
      <c r="B532" s="78" t="s">
        <v>521</v>
      </c>
      <c r="C532" s="79" t="s">
        <v>2055</v>
      </c>
      <c r="D532" s="72">
        <f>+'Alimentazione CE Ricavi'!H265</f>
        <v>0</v>
      </c>
      <c r="E532" s="72">
        <f>+'Alimentazione CE Ricavi'!I265</f>
        <v>0</v>
      </c>
      <c r="F532" s="207"/>
      <c r="G532" s="194"/>
      <c r="H532" s="73"/>
      <c r="J532" s="69"/>
      <c r="L532" s="73"/>
    </row>
    <row r="533" spans="1:12" ht="26.4">
      <c r="A533" s="181"/>
      <c r="B533" s="78" t="s">
        <v>523</v>
      </c>
      <c r="C533" s="79" t="s">
        <v>2056</v>
      </c>
      <c r="D533" s="72">
        <f>+'Alimentazione CE Ricavi'!H266</f>
        <v>290247.08</v>
      </c>
      <c r="E533" s="72">
        <f>+'Alimentazione CE Ricavi'!I266</f>
        <v>0</v>
      </c>
      <c r="F533" s="207"/>
      <c r="G533" s="194"/>
      <c r="H533" s="73"/>
      <c r="J533" s="69"/>
      <c r="L533" s="73"/>
    </row>
    <row r="534" spans="1:12" ht="26.4">
      <c r="A534" s="181"/>
      <c r="B534" s="78" t="s">
        <v>525</v>
      </c>
      <c r="C534" s="79" t="s">
        <v>2057</v>
      </c>
      <c r="D534" s="72">
        <f>+'Alimentazione CE Ricavi'!H267</f>
        <v>0</v>
      </c>
      <c r="E534" s="72">
        <f>+'Alimentazione CE Ricavi'!I267</f>
        <v>0</v>
      </c>
      <c r="F534" s="207"/>
      <c r="G534" s="194"/>
      <c r="H534" s="73"/>
      <c r="J534" s="69"/>
      <c r="L534" s="73"/>
    </row>
    <row r="535" spans="1:12" ht="26.4">
      <c r="A535" s="181"/>
      <c r="B535" s="78" t="s">
        <v>527</v>
      </c>
      <c r="C535" s="79" t="s">
        <v>2058</v>
      </c>
      <c r="D535" s="72">
        <f>+'Alimentazione CE Ricavi'!H268</f>
        <v>0</v>
      </c>
      <c r="E535" s="72">
        <f>+'Alimentazione CE Ricavi'!I268</f>
        <v>0</v>
      </c>
      <c r="F535" s="207"/>
      <c r="G535" s="194"/>
      <c r="H535" s="73"/>
      <c r="J535" s="69"/>
      <c r="L535" s="73"/>
    </row>
    <row r="536" spans="1:12" ht="39.6">
      <c r="A536" s="181"/>
      <c r="B536" s="78" t="s">
        <v>529</v>
      </c>
      <c r="C536" s="79" t="s">
        <v>2059</v>
      </c>
      <c r="D536" s="72">
        <f>+'Alimentazione CE Ricavi'!H269</f>
        <v>0</v>
      </c>
      <c r="E536" s="72">
        <f>+'Alimentazione CE Ricavi'!I269</f>
        <v>0</v>
      </c>
      <c r="F536" s="207"/>
      <c r="G536" s="194"/>
      <c r="H536" s="73"/>
      <c r="J536" s="69"/>
      <c r="L536" s="73"/>
    </row>
    <row r="537" spans="1:12" ht="26.4">
      <c r="A537" s="181"/>
      <c r="B537" s="78" t="s">
        <v>531</v>
      </c>
      <c r="C537" s="79" t="s">
        <v>2060</v>
      </c>
      <c r="D537" s="72">
        <f>+'Alimentazione CE Ricavi'!H270</f>
        <v>0</v>
      </c>
      <c r="E537" s="72">
        <f>+'Alimentazione CE Ricavi'!I270</f>
        <v>0</v>
      </c>
      <c r="F537" s="207"/>
      <c r="G537" s="194"/>
      <c r="H537" s="73"/>
      <c r="J537" s="69"/>
      <c r="L537" s="73"/>
    </row>
    <row r="538" spans="1:12" ht="26.4">
      <c r="A538" s="181"/>
      <c r="B538" s="78" t="s">
        <v>533</v>
      </c>
      <c r="C538" s="79" t="s">
        <v>2061</v>
      </c>
      <c r="D538" s="72">
        <f>+'Alimentazione CE Ricavi'!H271</f>
        <v>152652.25</v>
      </c>
      <c r="E538" s="72">
        <f>+'Alimentazione CE Ricavi'!I271</f>
        <v>61702</v>
      </c>
      <c r="F538" s="207"/>
      <c r="G538" s="194"/>
      <c r="H538" s="73"/>
      <c r="J538" s="69"/>
      <c r="L538" s="73"/>
    </row>
    <row r="539" spans="1:12" ht="18">
      <c r="A539" s="181"/>
      <c r="B539" s="76" t="s">
        <v>534</v>
      </c>
      <c r="C539" s="77" t="s">
        <v>2062</v>
      </c>
      <c r="D539" s="72">
        <f>+'Alimentazione CE Ricavi'!H272</f>
        <v>24.56</v>
      </c>
      <c r="E539" s="72">
        <f>+'Alimentazione CE Ricavi'!I272</f>
        <v>41</v>
      </c>
      <c r="F539" s="207"/>
      <c r="G539" s="194"/>
      <c r="H539" s="73"/>
      <c r="J539" s="69"/>
      <c r="L539" s="73"/>
    </row>
    <row r="540" spans="1:12" ht="18">
      <c r="A540" s="181"/>
      <c r="B540" s="116" t="s">
        <v>1432</v>
      </c>
      <c r="C540" s="117" t="s">
        <v>2063</v>
      </c>
      <c r="D540" s="118">
        <f>+D541+D542</f>
        <v>331530.54000000004</v>
      </c>
      <c r="E540" s="118">
        <f>+E541+E542</f>
        <v>297495</v>
      </c>
      <c r="F540" s="207"/>
      <c r="G540" s="194"/>
      <c r="H540" s="73"/>
      <c r="J540" s="69"/>
      <c r="L540" s="73"/>
    </row>
    <row r="541" spans="1:12" ht="18">
      <c r="A541" s="181"/>
      <c r="B541" s="74" t="s">
        <v>1434</v>
      </c>
      <c r="C541" s="75" t="s">
        <v>2064</v>
      </c>
      <c r="D541" s="72">
        <f>+'Alimentazione CE Costi'!H855</f>
        <v>0</v>
      </c>
      <c r="E541" s="72">
        <f>+'Alimentazione CE Costi'!I855</f>
        <v>0</v>
      </c>
      <c r="F541" s="207"/>
      <c r="G541" s="194"/>
      <c r="H541" s="73"/>
      <c r="J541" s="69"/>
      <c r="L541" s="73"/>
    </row>
    <row r="542" spans="1:12" ht="18">
      <c r="A542" s="181"/>
      <c r="B542" s="111" t="s">
        <v>1436</v>
      </c>
      <c r="C542" s="112" t="s">
        <v>2065</v>
      </c>
      <c r="D542" s="110">
        <f>+D543+D544+D545+D560+D571</f>
        <v>331530.54000000004</v>
      </c>
      <c r="E542" s="110">
        <f>+E543+E544+E545+E560+E571</f>
        <v>297495</v>
      </c>
      <c r="F542" s="207"/>
      <c r="G542" s="194"/>
      <c r="H542" s="73"/>
      <c r="J542" s="69"/>
      <c r="L542" s="73"/>
    </row>
    <row r="543" spans="1:12" ht="26.4">
      <c r="A543" s="181"/>
      <c r="B543" s="76" t="s">
        <v>1438</v>
      </c>
      <c r="C543" s="77" t="s">
        <v>2066</v>
      </c>
      <c r="D543" s="72">
        <f>+'Alimentazione CE Costi'!H857</f>
        <v>0</v>
      </c>
      <c r="E543" s="72">
        <f>+'Alimentazione CE Costi'!I857</f>
        <v>0</v>
      </c>
      <c r="F543" s="207"/>
      <c r="G543" s="194"/>
      <c r="H543" s="73"/>
      <c r="J543" s="69"/>
      <c r="L543" s="73"/>
    </row>
    <row r="544" spans="1:12" ht="26.4">
      <c r="A544" s="181"/>
      <c r="B544" s="76" t="s">
        <v>1440</v>
      </c>
      <c r="C544" s="77" t="s">
        <v>2067</v>
      </c>
      <c r="D544" s="72">
        <f>+'Alimentazione CE Costi'!H858</f>
        <v>0</v>
      </c>
      <c r="E544" s="72">
        <f>+'Alimentazione CE Costi'!I858</f>
        <v>0</v>
      </c>
      <c r="F544" s="207"/>
      <c r="G544" s="194"/>
      <c r="H544" s="73"/>
      <c r="J544" s="69"/>
      <c r="L544" s="73"/>
    </row>
    <row r="545" spans="1:12" ht="18">
      <c r="A545" s="181"/>
      <c r="B545" s="122" t="s">
        <v>1442</v>
      </c>
      <c r="C545" s="123" t="s">
        <v>2068</v>
      </c>
      <c r="D545" s="124">
        <f>+D546+D549</f>
        <v>324962.77</v>
      </c>
      <c r="E545" s="124">
        <f>+E546+E549</f>
        <v>158227</v>
      </c>
      <c r="F545" s="207"/>
      <c r="G545" s="194"/>
      <c r="H545" s="73"/>
      <c r="J545" s="69"/>
      <c r="L545" s="73"/>
    </row>
    <row r="546" spans="1:12" ht="39.6">
      <c r="A546" s="181" t="s">
        <v>1545</v>
      </c>
      <c r="B546" s="128" t="s">
        <v>1444</v>
      </c>
      <c r="C546" s="129" t="s">
        <v>2069</v>
      </c>
      <c r="D546" s="127">
        <f>+D547+D548</f>
        <v>139434.03</v>
      </c>
      <c r="E546" s="127">
        <f>+E547+E548</f>
        <v>60168</v>
      </c>
      <c r="F546" s="207"/>
      <c r="G546" s="194"/>
      <c r="H546" s="73"/>
      <c r="J546" s="69"/>
      <c r="L546" s="73"/>
    </row>
    <row r="547" spans="1:12" ht="39.6">
      <c r="A547" s="181" t="s">
        <v>1545</v>
      </c>
      <c r="B547" s="78" t="s">
        <v>1446</v>
      </c>
      <c r="C547" s="79" t="s">
        <v>2070</v>
      </c>
      <c r="D547" s="72">
        <f>+'Alimentazione CE Costi'!H861</f>
        <v>0</v>
      </c>
      <c r="E547" s="72">
        <f>+'Alimentazione CE Costi'!I861</f>
        <v>0</v>
      </c>
      <c r="F547" s="207"/>
      <c r="G547" s="194"/>
      <c r="H547" s="73"/>
      <c r="J547" s="69"/>
      <c r="L547" s="73"/>
    </row>
    <row r="548" spans="1:12" ht="26.4">
      <c r="A548" s="181" t="s">
        <v>1545</v>
      </c>
      <c r="B548" s="78" t="s">
        <v>1448</v>
      </c>
      <c r="C548" s="79" t="s">
        <v>2071</v>
      </c>
      <c r="D548" s="72">
        <f>+'Alimentazione CE Costi'!H862</f>
        <v>139434.03</v>
      </c>
      <c r="E548" s="72">
        <f>+'Alimentazione CE Costi'!I862</f>
        <v>60168</v>
      </c>
      <c r="F548" s="207"/>
      <c r="G548" s="194"/>
      <c r="H548" s="73"/>
      <c r="J548" s="69"/>
      <c r="L548" s="73"/>
    </row>
    <row r="549" spans="1:12" ht="18">
      <c r="A549" s="181"/>
      <c r="B549" s="128" t="s">
        <v>1450</v>
      </c>
      <c r="C549" s="129" t="s">
        <v>2072</v>
      </c>
      <c r="D549" s="127">
        <f>+D550+D551+D555+D556+D557+D558+D559</f>
        <v>185528.74</v>
      </c>
      <c r="E549" s="127">
        <f>+E550+E551+E555+E556+E557+E558+E559</f>
        <v>98059</v>
      </c>
      <c r="F549" s="207"/>
      <c r="G549" s="194"/>
      <c r="H549" s="73"/>
      <c r="J549" s="69"/>
      <c r="L549" s="73"/>
    </row>
    <row r="550" spans="1:12" ht="26.4">
      <c r="A550" s="181" t="s">
        <v>1590</v>
      </c>
      <c r="B550" s="78" t="s">
        <v>1452</v>
      </c>
      <c r="C550" s="79" t="s">
        <v>2073</v>
      </c>
      <c r="D550" s="72">
        <f>+'Alimentazione CE Costi'!H864</f>
        <v>0</v>
      </c>
      <c r="E550" s="72">
        <f>+'Alimentazione CE Costi'!I864</f>
        <v>0</v>
      </c>
      <c r="F550" s="207"/>
      <c r="G550" s="194"/>
      <c r="H550" s="73"/>
      <c r="J550" s="69"/>
      <c r="L550" s="73"/>
    </row>
    <row r="551" spans="1:12" ht="26.4">
      <c r="A551" s="181"/>
      <c r="B551" s="143" t="s">
        <v>1454</v>
      </c>
      <c r="C551" s="144" t="s">
        <v>2074</v>
      </c>
      <c r="D551" s="145">
        <f>+D552+D553+D554</f>
        <v>115326.41</v>
      </c>
      <c r="E551" s="145">
        <f>+E552+E553+E554</f>
        <v>31109</v>
      </c>
      <c r="F551" s="207"/>
      <c r="G551" s="194"/>
      <c r="H551" s="73"/>
      <c r="J551" s="69"/>
      <c r="L551" s="73"/>
    </row>
    <row r="552" spans="1:12" ht="26.4">
      <c r="A552" s="181"/>
      <c r="B552" s="76" t="s">
        <v>1456</v>
      </c>
      <c r="C552" s="77" t="s">
        <v>2075</v>
      </c>
      <c r="D552" s="72">
        <f>+'Alimentazione CE Costi'!H866</f>
        <v>91020.71</v>
      </c>
      <c r="E552" s="72">
        <f>+'Alimentazione CE Costi'!I866</f>
        <v>14940</v>
      </c>
      <c r="F552" s="207"/>
      <c r="G552" s="194"/>
      <c r="H552" s="73"/>
      <c r="J552" s="69"/>
      <c r="L552" s="73"/>
    </row>
    <row r="553" spans="1:12" ht="39.6">
      <c r="A553" s="181"/>
      <c r="B553" s="76" t="s">
        <v>1458</v>
      </c>
      <c r="C553" s="77" t="s">
        <v>2076</v>
      </c>
      <c r="D553" s="72">
        <f>+'Alimentazione CE Costi'!H867</f>
        <v>639.14</v>
      </c>
      <c r="E553" s="72">
        <f>+'Alimentazione CE Costi'!I867</f>
        <v>0</v>
      </c>
      <c r="F553" s="207"/>
      <c r="G553" s="194"/>
      <c r="H553" s="73"/>
      <c r="J553" s="69"/>
      <c r="L553" s="73"/>
    </row>
    <row r="554" spans="1:12" ht="26.4">
      <c r="A554" s="181"/>
      <c r="B554" s="76" t="s">
        <v>1460</v>
      </c>
      <c r="C554" s="77" t="s">
        <v>2077</v>
      </c>
      <c r="D554" s="72">
        <f>+'Alimentazione CE Costi'!H868</f>
        <v>23666.560000000001</v>
      </c>
      <c r="E554" s="72">
        <f>+'Alimentazione CE Costi'!I868</f>
        <v>16169</v>
      </c>
      <c r="F554" s="207"/>
      <c r="G554" s="194"/>
      <c r="H554" s="73"/>
      <c r="J554" s="69"/>
      <c r="L554" s="73"/>
    </row>
    <row r="555" spans="1:12" ht="26.4">
      <c r="A555" s="181"/>
      <c r="B555" s="78" t="s">
        <v>1462</v>
      </c>
      <c r="C555" s="79" t="s">
        <v>2078</v>
      </c>
      <c r="D555" s="72">
        <f>+'Alimentazione CE Costi'!H869</f>
        <v>0</v>
      </c>
      <c r="E555" s="72">
        <f>+'Alimentazione CE Costi'!I869</f>
        <v>0</v>
      </c>
      <c r="F555" s="207"/>
      <c r="G555" s="194"/>
      <c r="H555" s="73"/>
      <c r="J555" s="69"/>
      <c r="L555" s="73"/>
    </row>
    <row r="556" spans="1:12" ht="26.4">
      <c r="A556" s="181"/>
      <c r="B556" s="78" t="s">
        <v>1464</v>
      </c>
      <c r="C556" s="79" t="s">
        <v>2079</v>
      </c>
      <c r="D556" s="72">
        <f>+'Alimentazione CE Costi'!H870</f>
        <v>0</v>
      </c>
      <c r="E556" s="72">
        <f>+'Alimentazione CE Costi'!I870</f>
        <v>0</v>
      </c>
      <c r="F556" s="207"/>
      <c r="G556" s="194"/>
      <c r="H556" s="73"/>
      <c r="J556" s="69"/>
      <c r="L556" s="73"/>
    </row>
    <row r="557" spans="1:12" ht="39.6">
      <c r="A557" s="181"/>
      <c r="B557" s="78" t="s">
        <v>1466</v>
      </c>
      <c r="C557" s="79" t="s">
        <v>2080</v>
      </c>
      <c r="D557" s="72">
        <f>+'Alimentazione CE Costi'!H871</f>
        <v>0</v>
      </c>
      <c r="E557" s="72">
        <f>+'Alimentazione CE Costi'!I871</f>
        <v>0</v>
      </c>
      <c r="F557" s="207"/>
      <c r="G557" s="194"/>
      <c r="H557" s="73"/>
      <c r="J557" s="69"/>
      <c r="L557" s="73"/>
    </row>
    <row r="558" spans="1:12" ht="26.4">
      <c r="A558" s="181"/>
      <c r="B558" s="78" t="s">
        <v>1468</v>
      </c>
      <c r="C558" s="79" t="s">
        <v>2081</v>
      </c>
      <c r="D558" s="72">
        <f>+'Alimentazione CE Costi'!H872</f>
        <v>47650.080000000002</v>
      </c>
      <c r="E558" s="72">
        <f>+'Alimentazione CE Costi'!I872</f>
        <v>64635</v>
      </c>
      <c r="F558" s="207"/>
      <c r="G558" s="194"/>
      <c r="H558" s="73"/>
      <c r="J558" s="69"/>
      <c r="L558" s="73"/>
    </row>
    <row r="559" spans="1:12" ht="26.4">
      <c r="A559" s="181"/>
      <c r="B559" s="78" t="s">
        <v>1470</v>
      </c>
      <c r="C559" s="79" t="s">
        <v>2082</v>
      </c>
      <c r="D559" s="72">
        <f>+'Alimentazione CE Costi'!H873</f>
        <v>22552.25</v>
      </c>
      <c r="E559" s="72">
        <f>+'Alimentazione CE Costi'!I873</f>
        <v>2315</v>
      </c>
      <c r="F559" s="207"/>
      <c r="G559" s="194"/>
      <c r="H559" s="73"/>
      <c r="J559" s="69"/>
      <c r="L559" s="73"/>
    </row>
    <row r="560" spans="1:12" ht="18">
      <c r="A560" s="181"/>
      <c r="B560" s="122" t="s">
        <v>1472</v>
      </c>
      <c r="C560" s="123" t="s">
        <v>2083</v>
      </c>
      <c r="D560" s="124">
        <f>+D561+D562+D563</f>
        <v>6383.46</v>
      </c>
      <c r="E560" s="124">
        <f>+E561+E562+E563</f>
        <v>139159</v>
      </c>
      <c r="F560" s="207"/>
      <c r="G560" s="194"/>
      <c r="H560" s="73"/>
      <c r="J560" s="69"/>
      <c r="L560" s="73"/>
    </row>
    <row r="561" spans="1:12" ht="26.4">
      <c r="A561" s="183"/>
      <c r="B561" s="76" t="s">
        <v>1474</v>
      </c>
      <c r="C561" s="77" t="s">
        <v>2084</v>
      </c>
      <c r="D561" s="72">
        <f>+'Alimentazione CE Costi'!H875</f>
        <v>0</v>
      </c>
      <c r="E561" s="72">
        <f>+'Alimentazione CE Costi'!I875</f>
        <v>0</v>
      </c>
      <c r="F561" s="205"/>
      <c r="G561" s="194"/>
      <c r="H561" s="73"/>
      <c r="J561" s="69"/>
      <c r="L561" s="73"/>
    </row>
    <row r="562" spans="1:12" ht="26.4">
      <c r="A562" s="183" t="s">
        <v>1545</v>
      </c>
      <c r="B562" s="76" t="s">
        <v>1476</v>
      </c>
      <c r="C562" s="77" t="s">
        <v>2085</v>
      </c>
      <c r="D562" s="72">
        <f>+'Alimentazione CE Costi'!H876</f>
        <v>0</v>
      </c>
      <c r="E562" s="72">
        <f>+'Alimentazione CE Costi'!I876</f>
        <v>0</v>
      </c>
      <c r="F562" s="205"/>
      <c r="G562" s="194"/>
      <c r="H562" s="73"/>
      <c r="J562" s="69"/>
      <c r="L562" s="73"/>
    </row>
    <row r="563" spans="1:12" ht="18">
      <c r="A563" s="183"/>
      <c r="B563" s="128" t="s">
        <v>1478</v>
      </c>
      <c r="C563" s="129" t="s">
        <v>2086</v>
      </c>
      <c r="D563" s="127">
        <f>SUM(D564:D570)</f>
        <v>6383.46</v>
      </c>
      <c r="E563" s="127">
        <f>SUM(E564:E570)</f>
        <v>139159</v>
      </c>
      <c r="F563" s="207"/>
      <c r="G563" s="194"/>
      <c r="H563" s="73"/>
      <c r="J563" s="69"/>
      <c r="L563" s="73"/>
    </row>
    <row r="564" spans="1:12" ht="26.4">
      <c r="A564" s="183" t="s">
        <v>1590</v>
      </c>
      <c r="B564" s="78" t="s">
        <v>1480</v>
      </c>
      <c r="C564" s="79" t="s">
        <v>2087</v>
      </c>
      <c r="D564" s="72">
        <f>+'Alimentazione CE Costi'!H878</f>
        <v>0</v>
      </c>
      <c r="E564" s="72">
        <f>+'Alimentazione CE Costi'!I878</f>
        <v>0</v>
      </c>
      <c r="F564" s="205"/>
      <c r="G564" s="194"/>
      <c r="H564" s="73"/>
      <c r="J564" s="69"/>
      <c r="L564" s="73"/>
    </row>
    <row r="565" spans="1:12" ht="26.4">
      <c r="A565" s="183"/>
      <c r="B565" s="78" t="s">
        <v>1482</v>
      </c>
      <c r="C565" s="79" t="s">
        <v>2088</v>
      </c>
      <c r="D565" s="72">
        <f>+'Alimentazione CE Costi'!H879</f>
        <v>0</v>
      </c>
      <c r="E565" s="72">
        <f>+'Alimentazione CE Costi'!I879</f>
        <v>0</v>
      </c>
      <c r="F565" s="205"/>
      <c r="G565" s="194"/>
      <c r="H565" s="73"/>
      <c r="J565" s="69"/>
      <c r="L565" s="73"/>
    </row>
    <row r="566" spans="1:12" ht="26.4">
      <c r="A566" s="183"/>
      <c r="B566" s="78" t="s">
        <v>1484</v>
      </c>
      <c r="C566" s="79" t="s">
        <v>2089</v>
      </c>
      <c r="D566" s="72">
        <f>+'Alimentazione CE Costi'!H880</f>
        <v>0</v>
      </c>
      <c r="E566" s="72">
        <f>+'Alimentazione CE Costi'!I880</f>
        <v>0</v>
      </c>
      <c r="F566" s="205"/>
      <c r="G566" s="194"/>
      <c r="H566" s="73"/>
      <c r="J566" s="69"/>
      <c r="L566" s="73"/>
    </row>
    <row r="567" spans="1:12" ht="26.4">
      <c r="A567" s="183"/>
      <c r="B567" s="78" t="s">
        <v>1486</v>
      </c>
      <c r="C567" s="79" t="s">
        <v>2090</v>
      </c>
      <c r="D567" s="72">
        <f>+'Alimentazione CE Costi'!H881</f>
        <v>0</v>
      </c>
      <c r="E567" s="72">
        <f>+'Alimentazione CE Costi'!I881</f>
        <v>0</v>
      </c>
      <c r="F567" s="205"/>
      <c r="G567" s="194"/>
      <c r="H567" s="73"/>
      <c r="J567" s="69"/>
      <c r="L567" s="73"/>
    </row>
    <row r="568" spans="1:12" ht="39.6">
      <c r="A568" s="183"/>
      <c r="B568" s="78" t="s">
        <v>1488</v>
      </c>
      <c r="C568" s="79" t="s">
        <v>2091</v>
      </c>
      <c r="D568" s="72">
        <f>+'Alimentazione CE Costi'!H882</f>
        <v>0</v>
      </c>
      <c r="E568" s="72">
        <f>+'Alimentazione CE Costi'!I882</f>
        <v>0</v>
      </c>
      <c r="F568" s="205"/>
      <c r="G568" s="194"/>
      <c r="H568" s="73"/>
      <c r="J568" s="69"/>
      <c r="L568" s="73"/>
    </row>
    <row r="569" spans="1:12" ht="26.4">
      <c r="A569" s="183"/>
      <c r="B569" s="78" t="s">
        <v>1490</v>
      </c>
      <c r="C569" s="79" t="s">
        <v>2092</v>
      </c>
      <c r="D569" s="72">
        <f>+'Alimentazione CE Costi'!H883</f>
        <v>0</v>
      </c>
      <c r="E569" s="72">
        <f>+'Alimentazione CE Costi'!I883</f>
        <v>0</v>
      </c>
      <c r="F569" s="205"/>
      <c r="G569" s="194"/>
      <c r="H569" s="73"/>
      <c r="J569" s="69"/>
      <c r="L569" s="73"/>
    </row>
    <row r="570" spans="1:12" ht="26.4">
      <c r="A570" s="183"/>
      <c r="B570" s="78" t="s">
        <v>1492</v>
      </c>
      <c r="C570" s="79" t="s">
        <v>2093</v>
      </c>
      <c r="D570" s="72">
        <f>+'Alimentazione CE Costi'!H884</f>
        <v>6383.46</v>
      </c>
      <c r="E570" s="72">
        <f>+'Alimentazione CE Costi'!I884</f>
        <v>139159</v>
      </c>
      <c r="F570" s="205"/>
      <c r="G570" s="194"/>
      <c r="H570" s="73"/>
      <c r="J570" s="69"/>
      <c r="L570" s="73"/>
    </row>
    <row r="571" spans="1:12" ht="18">
      <c r="A571" s="181"/>
      <c r="B571" s="76" t="s">
        <v>1493</v>
      </c>
      <c r="C571" s="77" t="s">
        <v>2094</v>
      </c>
      <c r="D571" s="72">
        <f>+'Alimentazione CE Costi'!H885</f>
        <v>184.31</v>
      </c>
      <c r="E571" s="72">
        <f>+'Alimentazione CE Costi'!I885</f>
        <v>109</v>
      </c>
      <c r="F571" s="207"/>
      <c r="G571" s="194"/>
      <c r="H571" s="90"/>
      <c r="J571" s="69"/>
      <c r="L571" s="73"/>
    </row>
    <row r="572" spans="1:12" ht="26.4">
      <c r="A572" s="181"/>
      <c r="B572" s="119" t="s">
        <v>2095</v>
      </c>
      <c r="C572" s="120" t="s">
        <v>2096</v>
      </c>
      <c r="D572" s="121">
        <f>+D514-D540</f>
        <v>209234.14</v>
      </c>
      <c r="E572" s="121">
        <f>+E514-E540</f>
        <v>-46508</v>
      </c>
      <c r="F572" s="207"/>
      <c r="G572" s="194"/>
      <c r="H572" s="90"/>
      <c r="J572" s="69"/>
      <c r="L572" s="73"/>
    </row>
    <row r="573" spans="1:12" ht="26.4">
      <c r="A573" s="181"/>
      <c r="B573" s="70" t="s">
        <v>2097</v>
      </c>
      <c r="C573" s="71" t="s">
        <v>2098</v>
      </c>
      <c r="D573" s="72">
        <f>+D155-D489+D508+D512+D572</f>
        <v>2847256.8800000055</v>
      </c>
      <c r="E573" s="72">
        <f>+E155-E489+E508+E512+E572</f>
        <v>2814534</v>
      </c>
      <c r="F573" s="207"/>
      <c r="G573" s="194"/>
      <c r="H573" s="91"/>
      <c r="J573" s="69"/>
      <c r="L573" s="73"/>
    </row>
    <row r="574" spans="1:12" ht="18">
      <c r="A574" s="183"/>
      <c r="B574" s="132"/>
      <c r="C574" s="133" t="s">
        <v>2099</v>
      </c>
      <c r="D574" s="134"/>
      <c r="E574" s="134"/>
      <c r="F574" s="205"/>
      <c r="G574" s="194"/>
      <c r="H574" s="92"/>
      <c r="J574" s="69"/>
      <c r="L574" s="73"/>
    </row>
    <row r="575" spans="1:12" ht="18">
      <c r="A575" s="181"/>
      <c r="B575" s="116" t="s">
        <v>1494</v>
      </c>
      <c r="C575" s="117" t="s">
        <v>2100</v>
      </c>
      <c r="D575" s="118">
        <f>+D576+D577+D578+D579</f>
        <v>2811532.77</v>
      </c>
      <c r="E575" s="118">
        <f>+E576+E577+E578+E579</f>
        <v>2692640</v>
      </c>
      <c r="F575" s="207"/>
      <c r="G575" s="194"/>
      <c r="H575" s="93"/>
      <c r="J575" s="69"/>
      <c r="L575" s="73"/>
    </row>
    <row r="576" spans="1:12" ht="26.4">
      <c r="A576" s="185"/>
      <c r="B576" s="74" t="s">
        <v>1496</v>
      </c>
      <c r="C576" s="75" t="s">
        <v>2101</v>
      </c>
      <c r="D576" s="72">
        <f>+'Alimentazione CE Costi'!H887</f>
        <v>2635175.88</v>
      </c>
      <c r="E576" s="72">
        <f>+'Alimentazione CE Costi'!I887</f>
        <v>2476866</v>
      </c>
      <c r="F576" s="207"/>
      <c r="G576" s="194"/>
      <c r="H576" s="92"/>
      <c r="J576" s="69"/>
      <c r="L576" s="73"/>
    </row>
    <row r="577" spans="1:26" ht="39.6">
      <c r="A577" s="185"/>
      <c r="B577" s="74" t="s">
        <v>1498</v>
      </c>
      <c r="C577" s="75" t="s">
        <v>2102</v>
      </c>
      <c r="D577" s="72">
        <f>+'Alimentazione CE Costi'!H888</f>
        <v>135141.93</v>
      </c>
      <c r="E577" s="72">
        <f>+'Alimentazione CE Costi'!I888</f>
        <v>161603</v>
      </c>
      <c r="F577" s="207"/>
      <c r="G577" s="194"/>
      <c r="H577" s="90"/>
      <c r="J577" s="69"/>
      <c r="L577" s="73"/>
    </row>
    <row r="578" spans="1:26" ht="26.4">
      <c r="A578" s="185"/>
      <c r="B578" s="74" t="s">
        <v>1500</v>
      </c>
      <c r="C578" s="75" t="s">
        <v>2103</v>
      </c>
      <c r="D578" s="72">
        <f>+'Alimentazione CE Costi'!H889</f>
        <v>41214.959999999999</v>
      </c>
      <c r="E578" s="72">
        <f>+'Alimentazione CE Costi'!I889</f>
        <v>54171</v>
      </c>
      <c r="F578" s="207"/>
      <c r="G578" s="194"/>
      <c r="H578" s="92"/>
      <c r="J578" s="69"/>
      <c r="L578" s="73"/>
    </row>
    <row r="579" spans="1:26" ht="26.4">
      <c r="A579" s="185"/>
      <c r="B579" s="74" t="s">
        <v>1502</v>
      </c>
      <c r="C579" s="75" t="s">
        <v>2104</v>
      </c>
      <c r="D579" s="72">
        <f>+'Alimentazione CE Costi'!H890</f>
        <v>0</v>
      </c>
      <c r="E579" s="72">
        <f>+'Alimentazione CE Costi'!I890</f>
        <v>0</v>
      </c>
      <c r="F579" s="207"/>
      <c r="G579" s="194"/>
      <c r="H579" s="92"/>
      <c r="J579" s="69"/>
      <c r="L579" s="73"/>
    </row>
    <row r="580" spans="1:26" ht="18">
      <c r="A580" s="181"/>
      <c r="B580" s="116" t="s">
        <v>1503</v>
      </c>
      <c r="C580" s="117" t="s">
        <v>2105</v>
      </c>
      <c r="D580" s="118">
        <f>+D581+D582</f>
        <v>15847</v>
      </c>
      <c r="E580" s="118">
        <f>+E581+E582</f>
        <v>15031</v>
      </c>
      <c r="F580" s="207"/>
      <c r="G580" s="194"/>
      <c r="H580" s="92"/>
      <c r="J580" s="69"/>
      <c r="L580" s="73"/>
    </row>
    <row r="581" spans="1:26" ht="18">
      <c r="A581" s="181"/>
      <c r="B581" s="74" t="s">
        <v>1505</v>
      </c>
      <c r="C581" s="75" t="s">
        <v>2106</v>
      </c>
      <c r="D581" s="72">
        <f>+'Alimentazione CE Costi'!H892</f>
        <v>15847</v>
      </c>
      <c r="E581" s="72">
        <f>+'Alimentazione CE Costi'!I892</f>
        <v>15031</v>
      </c>
      <c r="F581" s="207"/>
      <c r="G581" s="194"/>
      <c r="H581" s="93"/>
      <c r="J581" s="69"/>
      <c r="L581" s="73"/>
    </row>
    <row r="582" spans="1:26" ht="18">
      <c r="A582" s="181"/>
      <c r="B582" s="74" t="s">
        <v>1507</v>
      </c>
      <c r="C582" s="75" t="s">
        <v>2107</v>
      </c>
      <c r="D582" s="72">
        <f>+'Alimentazione CE Costi'!H893</f>
        <v>0</v>
      </c>
      <c r="E582" s="72">
        <f>+'Alimentazione CE Costi'!I893</f>
        <v>0</v>
      </c>
      <c r="F582" s="207"/>
      <c r="G582" s="194"/>
      <c r="H582" s="92"/>
      <c r="J582" s="69"/>
      <c r="L582" s="73"/>
    </row>
    <row r="583" spans="1:26" ht="26.4">
      <c r="A583" s="183"/>
      <c r="B583" s="70" t="s">
        <v>1509</v>
      </c>
      <c r="C583" s="71" t="s">
        <v>2108</v>
      </c>
      <c r="D583" s="72">
        <f>+'Alimentazione CE Costi'!H894</f>
        <v>0</v>
      </c>
      <c r="E583" s="72">
        <f>+'Alimentazione CE Costi'!I894</f>
        <v>0</v>
      </c>
      <c r="F583" s="205"/>
      <c r="G583" s="194"/>
      <c r="H583" s="94"/>
      <c r="J583" s="69"/>
      <c r="L583" s="73"/>
    </row>
    <row r="584" spans="1:26" ht="18">
      <c r="A584" s="183"/>
      <c r="B584" s="119" t="s">
        <v>2109</v>
      </c>
      <c r="C584" s="120" t="s">
        <v>2110</v>
      </c>
      <c r="D584" s="121">
        <f>+D575+D580+D583</f>
        <v>2827379.77</v>
      </c>
      <c r="E584" s="121">
        <f>+E575+E580+E583</f>
        <v>2707671</v>
      </c>
      <c r="F584" s="207"/>
      <c r="G584" s="194"/>
      <c r="H584" s="95"/>
      <c r="J584" s="69"/>
      <c r="L584" s="73"/>
    </row>
    <row r="585" spans="1:26" ht="18.600000000000001" thickBot="1">
      <c r="A585" s="192"/>
      <c r="B585" s="146" t="s">
        <v>2111</v>
      </c>
      <c r="C585" s="147" t="s">
        <v>2112</v>
      </c>
      <c r="D585" s="148">
        <f>+D573-D584</f>
        <v>19877.110000005458</v>
      </c>
      <c r="E585" s="148">
        <f>+E573-E584</f>
        <v>106863</v>
      </c>
      <c r="F585" s="207"/>
      <c r="G585" s="194"/>
      <c r="H585" s="95"/>
      <c r="J585" s="69"/>
      <c r="L585" s="73"/>
    </row>
    <row r="586" spans="1:26" ht="17.399999999999999">
      <c r="A586" s="90"/>
      <c r="B586" s="96"/>
      <c r="C586" s="97"/>
      <c r="D586" s="98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9"/>
    </row>
    <row r="587" spans="1:26" ht="17.399999999999999">
      <c r="A587" s="90"/>
      <c r="B587" s="49" t="s">
        <v>2113</v>
      </c>
      <c r="C587" s="97"/>
      <c r="D587" s="98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9"/>
    </row>
    <row r="588" spans="1:26" ht="17.399999999999999">
      <c r="A588" s="100"/>
      <c r="B588" s="33"/>
      <c r="C588" s="101"/>
      <c r="D588" s="102"/>
      <c r="E588" s="91"/>
      <c r="F588" s="91"/>
      <c r="G588" s="91"/>
      <c r="H588" s="91"/>
      <c r="I588" s="91"/>
      <c r="J588" s="91"/>
      <c r="K588" s="91"/>
      <c r="L588" s="91"/>
      <c r="M588" s="91"/>
      <c r="N588" s="91"/>
      <c r="O588" s="91"/>
      <c r="P588" s="91"/>
      <c r="Q588" s="91"/>
      <c r="R588" s="91"/>
      <c r="S588" s="91"/>
      <c r="T588" s="91"/>
      <c r="U588" s="91"/>
      <c r="V588" s="91"/>
      <c r="W588" s="91"/>
      <c r="X588" s="91"/>
      <c r="Y588" s="91"/>
      <c r="Z588" s="103"/>
    </row>
    <row r="589" spans="1:26" ht="17.399999999999999">
      <c r="A589" s="100"/>
      <c r="B589" s="49"/>
      <c r="C589" s="49"/>
      <c r="D589" s="104"/>
      <c r="E589" s="92"/>
      <c r="F589" s="92"/>
      <c r="G589" s="92"/>
      <c r="H589" s="92"/>
      <c r="I589" s="92"/>
      <c r="J589" s="92"/>
      <c r="K589" s="92"/>
      <c r="L589" s="92"/>
      <c r="M589" s="92"/>
      <c r="N589" s="92"/>
      <c r="O589" s="92"/>
      <c r="P589" s="92"/>
      <c r="Q589" s="92"/>
      <c r="R589" s="92"/>
      <c r="S589" s="92"/>
      <c r="T589" s="92"/>
      <c r="U589" s="92"/>
      <c r="V589" s="92"/>
      <c r="W589" s="92"/>
      <c r="X589" s="92"/>
      <c r="Y589" s="92"/>
      <c r="Z589" s="105"/>
    </row>
    <row r="590" spans="1:26" ht="17.399999999999999">
      <c r="A590" s="100"/>
      <c r="B590" s="106" t="s">
        <v>2114</v>
      </c>
      <c r="C590" s="107"/>
      <c r="D590" s="102"/>
      <c r="E590" s="93"/>
      <c r="F590" s="93"/>
      <c r="H590" s="93"/>
      <c r="J590" s="93"/>
      <c r="K590" s="93"/>
      <c r="L590" s="93" t="s">
        <v>2115</v>
      </c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39"/>
    </row>
    <row r="591" spans="1:26" ht="17.399999999999999">
      <c r="A591" s="90"/>
      <c r="B591" s="49"/>
      <c r="C591" s="49"/>
      <c r="D591" s="104"/>
      <c r="E591" s="92"/>
      <c r="F591" s="92"/>
      <c r="G591" s="92"/>
      <c r="H591" s="92"/>
      <c r="I591" s="92"/>
      <c r="J591" s="92"/>
      <c r="K591" s="92"/>
      <c r="L591" s="92"/>
      <c r="M591" s="92"/>
      <c r="N591" s="92"/>
      <c r="O591" s="92"/>
      <c r="P591" s="92"/>
      <c r="Q591" s="92"/>
      <c r="R591" s="92"/>
      <c r="S591" s="92"/>
      <c r="T591" s="92"/>
      <c r="U591" s="92"/>
      <c r="V591" s="92"/>
      <c r="W591" s="92"/>
      <c r="X591" s="92"/>
      <c r="Y591" s="92"/>
      <c r="Z591" s="105"/>
    </row>
    <row r="592" spans="1:26" ht="17.399999999999999">
      <c r="A592" s="90"/>
      <c r="B592" s="106" t="s">
        <v>2116</v>
      </c>
      <c r="C592" s="97"/>
      <c r="D592" s="98"/>
      <c r="E592" s="90"/>
      <c r="F592" s="90"/>
      <c r="H592" s="93" t="s">
        <v>2116</v>
      </c>
      <c r="I592" s="93"/>
      <c r="J592" s="93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36"/>
    </row>
    <row r="593" spans="1:27" ht="17.399999999999999">
      <c r="A593" s="90"/>
      <c r="B593" s="49"/>
      <c r="C593" s="49"/>
      <c r="D593" s="104"/>
      <c r="E593" s="92"/>
      <c r="F593" s="92"/>
      <c r="G593" s="92"/>
      <c r="H593" s="92"/>
      <c r="I593" s="92"/>
      <c r="J593" s="92"/>
      <c r="K593" s="92"/>
      <c r="L593" s="92"/>
      <c r="M593" s="92"/>
      <c r="N593" s="92"/>
      <c r="O593" s="92"/>
      <c r="P593" s="92"/>
      <c r="Q593" s="92"/>
      <c r="R593" s="92"/>
      <c r="S593" s="92"/>
      <c r="T593" s="92"/>
      <c r="U593" s="92"/>
      <c r="V593" s="92"/>
      <c r="W593" s="92"/>
      <c r="X593" s="92"/>
      <c r="Y593" s="92"/>
      <c r="Z593" s="105"/>
    </row>
    <row r="594" spans="1:27" ht="17.399999999999999">
      <c r="A594" s="90"/>
      <c r="B594" s="49"/>
      <c r="C594" s="49"/>
      <c r="D594" s="104"/>
      <c r="E594" s="92"/>
      <c r="F594" s="92"/>
      <c r="G594" s="92"/>
      <c r="H594" s="92"/>
      <c r="I594" s="92"/>
      <c r="J594" s="92"/>
      <c r="K594" s="92"/>
      <c r="L594" s="92"/>
      <c r="M594" s="92"/>
      <c r="N594" s="92"/>
      <c r="O594" s="92"/>
      <c r="P594" s="92"/>
      <c r="Q594" s="92"/>
      <c r="R594" s="92"/>
      <c r="S594" s="92"/>
      <c r="T594" s="92"/>
      <c r="U594" s="92"/>
      <c r="V594" s="92"/>
      <c r="W594" s="92"/>
      <c r="X594" s="92"/>
      <c r="Y594" s="92"/>
      <c r="Z594" s="105"/>
    </row>
    <row r="595" spans="1:27" ht="17.399999999999999">
      <c r="A595" s="90"/>
      <c r="B595" s="49"/>
      <c r="C595" s="49"/>
      <c r="D595" s="104"/>
      <c r="E595" s="92"/>
      <c r="F595" s="92"/>
      <c r="G595" s="92"/>
      <c r="H595" s="92"/>
      <c r="I595" s="92"/>
      <c r="J595" s="92"/>
      <c r="K595" s="92"/>
      <c r="L595" s="92"/>
      <c r="M595" s="92"/>
      <c r="N595" s="92"/>
      <c r="O595" s="92"/>
      <c r="P595" s="92"/>
      <c r="Q595" s="92"/>
      <c r="R595" s="92"/>
      <c r="S595" s="92"/>
      <c r="T595" s="92"/>
      <c r="U595" s="92"/>
      <c r="V595" s="92"/>
      <c r="W595" s="92"/>
      <c r="X595" s="92"/>
      <c r="Y595" s="92"/>
      <c r="Z595" s="105"/>
    </row>
    <row r="596" spans="1:27" ht="17.399999999999999">
      <c r="A596" s="108"/>
      <c r="B596" s="33"/>
      <c r="C596" s="107"/>
      <c r="D596" s="102"/>
      <c r="E596" s="93"/>
      <c r="F596" s="93"/>
      <c r="H596" s="93"/>
      <c r="I596" s="93"/>
      <c r="M596" s="93" t="s">
        <v>2117</v>
      </c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36"/>
    </row>
    <row r="597" spans="1:27" ht="17.399999999999999">
      <c r="A597" s="108"/>
      <c r="B597" s="49"/>
      <c r="C597" s="49"/>
      <c r="D597" s="104"/>
      <c r="E597" s="92"/>
      <c r="F597" s="92"/>
      <c r="G597" s="92"/>
      <c r="H597" s="92"/>
      <c r="I597" s="92"/>
      <c r="J597" s="92"/>
      <c r="K597" s="92"/>
      <c r="L597" s="92"/>
      <c r="M597" s="92"/>
      <c r="N597" s="92"/>
      <c r="O597" s="92"/>
      <c r="P597" s="92"/>
      <c r="Q597" s="92"/>
      <c r="R597" s="92"/>
      <c r="S597" s="92"/>
      <c r="T597" s="92"/>
      <c r="U597" s="92"/>
      <c r="V597" s="92"/>
      <c r="W597" s="92"/>
      <c r="X597" s="92"/>
      <c r="Y597" s="92"/>
      <c r="Z597" s="105"/>
    </row>
    <row r="598" spans="1:27" ht="17.399999999999999">
      <c r="A598" s="108"/>
      <c r="C598" s="109"/>
      <c r="D598" s="102"/>
      <c r="E598" s="94"/>
      <c r="F598" s="94"/>
      <c r="G598" s="93"/>
      <c r="H598" s="93" t="s">
        <v>2116</v>
      </c>
      <c r="I598" s="93"/>
      <c r="J598" s="93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AA598" s="35"/>
    </row>
    <row r="599" spans="1:27" ht="15">
      <c r="T599" s="94"/>
      <c r="U599" s="94"/>
      <c r="V599" s="94"/>
      <c r="W599" s="94"/>
      <c r="X599" s="94"/>
    </row>
    <row r="600" spans="1:27" ht="15">
      <c r="T600" s="94"/>
      <c r="U600" s="94"/>
      <c r="V600" s="94"/>
      <c r="W600" s="94"/>
      <c r="X600" s="94"/>
    </row>
    <row r="601" spans="1:27" ht="15">
      <c r="T601" s="94"/>
      <c r="U601" s="94"/>
      <c r="V601" s="94"/>
      <c r="W601" s="94"/>
      <c r="X601" s="94"/>
    </row>
    <row r="602" spans="1:27" ht="15">
      <c r="T602" s="94"/>
      <c r="U602" s="94"/>
      <c r="V602" s="94"/>
      <c r="W602" s="94"/>
      <c r="X602" s="94"/>
    </row>
    <row r="603" spans="1:27" ht="15">
      <c r="T603" s="94"/>
      <c r="U603" s="94"/>
      <c r="V603" s="94"/>
      <c r="W603" s="94"/>
      <c r="X603" s="94"/>
    </row>
    <row r="604" spans="1:27" ht="15">
      <c r="T604" s="94"/>
      <c r="U604" s="94"/>
      <c r="V604" s="94"/>
      <c r="W604" s="94"/>
      <c r="X604" s="94"/>
    </row>
    <row r="605" spans="1:27" ht="15">
      <c r="T605" s="94"/>
      <c r="U605" s="94"/>
      <c r="V605" s="94"/>
      <c r="W605" s="94"/>
      <c r="X605" s="94"/>
    </row>
    <row r="606" spans="1:27" ht="15">
      <c r="T606" s="94"/>
      <c r="U606" s="94"/>
      <c r="V606" s="94"/>
      <c r="W606" s="94"/>
      <c r="X606" s="94"/>
    </row>
    <row r="607" spans="1:27" ht="15">
      <c r="T607" s="94"/>
      <c r="U607" s="94"/>
      <c r="V607" s="94"/>
      <c r="W607" s="94"/>
      <c r="X607" s="94"/>
    </row>
    <row r="608" spans="1:27" ht="15">
      <c r="T608" s="94"/>
      <c r="U608" s="94"/>
      <c r="V608" s="94"/>
      <c r="W608" s="94"/>
      <c r="X608" s="94"/>
    </row>
    <row r="609" spans="20:24" ht="15">
      <c r="T609" s="94"/>
      <c r="U609" s="94"/>
      <c r="V609" s="94"/>
      <c r="W609" s="94"/>
      <c r="X609" s="94"/>
    </row>
    <row r="610" spans="20:24" ht="15">
      <c r="T610" s="94"/>
      <c r="U610" s="94"/>
      <c r="V610" s="94"/>
      <c r="W610" s="94"/>
      <c r="X610" s="94"/>
    </row>
    <row r="611" spans="20:24" ht="15">
      <c r="T611" s="94"/>
      <c r="U611" s="94"/>
      <c r="V611" s="94"/>
      <c r="W611" s="94"/>
      <c r="X611" s="94"/>
    </row>
    <row r="612" spans="20:24" ht="15">
      <c r="T612" s="94"/>
      <c r="U612" s="94"/>
      <c r="V612" s="94"/>
      <c r="W612" s="94"/>
      <c r="X612" s="94"/>
    </row>
    <row r="613" spans="20:24" ht="15">
      <c r="T613" s="94"/>
      <c r="U613" s="94"/>
      <c r="V613" s="94"/>
      <c r="W613" s="94"/>
      <c r="X613" s="94"/>
    </row>
    <row r="614" spans="20:24" ht="15">
      <c r="T614" s="94"/>
      <c r="U614" s="94"/>
      <c r="V614" s="94"/>
      <c r="W614" s="94"/>
      <c r="X614" s="94"/>
    </row>
    <row r="615" spans="20:24" ht="15">
      <c r="T615" s="94"/>
      <c r="U615" s="94"/>
      <c r="V615" s="94"/>
      <c r="W615" s="94"/>
      <c r="X615" s="94"/>
    </row>
    <row r="616" spans="20:24" ht="15">
      <c r="T616" s="94"/>
      <c r="U616" s="94"/>
      <c r="V616" s="94"/>
      <c r="W616" s="94"/>
      <c r="X616" s="94"/>
    </row>
    <row r="617" spans="20:24" ht="15">
      <c r="T617" s="94"/>
      <c r="U617" s="94"/>
      <c r="V617" s="94"/>
      <c r="W617" s="94"/>
      <c r="X617" s="94"/>
    </row>
    <row r="618" spans="20:24" ht="15">
      <c r="T618" s="94"/>
      <c r="U618" s="94"/>
      <c r="V618" s="94"/>
      <c r="W618" s="94"/>
      <c r="X618" s="94"/>
    </row>
    <row r="619" spans="20:24" ht="15">
      <c r="T619" s="94"/>
      <c r="U619" s="94"/>
      <c r="V619" s="94"/>
      <c r="W619" s="94"/>
      <c r="X619" s="94"/>
    </row>
    <row r="620" spans="20:24" ht="15">
      <c r="T620" s="94"/>
      <c r="U620" s="94"/>
      <c r="V620" s="94"/>
      <c r="W620" s="94"/>
      <c r="X620" s="94"/>
    </row>
    <row r="621" spans="20:24" ht="15">
      <c r="T621" s="94"/>
      <c r="U621" s="94"/>
      <c r="V621" s="94"/>
      <c r="W621" s="94"/>
      <c r="X621" s="94"/>
    </row>
    <row r="622" spans="20:24" ht="15">
      <c r="T622" s="94"/>
      <c r="U622" s="94"/>
      <c r="V622" s="94"/>
      <c r="W622" s="94"/>
      <c r="X622" s="94"/>
    </row>
    <row r="623" spans="20:24" ht="15">
      <c r="T623" s="94"/>
      <c r="U623" s="94"/>
      <c r="V623" s="94"/>
      <c r="W623" s="94"/>
      <c r="X623" s="94"/>
    </row>
    <row r="624" spans="20:24" ht="15">
      <c r="T624" s="94"/>
      <c r="U624" s="94"/>
      <c r="V624" s="94"/>
      <c r="W624" s="94"/>
      <c r="X624" s="94"/>
    </row>
    <row r="625" spans="20:24" ht="15">
      <c r="T625" s="94"/>
      <c r="U625" s="94"/>
      <c r="V625" s="94"/>
      <c r="W625" s="94"/>
      <c r="X625" s="94"/>
    </row>
    <row r="626" spans="20:24" ht="15">
      <c r="T626" s="94"/>
      <c r="U626" s="94"/>
      <c r="V626" s="94"/>
      <c r="W626" s="94"/>
      <c r="X626" s="94"/>
    </row>
    <row r="627" spans="20:24" ht="15">
      <c r="T627" s="94"/>
      <c r="U627" s="94"/>
      <c r="V627" s="94"/>
      <c r="W627" s="94"/>
      <c r="X627" s="94"/>
    </row>
    <row r="628" spans="20:24" ht="15">
      <c r="T628" s="94"/>
      <c r="U628" s="94"/>
      <c r="V628" s="94"/>
      <c r="W628" s="94"/>
      <c r="X628" s="94"/>
    </row>
    <row r="629" spans="20:24" ht="15">
      <c r="T629" s="94"/>
      <c r="U629" s="94"/>
      <c r="V629" s="94"/>
      <c r="W629" s="94"/>
      <c r="X629" s="94"/>
    </row>
    <row r="630" spans="20:24" ht="15">
      <c r="T630" s="94"/>
      <c r="U630" s="94"/>
      <c r="V630" s="94"/>
      <c r="W630" s="94"/>
      <c r="X630" s="94"/>
    </row>
    <row r="631" spans="20:24" ht="15">
      <c r="T631" s="94"/>
      <c r="U631" s="94"/>
      <c r="V631" s="94"/>
      <c r="W631" s="94"/>
      <c r="X631" s="94"/>
    </row>
    <row r="632" spans="20:24" ht="15">
      <c r="T632" s="94"/>
      <c r="U632" s="94"/>
      <c r="V632" s="94"/>
      <c r="W632" s="94"/>
      <c r="X632" s="94"/>
    </row>
    <row r="633" spans="20:24" ht="15">
      <c r="T633" s="94"/>
      <c r="U633" s="94"/>
      <c r="V633" s="94"/>
      <c r="W633" s="94"/>
      <c r="X633" s="94"/>
    </row>
    <row r="634" spans="20:24" ht="15">
      <c r="T634" s="94"/>
      <c r="U634" s="94"/>
      <c r="V634" s="94"/>
      <c r="W634" s="94"/>
      <c r="X634" s="94"/>
    </row>
    <row r="635" spans="20:24" ht="15">
      <c r="T635" s="94"/>
      <c r="U635" s="94"/>
      <c r="V635" s="94"/>
      <c r="W635" s="94"/>
      <c r="X635" s="94"/>
    </row>
    <row r="636" spans="20:24" ht="15">
      <c r="T636" s="94"/>
      <c r="U636" s="94"/>
      <c r="V636" s="94"/>
      <c r="W636" s="94"/>
      <c r="X636" s="94"/>
    </row>
    <row r="637" spans="20:24" ht="15">
      <c r="T637" s="94"/>
      <c r="U637" s="94"/>
      <c r="V637" s="94"/>
      <c r="W637" s="94"/>
      <c r="X637" s="94"/>
    </row>
    <row r="638" spans="20:24" ht="15">
      <c r="T638" s="94"/>
      <c r="U638" s="94"/>
      <c r="V638" s="94"/>
      <c r="W638" s="94"/>
      <c r="X638" s="94"/>
    </row>
    <row r="639" spans="20:24" ht="15">
      <c r="T639" s="94"/>
      <c r="U639" s="94"/>
      <c r="V639" s="94"/>
      <c r="W639" s="94"/>
      <c r="X639" s="94"/>
    </row>
    <row r="640" spans="20:24" ht="15">
      <c r="T640" s="94"/>
      <c r="U640" s="94"/>
      <c r="V640" s="94"/>
      <c r="W640" s="94"/>
      <c r="X640" s="94"/>
    </row>
    <row r="641" spans="20:24" ht="15">
      <c r="T641" s="94"/>
      <c r="U641" s="94"/>
      <c r="V641" s="94"/>
      <c r="W641" s="94"/>
      <c r="X641" s="94"/>
    </row>
    <row r="642" spans="20:24" ht="15">
      <c r="T642" s="94"/>
      <c r="U642" s="94"/>
      <c r="V642" s="94"/>
      <c r="W642" s="94"/>
      <c r="X642" s="94"/>
    </row>
    <row r="643" spans="20:24" ht="15">
      <c r="T643" s="94"/>
      <c r="U643" s="94"/>
      <c r="V643" s="94"/>
      <c r="W643" s="94"/>
      <c r="X643" s="94"/>
    </row>
    <row r="644" spans="20:24" ht="15">
      <c r="T644" s="94"/>
      <c r="U644" s="94"/>
      <c r="V644" s="94"/>
      <c r="W644" s="94"/>
      <c r="X644" s="94"/>
    </row>
    <row r="645" spans="20:24" ht="15">
      <c r="T645" s="94"/>
      <c r="U645" s="94"/>
      <c r="V645" s="94"/>
      <c r="W645" s="94"/>
      <c r="X645" s="94"/>
    </row>
    <row r="646" spans="20:24" ht="15">
      <c r="T646" s="94"/>
      <c r="U646" s="94"/>
      <c r="V646" s="94"/>
      <c r="W646" s="94"/>
      <c r="X646" s="94"/>
    </row>
    <row r="647" spans="20:24" ht="15">
      <c r="T647" s="94"/>
      <c r="U647" s="94"/>
      <c r="V647" s="94"/>
      <c r="W647" s="94"/>
      <c r="X647" s="94"/>
    </row>
    <row r="648" spans="20:24" ht="15">
      <c r="T648" s="94"/>
      <c r="U648" s="94"/>
      <c r="V648" s="94"/>
      <c r="W648" s="94"/>
      <c r="X648" s="94"/>
    </row>
    <row r="649" spans="20:24" ht="15">
      <c r="T649" s="94"/>
      <c r="U649" s="94"/>
      <c r="V649" s="94"/>
      <c r="W649" s="94"/>
      <c r="X649" s="94"/>
    </row>
    <row r="650" spans="20:24" ht="15">
      <c r="T650" s="94"/>
      <c r="U650" s="94"/>
      <c r="V650" s="94"/>
      <c r="W650" s="94"/>
      <c r="X650" s="94"/>
    </row>
    <row r="651" spans="20:24" ht="15">
      <c r="T651" s="94"/>
      <c r="U651" s="94"/>
      <c r="V651" s="94"/>
      <c r="W651" s="94"/>
      <c r="X651" s="94"/>
    </row>
    <row r="652" spans="20:24" ht="15">
      <c r="T652" s="94"/>
      <c r="U652" s="94"/>
      <c r="V652" s="94"/>
      <c r="W652" s="94"/>
      <c r="X652" s="94"/>
    </row>
  </sheetData>
  <mergeCells count="3">
    <mergeCell ref="A7:B7"/>
    <mergeCell ref="A9:B9"/>
    <mergeCell ref="D5:K5"/>
  </mergeCells>
  <pageMargins left="0.70866141732283472" right="0.70866141732283472" top="0.74803149606299213" bottom="0.74803149606299213" header="0.31496062992125984" footer="0.31496062992125984"/>
  <pageSetup paperSize="9" scale="43" fitToHeight="1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678"/>
  <sheetViews>
    <sheetView showGridLines="0" topLeftCell="A28" zoomScale="90" zoomScaleNormal="90" zoomScaleSheetLayoutView="70" workbookViewId="0">
      <selection sqref="A1:IV27"/>
    </sheetView>
  </sheetViews>
  <sheetFormatPr defaultColWidth="9.109375" defaultRowHeight="13.2"/>
  <cols>
    <col min="1" max="1" width="10.44140625" style="42" customWidth="1"/>
    <col min="2" max="2" width="12" style="42" customWidth="1"/>
    <col min="3" max="3" width="78.109375" style="40" customWidth="1"/>
    <col min="4" max="4" width="18.6640625" style="974" customWidth="1"/>
    <col min="5" max="5" width="17.33203125" style="40" customWidth="1"/>
    <col min="6" max="6" width="3.33203125" style="975" customWidth="1"/>
    <col min="7" max="7" width="3.33203125" style="1156" customWidth="1"/>
    <col min="8" max="8" width="6.33203125" style="40" customWidth="1"/>
    <col min="9" max="9" width="15.6640625" style="40" bestFit="1" customWidth="1"/>
    <col min="10" max="10" width="4.5546875" style="40" customWidth="1"/>
    <col min="11" max="11" width="6.33203125" style="40" customWidth="1"/>
    <col min="12" max="13" width="3" style="40" customWidth="1"/>
    <col min="14" max="14" width="4.33203125" style="40" customWidth="1"/>
    <col min="15" max="16" width="3" style="40" customWidth="1"/>
    <col min="17" max="17" width="18.33203125" style="40" bestFit="1" customWidth="1"/>
    <col min="18" max="18" width="4" style="40" customWidth="1"/>
    <col min="19" max="21" width="3.33203125" style="40" customWidth="1"/>
    <col min="22" max="22" width="1.33203125" style="40" customWidth="1"/>
    <col min="23" max="23" width="5.33203125" style="40" customWidth="1"/>
    <col min="24" max="28" width="3.33203125" style="40" customWidth="1"/>
    <col min="29" max="29" width="9.109375" style="40" customWidth="1"/>
    <col min="30" max="198" width="9.109375" style="40"/>
    <col min="199" max="206" width="9.109375" style="40" customWidth="1"/>
    <col min="207" max="207" width="10.109375" style="40" customWidth="1"/>
    <col min="208" max="208" width="1" style="40" customWidth="1"/>
    <col min="209" max="211" width="3.33203125" style="40" customWidth="1"/>
    <col min="212" max="212" width="1.88671875" style="40" customWidth="1"/>
    <col min="213" max="213" width="17.88671875" style="40" customWidth="1"/>
    <col min="214" max="214" width="1.88671875" style="40" customWidth="1"/>
    <col min="215" max="217" width="3.33203125" style="40" customWidth="1"/>
    <col min="218" max="218" width="2.88671875" style="40" customWidth="1"/>
    <col min="219" max="219" width="1.88671875" style="40" customWidth="1"/>
    <col min="220" max="220" width="19.6640625" style="40" customWidth="1"/>
    <col min="221" max="221" width="1.88671875" style="40" customWidth="1"/>
    <col min="222" max="224" width="3" style="40" customWidth="1"/>
    <col min="225" max="225" width="4.44140625" style="40" customWidth="1"/>
    <col min="226" max="227" width="3" style="40" customWidth="1"/>
    <col min="228" max="233" width="3.33203125" style="40" customWidth="1"/>
    <col min="234" max="235" width="9.109375" style="40" customWidth="1"/>
    <col min="236" max="239" width="3.33203125" style="40" customWidth="1"/>
    <col min="240" max="240" width="4.109375" style="40" customWidth="1"/>
    <col min="241" max="241" width="1.6640625" style="40" customWidth="1"/>
    <col min="242" max="246" width="3.33203125" style="40" customWidth="1"/>
    <col min="247" max="247" width="1.6640625" style="40" customWidth="1"/>
    <col min="248" max="252" width="3.33203125" style="40" customWidth="1"/>
    <col min="253" max="16384" width="9.109375" style="40"/>
  </cols>
  <sheetData>
    <row r="1" spans="1:29" ht="15" hidden="1" customHeight="1">
      <c r="A1" s="973" t="s">
        <v>1510</v>
      </c>
      <c r="B1" s="40"/>
      <c r="G1" s="975"/>
      <c r="Y1" s="976" t="s">
        <v>2763</v>
      </c>
      <c r="Z1" s="977"/>
      <c r="AA1" s="977"/>
      <c r="AB1" s="978"/>
      <c r="AC1" s="979"/>
    </row>
    <row r="2" spans="1:29" ht="9.15" hidden="1" customHeight="1" thickBot="1">
      <c r="A2" s="40"/>
      <c r="B2" s="40"/>
      <c r="G2" s="975"/>
      <c r="Y2" s="980"/>
      <c r="Z2" s="981"/>
      <c r="AA2" s="981"/>
      <c r="AB2" s="982"/>
      <c r="AC2" s="979"/>
    </row>
    <row r="3" spans="1:29" ht="15" hidden="1" customHeight="1">
      <c r="A3" s="40" t="s">
        <v>1511</v>
      </c>
      <c r="B3" s="40"/>
      <c r="G3" s="975"/>
      <c r="AC3" s="979"/>
    </row>
    <row r="4" spans="1:29" ht="15" hidden="1" customHeight="1">
      <c r="A4" s="40" t="s">
        <v>1512</v>
      </c>
      <c r="B4" s="40"/>
      <c r="G4" s="975"/>
      <c r="AC4" s="979"/>
    </row>
    <row r="5" spans="1:29" ht="15" hidden="1" customHeight="1">
      <c r="A5" s="40"/>
      <c r="B5" s="40"/>
      <c r="G5" s="975"/>
      <c r="AC5" s="979"/>
    </row>
    <row r="6" spans="1:29" ht="76.5" hidden="1" customHeight="1">
      <c r="A6" s="983" t="s">
        <v>2764</v>
      </c>
      <c r="C6" s="984"/>
      <c r="D6" s="985"/>
      <c r="E6" s="984"/>
      <c r="F6" s="986"/>
      <c r="G6" s="986"/>
      <c r="H6" s="984"/>
      <c r="I6" s="984"/>
      <c r="J6" s="987"/>
      <c r="K6" s="987"/>
      <c r="L6" s="987"/>
      <c r="M6" s="987"/>
      <c r="N6" s="987"/>
      <c r="O6" s="987"/>
      <c r="P6" s="987"/>
      <c r="Q6" s="987"/>
      <c r="R6" s="987"/>
      <c r="S6" s="987"/>
      <c r="T6" s="987"/>
      <c r="U6" s="987"/>
      <c r="V6" s="987"/>
      <c r="W6" s="987"/>
      <c r="X6" s="987"/>
      <c r="Y6" s="987"/>
      <c r="Z6" s="987"/>
      <c r="AA6" s="987"/>
      <c r="AB6" s="987"/>
      <c r="AC6" s="979"/>
    </row>
    <row r="7" spans="1:29" ht="15" hidden="1" customHeight="1" thickBot="1">
      <c r="B7" s="40"/>
      <c r="C7" s="42"/>
      <c r="E7" s="42"/>
      <c r="F7" s="988"/>
      <c r="G7" s="988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979"/>
    </row>
    <row r="8" spans="1:29" ht="23.4" hidden="1" customHeight="1" thickBot="1">
      <c r="A8" s="1564" t="s">
        <v>1514</v>
      </c>
      <c r="B8" s="1565"/>
      <c r="C8" s="1565"/>
      <c r="D8" s="1565"/>
      <c r="E8" s="1565"/>
      <c r="F8" s="1565"/>
      <c r="G8" s="1565"/>
      <c r="H8" s="1565"/>
      <c r="I8" s="1566"/>
      <c r="J8" s="42"/>
      <c r="K8" s="989" t="s">
        <v>2765</v>
      </c>
      <c r="L8" s="990"/>
      <c r="M8" s="990"/>
      <c r="N8" s="990"/>
      <c r="O8" s="990"/>
      <c r="P8" s="990"/>
      <c r="Q8" s="990"/>
      <c r="R8" s="990"/>
      <c r="S8" s="990"/>
      <c r="T8" s="990"/>
      <c r="U8" s="990"/>
      <c r="V8" s="990"/>
      <c r="W8" s="990"/>
      <c r="X8" s="990"/>
      <c r="Y8" s="990"/>
      <c r="Z8" s="990"/>
      <c r="AA8" s="990"/>
      <c r="AB8" s="991"/>
      <c r="AC8" s="979"/>
    </row>
    <row r="9" spans="1:29" ht="15" hidden="1" customHeight="1">
      <c r="A9" s="992"/>
      <c r="B9" s="43"/>
      <c r="C9" s="993"/>
      <c r="D9" s="43"/>
      <c r="E9" s="994"/>
      <c r="F9" s="994"/>
      <c r="G9" s="43"/>
      <c r="H9" s="43"/>
      <c r="I9" s="44"/>
      <c r="J9" s="42"/>
      <c r="K9" s="45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4"/>
      <c r="AC9" s="979"/>
    </row>
    <row r="10" spans="1:29" ht="15" hidden="1" customHeight="1">
      <c r="A10" s="995" t="s">
        <v>1516</v>
      </c>
      <c r="B10" s="46">
        <v>0</v>
      </c>
      <c r="C10" s="46">
        <v>60</v>
      </c>
      <c r="D10" s="995" t="s">
        <v>1517</v>
      </c>
      <c r="E10" s="996"/>
      <c r="F10" s="46">
        <v>9</v>
      </c>
      <c r="G10" s="46">
        <v>0</v>
      </c>
      <c r="H10" s="46">
        <v>1</v>
      </c>
      <c r="I10" s="47"/>
      <c r="J10" s="42"/>
      <c r="K10" s="997" t="s">
        <v>1518</v>
      </c>
      <c r="L10" s="998"/>
      <c r="M10" s="998"/>
      <c r="N10" s="998"/>
      <c r="O10" s="998"/>
      <c r="P10" s="999"/>
      <c r="Q10" s="999"/>
      <c r="R10" s="1000">
        <v>2</v>
      </c>
      <c r="S10" s="1000">
        <v>0</v>
      </c>
      <c r="T10" s="1000">
        <v>1</v>
      </c>
      <c r="U10" s="1000">
        <v>9</v>
      </c>
      <c r="V10" s="999"/>
      <c r="W10" s="999"/>
      <c r="X10" s="999"/>
      <c r="Y10" s="999"/>
      <c r="Z10" s="999"/>
      <c r="AA10" s="999"/>
      <c r="AB10" s="1001"/>
      <c r="AC10" s="979"/>
    </row>
    <row r="11" spans="1:29" hidden="1">
      <c r="A11" s="1002"/>
      <c r="C11" s="995"/>
      <c r="D11" s="42"/>
      <c r="E11" s="988"/>
      <c r="F11" s="988"/>
      <c r="G11" s="42"/>
      <c r="H11" s="42"/>
      <c r="I11" s="47"/>
      <c r="J11" s="42"/>
      <c r="K11" s="51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7"/>
      <c r="AC11" s="979"/>
    </row>
    <row r="12" spans="1:29" ht="15" hidden="1" customHeight="1">
      <c r="A12" s="1002"/>
      <c r="C12" s="995"/>
      <c r="D12" s="42"/>
      <c r="E12" s="988"/>
      <c r="F12" s="988"/>
      <c r="G12" s="42"/>
      <c r="H12" s="42"/>
      <c r="I12" s="47"/>
      <c r="J12" s="42"/>
      <c r="K12" s="48" t="s">
        <v>1519</v>
      </c>
      <c r="L12" s="1003"/>
      <c r="M12" s="1003"/>
      <c r="N12" s="1003"/>
      <c r="O12" s="1003"/>
      <c r="P12" s="1003"/>
      <c r="Q12" s="42">
        <v>1</v>
      </c>
      <c r="R12" s="46"/>
      <c r="S12" s="42"/>
      <c r="T12" s="42">
        <v>2</v>
      </c>
      <c r="U12" s="46"/>
      <c r="V12" s="42"/>
      <c r="W12" s="42">
        <v>3</v>
      </c>
      <c r="X12" s="46"/>
      <c r="Y12" s="42"/>
      <c r="Z12" s="42">
        <v>4</v>
      </c>
      <c r="AA12" s="46"/>
      <c r="AB12" s="47"/>
      <c r="AC12" s="979"/>
    </row>
    <row r="13" spans="1:29" ht="10.199999999999999" hidden="1" customHeight="1">
      <c r="A13" s="1002"/>
      <c r="C13" s="995"/>
      <c r="D13" s="42"/>
      <c r="E13" s="988"/>
      <c r="F13" s="988"/>
      <c r="G13" s="42"/>
      <c r="H13" s="42"/>
      <c r="I13" s="47"/>
      <c r="J13" s="42"/>
      <c r="K13" s="51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7"/>
      <c r="AC13" s="979"/>
    </row>
    <row r="14" spans="1:29" ht="15" hidden="1" customHeight="1">
      <c r="A14" s="1002"/>
      <c r="C14" s="995"/>
      <c r="D14" s="42"/>
      <c r="E14" s="988"/>
      <c r="F14" s="988"/>
      <c r="G14" s="42"/>
      <c r="H14" s="42"/>
      <c r="I14" s="47"/>
      <c r="J14" s="42"/>
      <c r="K14" s="48" t="s">
        <v>1520</v>
      </c>
      <c r="L14" s="1003"/>
      <c r="M14" s="1003"/>
      <c r="N14" s="1003"/>
      <c r="O14" s="1003"/>
      <c r="P14" s="1003"/>
      <c r="Q14" s="42"/>
      <c r="R14" s="46"/>
      <c r="S14" s="42"/>
      <c r="T14" s="42"/>
      <c r="U14" s="1003" t="s">
        <v>2766</v>
      </c>
      <c r="V14" s="1004"/>
      <c r="W14" s="1004"/>
      <c r="X14" s="1004"/>
      <c r="Y14" s="1004"/>
      <c r="Z14" s="1005"/>
      <c r="AA14" s="46" t="s">
        <v>2132</v>
      </c>
      <c r="AB14" s="47"/>
      <c r="AC14" s="979"/>
    </row>
    <row r="15" spans="1:29" ht="15" hidden="1" customHeight="1" thickBot="1">
      <c r="A15" s="1006"/>
      <c r="B15" s="53"/>
      <c r="C15" s="1007"/>
      <c r="D15" s="53"/>
      <c r="E15" s="1008"/>
      <c r="F15" s="1008"/>
      <c r="G15" s="53"/>
      <c r="H15" s="53"/>
      <c r="I15" s="54"/>
      <c r="J15" s="42"/>
      <c r="K15" s="55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4"/>
      <c r="AC15" s="979"/>
    </row>
    <row r="16" spans="1:29" ht="7.5" hidden="1" customHeight="1">
      <c r="B16" s="40"/>
      <c r="C16" s="42"/>
      <c r="D16" s="995"/>
      <c r="E16" s="42"/>
      <c r="F16" s="988"/>
      <c r="G16" s="988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979"/>
    </row>
    <row r="17" spans="1:29" ht="7.5" hidden="1" customHeight="1">
      <c r="B17" s="40"/>
      <c r="C17" s="42"/>
      <c r="D17" s="995"/>
      <c r="E17" s="42"/>
      <c r="F17" s="988"/>
      <c r="G17" s="988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979"/>
    </row>
    <row r="18" spans="1:29" ht="7.5" hidden="1" customHeight="1">
      <c r="B18" s="40"/>
      <c r="C18" s="42"/>
      <c r="D18" s="995"/>
      <c r="E18" s="42"/>
      <c r="F18" s="988"/>
      <c r="G18" s="988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979"/>
    </row>
    <row r="19" spans="1:29" ht="7.5" hidden="1" customHeight="1" thickBot="1">
      <c r="B19" s="40"/>
      <c r="C19" s="42"/>
      <c r="D19" s="995"/>
      <c r="E19" s="42"/>
      <c r="F19" s="988"/>
      <c r="G19" s="988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979"/>
    </row>
    <row r="20" spans="1:29" ht="23.4" hidden="1" customHeight="1" thickBot="1">
      <c r="A20" s="1564" t="s">
        <v>1522</v>
      </c>
      <c r="B20" s="1565"/>
      <c r="C20" s="1565"/>
      <c r="D20" s="1565"/>
      <c r="E20" s="1565"/>
      <c r="F20" s="1565"/>
      <c r="G20" s="1565"/>
      <c r="H20" s="1565"/>
      <c r="I20" s="1565"/>
      <c r="J20" s="1565"/>
      <c r="K20" s="1565"/>
      <c r="L20" s="1565"/>
      <c r="M20" s="1565"/>
      <c r="N20" s="1565"/>
      <c r="O20" s="1565"/>
      <c r="P20" s="1565"/>
      <c r="Q20" s="1565"/>
      <c r="R20" s="1565"/>
      <c r="S20" s="1565"/>
      <c r="T20" s="1565"/>
      <c r="U20" s="1565"/>
      <c r="V20" s="1565"/>
      <c r="W20" s="1565"/>
      <c r="X20" s="1565"/>
      <c r="Y20" s="1565"/>
      <c r="Z20" s="1565"/>
      <c r="AA20" s="1565"/>
      <c r="AB20" s="1566"/>
      <c r="AC20" s="979"/>
    </row>
    <row r="21" spans="1:29" ht="15" hidden="1" customHeight="1">
      <c r="A21" s="1009"/>
      <c r="B21" s="1010"/>
      <c r="C21" s="1011"/>
      <c r="D21" s="1012"/>
      <c r="E21" s="1011"/>
      <c r="F21" s="1013"/>
      <c r="G21" s="986"/>
      <c r="H21" s="984"/>
      <c r="I21" s="984"/>
      <c r="J21" s="984"/>
      <c r="K21" s="984"/>
      <c r="L21" s="984"/>
      <c r="M21" s="984"/>
      <c r="N21" s="984"/>
      <c r="O21" s="984"/>
      <c r="P21" s="984"/>
      <c r="Q21" s="984"/>
      <c r="R21" s="984"/>
      <c r="S21" s="984"/>
      <c r="T21" s="984"/>
      <c r="U21" s="984"/>
      <c r="V21" s="984"/>
      <c r="W21" s="984"/>
      <c r="X21" s="984"/>
      <c r="Y21" s="984"/>
      <c r="Z21" s="984"/>
      <c r="AA21" s="984"/>
      <c r="AB21" s="1014"/>
      <c r="AC21" s="979"/>
    </row>
    <row r="22" spans="1:29" ht="15" hidden="1" customHeight="1">
      <c r="A22" s="51"/>
      <c r="C22" s="42"/>
      <c r="D22" s="42"/>
      <c r="E22" s="1004"/>
      <c r="F22" s="42"/>
      <c r="G22" s="975"/>
      <c r="I22" s="1004" t="s">
        <v>1523</v>
      </c>
      <c r="J22" s="46" t="s">
        <v>2132</v>
      </c>
      <c r="K22" s="42"/>
      <c r="L22" s="42"/>
      <c r="M22" s="1004" t="s">
        <v>1524</v>
      </c>
      <c r="N22" s="46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7"/>
      <c r="AC22" s="979"/>
    </row>
    <row r="23" spans="1:29" ht="15" hidden="1" customHeight="1" thickBot="1">
      <c r="A23" s="55"/>
      <c r="B23" s="53"/>
      <c r="C23" s="53"/>
      <c r="D23" s="1007"/>
      <c r="E23" s="53"/>
      <c r="F23" s="1008"/>
      <c r="G23" s="1008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4"/>
      <c r="AC23" s="979"/>
    </row>
    <row r="24" spans="1:29" ht="7.5" hidden="1" customHeight="1">
      <c r="C24" s="42"/>
      <c r="D24" s="995"/>
      <c r="E24" s="43"/>
      <c r="F24" s="994"/>
      <c r="G24" s="994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979"/>
    </row>
    <row r="25" spans="1:29" ht="7.5" hidden="1" customHeight="1">
      <c r="C25" s="42"/>
      <c r="D25" s="995"/>
      <c r="E25" s="42"/>
      <c r="F25" s="988"/>
      <c r="G25" s="988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979"/>
    </row>
    <row r="26" spans="1:29" ht="7.5" hidden="1" customHeight="1">
      <c r="C26" s="42"/>
      <c r="D26" s="995"/>
      <c r="E26" s="42"/>
      <c r="F26" s="988"/>
      <c r="G26" s="988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979"/>
    </row>
    <row r="27" spans="1:29" ht="7.5" hidden="1" customHeight="1">
      <c r="C27" s="42"/>
      <c r="D27" s="995"/>
      <c r="E27" s="42"/>
      <c r="F27" s="988"/>
      <c r="G27" s="988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979"/>
    </row>
    <row r="28" spans="1:29" ht="21.75" customHeight="1" thickBot="1">
      <c r="A28" s="984"/>
      <c r="B28" s="984"/>
      <c r="C28" s="984"/>
      <c r="D28" s="995" t="s">
        <v>2767</v>
      </c>
      <c r="E28" s="984"/>
      <c r="F28" s="986"/>
      <c r="G28" s="986"/>
      <c r="H28" s="984"/>
      <c r="I28" s="984"/>
      <c r="J28" s="984"/>
      <c r="K28" s="984"/>
      <c r="L28" s="984"/>
      <c r="M28" s="984"/>
      <c r="N28" s="984"/>
      <c r="O28" s="984"/>
      <c r="P28" s="984"/>
      <c r="Q28" s="984"/>
      <c r="R28" s="984"/>
      <c r="S28" s="984"/>
      <c r="T28" s="984"/>
      <c r="U28" s="984"/>
      <c r="V28" s="984"/>
      <c r="W28" s="984"/>
      <c r="Y28" s="42"/>
      <c r="Z28" s="42"/>
      <c r="AA28" s="42"/>
      <c r="AB28" s="42"/>
    </row>
    <row r="29" spans="1:29" ht="27" thickBot="1">
      <c r="A29" s="1015" t="s">
        <v>1525</v>
      </c>
      <c r="B29" s="1016" t="s">
        <v>1526</v>
      </c>
      <c r="C29" s="1017" t="s">
        <v>1527</v>
      </c>
      <c r="D29" s="1018" t="s">
        <v>3938</v>
      </c>
      <c r="E29" s="1018" t="s">
        <v>2768</v>
      </c>
      <c r="F29" s="1019"/>
      <c r="G29" s="1020"/>
      <c r="H29" s="1021"/>
      <c r="I29" s="1021"/>
      <c r="J29" s="1021"/>
      <c r="K29" s="1021"/>
      <c r="L29" s="1021"/>
      <c r="M29" s="1021"/>
      <c r="N29" s="1021"/>
      <c r="O29" s="1021"/>
      <c r="P29" s="1021"/>
      <c r="Q29" s="1021"/>
      <c r="R29" s="1021"/>
      <c r="S29" s="1021"/>
      <c r="T29" s="1021"/>
      <c r="U29" s="1021"/>
      <c r="V29" s="1021"/>
      <c r="W29" s="1021"/>
    </row>
    <row r="30" spans="1:29" s="1028" customFormat="1" ht="13.8">
      <c r="A30" s="1022"/>
      <c r="B30" s="1023" t="s">
        <v>2769</v>
      </c>
      <c r="C30" s="1024" t="s">
        <v>2770</v>
      </c>
      <c r="D30" s="1025">
        <f>+D31+D58+D95</f>
        <v>26707028</v>
      </c>
      <c r="E30" s="1025">
        <f>+E31+E58+E95</f>
        <v>41895244</v>
      </c>
      <c r="F30" s="1026"/>
      <c r="G30" s="1027"/>
    </row>
    <row r="31" spans="1:29" s="1028" customFormat="1" ht="13.8">
      <c r="A31" s="1029"/>
      <c r="B31" s="1030" t="s">
        <v>2771</v>
      </c>
      <c r="C31" s="1031" t="s">
        <v>2772</v>
      </c>
      <c r="D31" s="1032">
        <f>+D32+D35+D38+D43+D44-D53</f>
        <v>10792</v>
      </c>
      <c r="E31" s="1032">
        <f>+E32+E35+E38+E43+E44-E53</f>
        <v>8509</v>
      </c>
      <c r="F31" s="1033"/>
      <c r="G31" s="1027"/>
    </row>
    <row r="32" spans="1:29" s="1038" customFormat="1" ht="13.8">
      <c r="A32" s="1034"/>
      <c r="B32" s="1035" t="s">
        <v>2773</v>
      </c>
      <c r="C32" s="1036" t="s">
        <v>2774</v>
      </c>
      <c r="D32" s="1037">
        <f>+D33-D34</f>
        <v>0</v>
      </c>
      <c r="E32" s="1037">
        <f>+E33-E34</f>
        <v>0</v>
      </c>
      <c r="F32" s="1026"/>
      <c r="G32" s="1027"/>
      <c r="J32" s="1028"/>
      <c r="K32" s="1028"/>
    </row>
    <row r="33" spans="1:11" s="1044" customFormat="1" ht="13.8">
      <c r="A33" s="1039"/>
      <c r="B33" s="1040" t="s">
        <v>2775</v>
      </c>
      <c r="C33" s="1041" t="s">
        <v>2776</v>
      </c>
      <c r="D33" s="1042">
        <f>+'Alimentazione SP A'!H4</f>
        <v>0</v>
      </c>
      <c r="E33" s="1042">
        <f>+'Alimentazione SP A'!I4</f>
        <v>0</v>
      </c>
      <c r="F33" s="1026"/>
      <c r="G33" s="1043"/>
      <c r="J33" s="1028"/>
      <c r="K33" s="1028"/>
    </row>
    <row r="34" spans="1:11" s="1044" customFormat="1" ht="13.8">
      <c r="A34" s="1039"/>
      <c r="B34" s="1040" t="s">
        <v>2777</v>
      </c>
      <c r="C34" s="1041" t="s">
        <v>2778</v>
      </c>
      <c r="D34" s="1042">
        <f>+'Alimentazione SP P'!H33</f>
        <v>0</v>
      </c>
      <c r="E34" s="1042">
        <f>+'Alimentazione SP P'!I33</f>
        <v>0</v>
      </c>
      <c r="F34" s="1026"/>
      <c r="G34" s="1043"/>
      <c r="J34" s="1028"/>
      <c r="K34" s="1028"/>
    </row>
    <row r="35" spans="1:11" s="1044" customFormat="1" ht="13.8">
      <c r="A35" s="1045"/>
      <c r="B35" s="1035" t="s">
        <v>2779</v>
      </c>
      <c r="C35" s="1036" t="s">
        <v>2780</v>
      </c>
      <c r="D35" s="1037">
        <f>+D36-D37</f>
        <v>0</v>
      </c>
      <c r="E35" s="1037">
        <f>+E36-E37</f>
        <v>0</v>
      </c>
      <c r="F35" s="1026"/>
      <c r="G35" s="1043"/>
      <c r="J35" s="1028"/>
      <c r="K35" s="1028"/>
    </row>
    <row r="36" spans="1:11" s="1044" customFormat="1" ht="13.8">
      <c r="A36" s="1039"/>
      <c r="B36" s="1040" t="s">
        <v>2781</v>
      </c>
      <c r="C36" s="1041" t="s">
        <v>2782</v>
      </c>
      <c r="D36" s="1042">
        <f>+'Alimentazione SP A'!H5</f>
        <v>0</v>
      </c>
      <c r="E36" s="1042">
        <f>+'Alimentazione SP A'!I5</f>
        <v>0</v>
      </c>
      <c r="F36" s="1026"/>
      <c r="G36" s="1043"/>
      <c r="J36" s="1028"/>
      <c r="K36" s="1028"/>
    </row>
    <row r="37" spans="1:11" s="1044" customFormat="1" ht="13.8">
      <c r="A37" s="1039"/>
      <c r="B37" s="1040" t="s">
        <v>2783</v>
      </c>
      <c r="C37" s="1041" t="s">
        <v>2784</v>
      </c>
      <c r="D37" s="1042">
        <f>+'Alimentazione SP P'!H34</f>
        <v>0</v>
      </c>
      <c r="E37" s="1042">
        <f>+'Alimentazione SP P'!I34</f>
        <v>0</v>
      </c>
      <c r="F37" s="1026"/>
      <c r="G37" s="1043"/>
      <c r="J37" s="1028"/>
      <c r="K37" s="1028"/>
    </row>
    <row r="38" spans="1:11" s="1044" customFormat="1" ht="13.8">
      <c r="A38" s="1045"/>
      <c r="B38" s="1035" t="s">
        <v>2785</v>
      </c>
      <c r="C38" s="1036" t="s">
        <v>2786</v>
      </c>
      <c r="D38" s="1037">
        <f>+D39-D40+D41-D42</f>
        <v>0</v>
      </c>
      <c r="E38" s="1037">
        <f>+E39-E40+E41-E42</f>
        <v>0</v>
      </c>
      <c r="F38" s="1026"/>
      <c r="G38" s="1043"/>
      <c r="J38" s="1028"/>
      <c r="K38" s="1028"/>
    </row>
    <row r="39" spans="1:11" s="1044" customFormat="1" ht="26.4">
      <c r="A39" s="1039"/>
      <c r="B39" s="1040" t="s">
        <v>2787</v>
      </c>
      <c r="C39" s="1041" t="s">
        <v>2788</v>
      </c>
      <c r="D39" s="1042">
        <f>+'Alimentazione SP A'!H7</f>
        <v>0</v>
      </c>
      <c r="E39" s="1042">
        <f>+'Alimentazione SP A'!I7</f>
        <v>0</v>
      </c>
      <c r="F39" s="1026"/>
      <c r="G39" s="1043"/>
      <c r="J39" s="1028"/>
      <c r="K39" s="1028"/>
    </row>
    <row r="40" spans="1:11" s="1044" customFormat="1" ht="26.4">
      <c r="A40" s="1039"/>
      <c r="B40" s="1040" t="s">
        <v>2789</v>
      </c>
      <c r="C40" s="1041" t="s">
        <v>2790</v>
      </c>
      <c r="D40" s="1042">
        <f>+'Alimentazione SP P'!H35</f>
        <v>0</v>
      </c>
      <c r="E40" s="1042">
        <f>+'Alimentazione SP P'!I35</f>
        <v>0</v>
      </c>
      <c r="F40" s="1026"/>
      <c r="G40" s="1043"/>
      <c r="J40" s="1028"/>
      <c r="K40" s="1028"/>
    </row>
    <row r="41" spans="1:11" s="1044" customFormat="1" ht="13.8">
      <c r="A41" s="1039"/>
      <c r="B41" s="1040" t="s">
        <v>2791</v>
      </c>
      <c r="C41" s="1041" t="s">
        <v>2792</v>
      </c>
      <c r="D41" s="1042">
        <f>+'Alimentazione SP A'!H8</f>
        <v>0</v>
      </c>
      <c r="E41" s="1042">
        <f>+'Alimentazione SP A'!I8</f>
        <v>0</v>
      </c>
      <c r="F41" s="1026"/>
      <c r="G41" s="1043"/>
      <c r="J41" s="1028"/>
      <c r="K41" s="1028"/>
    </row>
    <row r="42" spans="1:11" s="1044" customFormat="1" ht="13.8">
      <c r="A42" s="1039"/>
      <c r="B42" s="1040" t="s">
        <v>2793</v>
      </c>
      <c r="C42" s="1041" t="s">
        <v>2794</v>
      </c>
      <c r="D42" s="1042">
        <f>+'Alimentazione SP P'!H36</f>
        <v>0</v>
      </c>
      <c r="E42" s="1042">
        <f>+'Alimentazione SP P'!I36</f>
        <v>0</v>
      </c>
      <c r="F42" s="1026"/>
      <c r="G42" s="1043"/>
      <c r="J42" s="1028"/>
      <c r="K42" s="1028"/>
    </row>
    <row r="43" spans="1:11" s="1044" customFormat="1" ht="13.8">
      <c r="A43" s="1039"/>
      <c r="B43" s="1046" t="s">
        <v>2795</v>
      </c>
      <c r="C43" s="1047" t="s">
        <v>2796</v>
      </c>
      <c r="D43" s="1042">
        <f>+'Alimentazione SP A'!H9</f>
        <v>0</v>
      </c>
      <c r="E43" s="1042">
        <f>+'Alimentazione SP A'!I9</f>
        <v>0</v>
      </c>
      <c r="F43" s="1026"/>
      <c r="G43" s="1043"/>
      <c r="J43" s="1028"/>
      <c r="K43" s="1028"/>
    </row>
    <row r="44" spans="1:11" s="1044" customFormat="1" ht="13.8">
      <c r="A44" s="1045"/>
      <c r="B44" s="1035" t="s">
        <v>2797</v>
      </c>
      <c r="C44" s="1036" t="s">
        <v>2798</v>
      </c>
      <c r="D44" s="1037">
        <f>+D45-D46+D47-D48+D49-D50+D51-D52</f>
        <v>10792</v>
      </c>
      <c r="E44" s="1037">
        <f>+E45-E46+E47-E48+E49-E50+E51-E52</f>
        <v>8509</v>
      </c>
      <c r="F44" s="1026"/>
      <c r="G44" s="1043"/>
      <c r="J44" s="1028"/>
      <c r="K44" s="1028"/>
    </row>
    <row r="45" spans="1:11" s="1044" customFormat="1" ht="13.8">
      <c r="A45" s="1039"/>
      <c r="B45" s="1040" t="s">
        <v>2799</v>
      </c>
      <c r="C45" s="1041" t="s">
        <v>2800</v>
      </c>
      <c r="D45" s="1042">
        <f>+'Alimentazione SP A'!H11</f>
        <v>238146</v>
      </c>
      <c r="E45" s="1042">
        <f>+'Alimentazione SP A'!I11</f>
        <v>232365</v>
      </c>
      <c r="F45" s="1026"/>
      <c r="G45" s="1043"/>
      <c r="J45" s="1028"/>
      <c r="K45" s="1028"/>
    </row>
    <row r="46" spans="1:11" s="1044" customFormat="1" ht="13.8">
      <c r="A46" s="1039"/>
      <c r="B46" s="1040" t="s">
        <v>2801</v>
      </c>
      <c r="C46" s="1041" t="s">
        <v>2802</v>
      </c>
      <c r="D46" s="1042">
        <f>+'Alimentazione SP P'!H37</f>
        <v>227354</v>
      </c>
      <c r="E46" s="1042">
        <f>+'Alimentazione SP P'!I37</f>
        <v>223856</v>
      </c>
      <c r="F46" s="1026"/>
      <c r="G46" s="1043"/>
      <c r="J46" s="1028"/>
      <c r="K46" s="1028"/>
    </row>
    <row r="47" spans="1:11" s="1044" customFormat="1" ht="13.8">
      <c r="A47" s="1039"/>
      <c r="B47" s="1040" t="s">
        <v>2803</v>
      </c>
      <c r="C47" s="1041" t="s">
        <v>2804</v>
      </c>
      <c r="D47" s="1042">
        <f>+'Alimentazione SP A'!H12</f>
        <v>39838</v>
      </c>
      <c r="E47" s="1042">
        <f>+'Alimentazione SP A'!I12</f>
        <v>39838</v>
      </c>
      <c r="F47" s="1026"/>
      <c r="G47" s="1043"/>
      <c r="J47" s="1028"/>
      <c r="K47" s="1028"/>
    </row>
    <row r="48" spans="1:11" s="1044" customFormat="1" ht="13.8">
      <c r="A48" s="1039"/>
      <c r="B48" s="1040" t="s">
        <v>2805</v>
      </c>
      <c r="C48" s="1041" t="s">
        <v>2806</v>
      </c>
      <c r="D48" s="1042">
        <f>+'Alimentazione SP P'!H38</f>
        <v>39838</v>
      </c>
      <c r="E48" s="1042">
        <f>+'Alimentazione SP P'!I38</f>
        <v>39838</v>
      </c>
      <c r="F48" s="1026"/>
      <c r="G48" s="1043"/>
      <c r="J48" s="1028"/>
      <c r="K48" s="1028"/>
    </row>
    <row r="49" spans="1:11" s="1044" customFormat="1" ht="13.8">
      <c r="A49" s="1039"/>
      <c r="B49" s="1040" t="s">
        <v>2807</v>
      </c>
      <c r="C49" s="1041" t="s">
        <v>2808</v>
      </c>
      <c r="D49" s="1042">
        <f>+'Alimentazione SP A'!H13</f>
        <v>0</v>
      </c>
      <c r="E49" s="1042">
        <f>+'Alimentazione SP A'!I13</f>
        <v>0</v>
      </c>
      <c r="F49" s="1026"/>
      <c r="G49" s="1043"/>
      <c r="J49" s="1028"/>
      <c r="K49" s="1028"/>
    </row>
    <row r="50" spans="1:11" s="1044" customFormat="1" ht="13.8">
      <c r="A50" s="1039"/>
      <c r="B50" s="1040" t="s">
        <v>2809</v>
      </c>
      <c r="C50" s="1041" t="s">
        <v>2810</v>
      </c>
      <c r="D50" s="1042">
        <f>+'Alimentazione SP P'!H39</f>
        <v>0</v>
      </c>
      <c r="E50" s="1042">
        <f>+'Alimentazione SP P'!I39</f>
        <v>0</v>
      </c>
      <c r="F50" s="1026"/>
      <c r="G50" s="1043"/>
      <c r="J50" s="1028"/>
      <c r="K50" s="1028"/>
    </row>
    <row r="51" spans="1:11" s="1044" customFormat="1" ht="13.8">
      <c r="A51" s="1039"/>
      <c r="B51" s="1040" t="s">
        <v>2811</v>
      </c>
      <c r="C51" s="1041" t="s">
        <v>2812</v>
      </c>
      <c r="D51" s="1042">
        <f>+'Alimentazione SP A'!H14</f>
        <v>0</v>
      </c>
      <c r="E51" s="1042">
        <f>+'Alimentazione SP A'!I14</f>
        <v>0</v>
      </c>
      <c r="F51" s="1026"/>
      <c r="G51" s="1043"/>
      <c r="J51" s="1028"/>
      <c r="K51" s="1028"/>
    </row>
    <row r="52" spans="1:11" s="1044" customFormat="1" ht="13.8">
      <c r="A52" s="1039"/>
      <c r="B52" s="1040" t="s">
        <v>2813</v>
      </c>
      <c r="C52" s="1041" t="s">
        <v>2814</v>
      </c>
      <c r="D52" s="1042">
        <f>+'Alimentazione SP P'!H40</f>
        <v>0</v>
      </c>
      <c r="E52" s="1042">
        <f>+'Alimentazione SP P'!I40</f>
        <v>0</v>
      </c>
      <c r="F52" s="1026"/>
      <c r="G52" s="1043"/>
      <c r="J52" s="1028"/>
      <c r="K52" s="1028"/>
    </row>
    <row r="53" spans="1:11" s="1044" customFormat="1" ht="13.8">
      <c r="A53" s="1045"/>
      <c r="B53" s="1035" t="s">
        <v>2815</v>
      </c>
      <c r="C53" s="1036" t="s">
        <v>2816</v>
      </c>
      <c r="D53" s="1037">
        <f>SUM(D54:D57)</f>
        <v>0</v>
      </c>
      <c r="E53" s="1037">
        <f>SUM(E54:E57)</f>
        <v>0</v>
      </c>
      <c r="F53" s="1026"/>
      <c r="G53" s="1043"/>
      <c r="J53" s="1028"/>
      <c r="K53" s="1028"/>
    </row>
    <row r="54" spans="1:11" s="1044" customFormat="1" ht="13.8">
      <c r="A54" s="1048"/>
      <c r="B54" s="1040" t="s">
        <v>2817</v>
      </c>
      <c r="C54" s="1041" t="s">
        <v>2818</v>
      </c>
      <c r="D54" s="1042">
        <f>+'Alimentazione SP P'!H50</f>
        <v>0</v>
      </c>
      <c r="E54" s="1042">
        <f>+'Alimentazione SP P'!I50</f>
        <v>0</v>
      </c>
      <c r="F54" s="1026"/>
      <c r="G54" s="1043"/>
      <c r="J54" s="1028"/>
      <c r="K54" s="1028"/>
    </row>
    <row r="55" spans="1:11" s="1044" customFormat="1" ht="13.8">
      <c r="A55" s="1039"/>
      <c r="B55" s="1040" t="s">
        <v>2819</v>
      </c>
      <c r="C55" s="1041" t="s">
        <v>2820</v>
      </c>
      <c r="D55" s="1042">
        <f>+'Alimentazione SP P'!H51</f>
        <v>0</v>
      </c>
      <c r="E55" s="1042">
        <f>+'Alimentazione SP P'!I51</f>
        <v>0</v>
      </c>
      <c r="F55" s="1026"/>
      <c r="G55" s="1043"/>
      <c r="J55" s="1028"/>
      <c r="K55" s="1028"/>
    </row>
    <row r="56" spans="1:11" s="1044" customFormat="1" ht="13.8">
      <c r="A56" s="1039"/>
      <c r="B56" s="1040" t="s">
        <v>2821</v>
      </c>
      <c r="C56" s="1041" t="s">
        <v>2822</v>
      </c>
      <c r="D56" s="1042">
        <f>+'Alimentazione SP P'!H52</f>
        <v>0</v>
      </c>
      <c r="E56" s="1042">
        <f>+'Alimentazione SP P'!I52</f>
        <v>0</v>
      </c>
      <c r="F56" s="1026"/>
      <c r="G56" s="1043"/>
      <c r="J56" s="1028"/>
      <c r="K56" s="1028"/>
    </row>
    <row r="57" spans="1:11" s="1044" customFormat="1" ht="14.4" thickBot="1">
      <c r="A57" s="1049"/>
      <c r="B57" s="1050" t="s">
        <v>2823</v>
      </c>
      <c r="C57" s="1051" t="s">
        <v>2824</v>
      </c>
      <c r="D57" s="1042">
        <f>+'Alimentazione SP P'!H53</f>
        <v>0</v>
      </c>
      <c r="E57" s="1042">
        <f>+'Alimentazione SP P'!I53</f>
        <v>0</v>
      </c>
      <c r="F57" s="1026"/>
      <c r="G57" s="1043"/>
      <c r="J57" s="1028"/>
      <c r="K57" s="1028"/>
    </row>
    <row r="58" spans="1:11" s="1044" customFormat="1" ht="13.8">
      <c r="A58" s="1052"/>
      <c r="B58" s="1053" t="s">
        <v>2825</v>
      </c>
      <c r="C58" s="1054" t="s">
        <v>2826</v>
      </c>
      <c r="D58" s="1055">
        <f>+D59+D62+D69+D72+D75+D78+D81+D82+D85-D86</f>
        <v>26395904</v>
      </c>
      <c r="E58" s="1055">
        <f>+E59+E62+E69+E72+E75+E78+E81+E82+E85-E86</f>
        <v>25407403</v>
      </c>
      <c r="F58" s="1033"/>
      <c r="G58" s="1027"/>
      <c r="J58" s="1028"/>
      <c r="K58" s="1028"/>
    </row>
    <row r="59" spans="1:11" s="1044" customFormat="1" ht="13.8">
      <c r="A59" s="1045"/>
      <c r="B59" s="1035" t="s">
        <v>2827</v>
      </c>
      <c r="C59" s="1036" t="s">
        <v>2828</v>
      </c>
      <c r="D59" s="1037">
        <f>+D60+D61</f>
        <v>0</v>
      </c>
      <c r="E59" s="1037">
        <f>+E60+E61</f>
        <v>0</v>
      </c>
      <c r="F59" s="1026"/>
      <c r="G59" s="1027"/>
      <c r="J59" s="1028"/>
      <c r="K59" s="1028"/>
    </row>
    <row r="60" spans="1:11" s="1044" customFormat="1" ht="13.8">
      <c r="A60" s="1039"/>
      <c r="B60" s="1040" t="s">
        <v>2829</v>
      </c>
      <c r="C60" s="1041" t="s">
        <v>2830</v>
      </c>
      <c r="D60" s="1042">
        <f>+'Alimentazione SP A'!H17</f>
        <v>0</v>
      </c>
      <c r="E60" s="1042">
        <f>+'Alimentazione SP A'!I17</f>
        <v>0</v>
      </c>
      <c r="F60" s="1026"/>
      <c r="G60" s="1043"/>
      <c r="J60" s="1028"/>
      <c r="K60" s="1028"/>
    </row>
    <row r="61" spans="1:11" s="1044" customFormat="1" ht="13.8">
      <c r="A61" s="1039"/>
      <c r="B61" s="1040" t="s">
        <v>2831</v>
      </c>
      <c r="C61" s="1041" t="s">
        <v>2832</v>
      </c>
      <c r="D61" s="1042">
        <f>+'Alimentazione SP A'!H18</f>
        <v>0</v>
      </c>
      <c r="E61" s="1042">
        <f>+'Alimentazione SP A'!I18</f>
        <v>0</v>
      </c>
      <c r="F61" s="1026"/>
      <c r="G61" s="1043"/>
      <c r="J61" s="1028"/>
      <c r="K61" s="1028"/>
    </row>
    <row r="62" spans="1:11" s="1044" customFormat="1" ht="13.8">
      <c r="A62" s="1045"/>
      <c r="B62" s="1035" t="s">
        <v>2833</v>
      </c>
      <c r="C62" s="1036" t="s">
        <v>2834</v>
      </c>
      <c r="D62" s="1037">
        <f>+D63+D66</f>
        <v>17443782</v>
      </c>
      <c r="E62" s="1037">
        <f>+E63+E66</f>
        <v>16294852</v>
      </c>
      <c r="F62" s="1026"/>
      <c r="G62" s="1043"/>
      <c r="J62" s="1028"/>
      <c r="K62" s="1028"/>
    </row>
    <row r="63" spans="1:11" s="1044" customFormat="1" ht="13.8">
      <c r="A63" s="1039"/>
      <c r="B63" s="1040" t="s">
        <v>2835</v>
      </c>
      <c r="C63" s="1041" t="s">
        <v>2836</v>
      </c>
      <c r="D63" s="1042">
        <f>+D64-D65</f>
        <v>853576</v>
      </c>
      <c r="E63" s="1042">
        <f>+E64-E65</f>
        <v>901283</v>
      </c>
      <c r="F63" s="1026"/>
      <c r="G63" s="1043"/>
      <c r="J63" s="1028"/>
      <c r="K63" s="1028"/>
    </row>
    <row r="64" spans="1:11" s="1044" customFormat="1" ht="13.8">
      <c r="A64" s="1039"/>
      <c r="B64" s="1040" t="s">
        <v>2837</v>
      </c>
      <c r="C64" s="1041" t="s">
        <v>2838</v>
      </c>
      <c r="D64" s="1042">
        <f>+'Alimentazione SP A'!H20</f>
        <v>1590247</v>
      </c>
      <c r="E64" s="1042">
        <f>+'Alimentazione SP A'!I20</f>
        <v>1590247</v>
      </c>
      <c r="F64" s="1026"/>
      <c r="G64" s="1043"/>
      <c r="J64" s="1028"/>
      <c r="K64" s="1028"/>
    </row>
    <row r="65" spans="1:11" s="1044" customFormat="1" ht="13.8">
      <c r="A65" s="1039"/>
      <c r="B65" s="1040" t="s">
        <v>2839</v>
      </c>
      <c r="C65" s="1041" t="s">
        <v>2840</v>
      </c>
      <c r="D65" s="1042">
        <f>+'Alimentazione SP P'!H42</f>
        <v>736671</v>
      </c>
      <c r="E65" s="1042">
        <f>+'Alimentazione SP P'!I42</f>
        <v>688964</v>
      </c>
      <c r="F65" s="1026"/>
      <c r="G65" s="1043"/>
      <c r="J65" s="1028"/>
      <c r="K65" s="1028"/>
    </row>
    <row r="66" spans="1:11" s="1044" customFormat="1" ht="13.8">
      <c r="A66" s="1039"/>
      <c r="B66" s="1040" t="s">
        <v>2841</v>
      </c>
      <c r="C66" s="1041" t="s">
        <v>2842</v>
      </c>
      <c r="D66" s="1042">
        <f>+D67-D68</f>
        <v>16590206</v>
      </c>
      <c r="E66" s="1042">
        <f>+E67-E68</f>
        <v>15393569</v>
      </c>
      <c r="F66" s="1026"/>
      <c r="G66" s="1043"/>
      <c r="J66" s="1028"/>
      <c r="K66" s="1028"/>
    </row>
    <row r="67" spans="1:11" s="1044" customFormat="1" ht="13.8">
      <c r="A67" s="1039"/>
      <c r="B67" s="1040" t="s">
        <v>2843</v>
      </c>
      <c r="C67" s="1041" t="s">
        <v>2844</v>
      </c>
      <c r="D67" s="1042">
        <f>+'Alimentazione SP A'!H21</f>
        <v>26991955</v>
      </c>
      <c r="E67" s="1042">
        <f>+'Alimentazione SP A'!I21</f>
        <v>25043367</v>
      </c>
      <c r="F67" s="1026"/>
      <c r="G67" s="1043"/>
      <c r="J67" s="1028"/>
      <c r="K67" s="1028"/>
    </row>
    <row r="68" spans="1:11" s="1044" customFormat="1" ht="13.8">
      <c r="A68" s="1039"/>
      <c r="B68" s="1040" t="s">
        <v>2845</v>
      </c>
      <c r="C68" s="1041" t="s">
        <v>2846</v>
      </c>
      <c r="D68" s="1042">
        <f>+'Alimentazione SP P'!H43</f>
        <v>10401749</v>
      </c>
      <c r="E68" s="1042">
        <f>+'Alimentazione SP P'!I43</f>
        <v>9649798</v>
      </c>
      <c r="F68" s="1026"/>
      <c r="G68" s="1043"/>
      <c r="J68" s="1028"/>
      <c r="K68" s="1028"/>
    </row>
    <row r="69" spans="1:11" s="1044" customFormat="1" ht="13.8">
      <c r="A69" s="1045"/>
      <c r="B69" s="1035" t="s">
        <v>2847</v>
      </c>
      <c r="C69" s="1036" t="s">
        <v>2848</v>
      </c>
      <c r="D69" s="1037">
        <f>+D70-D71</f>
        <v>795</v>
      </c>
      <c r="E69" s="1037">
        <f>+E70-E71</f>
        <v>1023</v>
      </c>
      <c r="F69" s="1026"/>
      <c r="G69" s="1043"/>
      <c r="J69" s="1028"/>
      <c r="K69" s="1028"/>
    </row>
    <row r="70" spans="1:11" s="1044" customFormat="1" ht="13.8">
      <c r="A70" s="1039"/>
      <c r="B70" s="1040" t="s">
        <v>2849</v>
      </c>
      <c r="C70" s="1041" t="s">
        <v>2850</v>
      </c>
      <c r="D70" s="1042">
        <f>+'Alimentazione SP A'!H22</f>
        <v>3142568</v>
      </c>
      <c r="E70" s="1042">
        <f>+'Alimentazione SP A'!I22</f>
        <v>3142568</v>
      </c>
      <c r="F70" s="1026"/>
      <c r="G70" s="1043"/>
      <c r="J70" s="1028"/>
      <c r="K70" s="1028"/>
    </row>
    <row r="71" spans="1:11" s="1044" customFormat="1" ht="13.8">
      <c r="A71" s="1039"/>
      <c r="B71" s="1040" t="s">
        <v>2851</v>
      </c>
      <c r="C71" s="1041" t="s">
        <v>2852</v>
      </c>
      <c r="D71" s="1042">
        <f>+'Alimentazione SP P'!H44</f>
        <v>3141773</v>
      </c>
      <c r="E71" s="1042">
        <f>+'Alimentazione SP P'!I44</f>
        <v>3141545</v>
      </c>
      <c r="F71" s="1026"/>
      <c r="G71" s="1043"/>
      <c r="J71" s="1028"/>
      <c r="K71" s="1028"/>
    </row>
    <row r="72" spans="1:11" s="1044" customFormat="1" ht="13.8">
      <c r="A72" s="1045"/>
      <c r="B72" s="1035" t="s">
        <v>2853</v>
      </c>
      <c r="C72" s="1036" t="s">
        <v>2854</v>
      </c>
      <c r="D72" s="1037">
        <f>+D73-D74</f>
        <v>3435765</v>
      </c>
      <c r="E72" s="1037">
        <f>+E73-E74</f>
        <v>2537957</v>
      </c>
      <c r="F72" s="1026"/>
      <c r="G72" s="1043"/>
      <c r="J72" s="1028"/>
      <c r="K72" s="1028"/>
    </row>
    <row r="73" spans="1:11" s="1044" customFormat="1" ht="13.8">
      <c r="A73" s="1039"/>
      <c r="B73" s="1040" t="s">
        <v>2855</v>
      </c>
      <c r="C73" s="1041" t="s">
        <v>2856</v>
      </c>
      <c r="D73" s="1042">
        <f>+'Alimentazione SP A'!H23</f>
        <v>26445494</v>
      </c>
      <c r="E73" s="1042">
        <f>+'Alimentazione SP A'!I23</f>
        <v>24570887</v>
      </c>
      <c r="F73" s="1026"/>
      <c r="G73" s="1043"/>
      <c r="J73" s="1028"/>
      <c r="K73" s="1028"/>
    </row>
    <row r="74" spans="1:11" s="1044" customFormat="1" ht="13.8">
      <c r="A74" s="1039"/>
      <c r="B74" s="1040" t="s">
        <v>2857</v>
      </c>
      <c r="C74" s="1041" t="s">
        <v>2858</v>
      </c>
      <c r="D74" s="1042">
        <f>+'Alimentazione SP P'!H45</f>
        <v>23009729</v>
      </c>
      <c r="E74" s="1042">
        <f>+'Alimentazione SP P'!I45</f>
        <v>22032930</v>
      </c>
      <c r="F74" s="1026"/>
      <c r="G74" s="1043"/>
      <c r="J74" s="1028"/>
      <c r="K74" s="1028"/>
    </row>
    <row r="75" spans="1:11" s="1044" customFormat="1" ht="13.8">
      <c r="A75" s="1045"/>
      <c r="B75" s="1035" t="s">
        <v>2859</v>
      </c>
      <c r="C75" s="1036" t="s">
        <v>2860</v>
      </c>
      <c r="D75" s="1037">
        <f>+D76-D77</f>
        <v>86854</v>
      </c>
      <c r="E75" s="1037">
        <f>+E76-E77</f>
        <v>69539</v>
      </c>
      <c r="F75" s="1026"/>
      <c r="G75" s="1043"/>
      <c r="J75" s="1028"/>
      <c r="K75" s="1028"/>
    </row>
    <row r="76" spans="1:11" s="1044" customFormat="1" ht="13.8">
      <c r="A76" s="1039"/>
      <c r="B76" s="1040" t="s">
        <v>2861</v>
      </c>
      <c r="C76" s="1041" t="s">
        <v>2862</v>
      </c>
      <c r="D76" s="1042">
        <f>+'Alimentazione SP A'!H24</f>
        <v>2172477</v>
      </c>
      <c r="E76" s="1042">
        <f>+'Alimentazione SP A'!I24</f>
        <v>2072850</v>
      </c>
      <c r="F76" s="1026"/>
      <c r="G76" s="1043"/>
      <c r="J76" s="1028"/>
      <c r="K76" s="1028"/>
    </row>
    <row r="77" spans="1:11" s="1044" customFormat="1" ht="13.8">
      <c r="A77" s="1039"/>
      <c r="B77" s="1040" t="s">
        <v>2863</v>
      </c>
      <c r="C77" s="1041" t="s">
        <v>2864</v>
      </c>
      <c r="D77" s="1042">
        <f>+'Alimentazione SP P'!H46</f>
        <v>2085623</v>
      </c>
      <c r="E77" s="1042">
        <f>+'Alimentazione SP P'!I46</f>
        <v>2003311</v>
      </c>
      <c r="F77" s="1026"/>
      <c r="G77" s="1043"/>
      <c r="J77" s="1028"/>
      <c r="K77" s="1028"/>
    </row>
    <row r="78" spans="1:11" s="1044" customFormat="1" ht="13.8">
      <c r="A78" s="1045"/>
      <c r="B78" s="1035" t="s">
        <v>2865</v>
      </c>
      <c r="C78" s="1036" t="s">
        <v>2866</v>
      </c>
      <c r="D78" s="1037">
        <f>+D79-D80</f>
        <v>6881</v>
      </c>
      <c r="E78" s="1037">
        <f>+E79-E80</f>
        <v>9714</v>
      </c>
      <c r="F78" s="1026"/>
      <c r="G78" s="1043"/>
      <c r="J78" s="1028"/>
      <c r="K78" s="1028"/>
    </row>
    <row r="79" spans="1:11" s="1044" customFormat="1" ht="13.8">
      <c r="A79" s="1039"/>
      <c r="B79" s="1040" t="s">
        <v>2867</v>
      </c>
      <c r="C79" s="1041" t="s">
        <v>2868</v>
      </c>
      <c r="D79" s="1042">
        <f>+'Alimentazione SP A'!H25</f>
        <v>247184</v>
      </c>
      <c r="E79" s="1042">
        <f>+'Alimentazione SP A'!I25</f>
        <v>252582</v>
      </c>
      <c r="F79" s="1026"/>
      <c r="G79" s="1043"/>
      <c r="J79" s="1028"/>
      <c r="K79" s="1028"/>
    </row>
    <row r="80" spans="1:11" s="1044" customFormat="1" ht="13.8">
      <c r="A80" s="1039"/>
      <c r="B80" s="1040" t="s">
        <v>2869</v>
      </c>
      <c r="C80" s="1041" t="s">
        <v>2870</v>
      </c>
      <c r="D80" s="1042">
        <f>+'Alimentazione SP P'!H47</f>
        <v>240303</v>
      </c>
      <c r="E80" s="1042">
        <f>+'Alimentazione SP P'!I47</f>
        <v>242868</v>
      </c>
      <c r="F80" s="1026"/>
      <c r="G80" s="1043"/>
      <c r="J80" s="1028"/>
      <c r="K80" s="1028"/>
    </row>
    <row r="81" spans="1:11" s="1044" customFormat="1" ht="13.8">
      <c r="A81" s="1039"/>
      <c r="B81" s="1046" t="s">
        <v>2871</v>
      </c>
      <c r="C81" s="1047" t="s">
        <v>2872</v>
      </c>
      <c r="D81" s="1042">
        <f>+'Alimentazione SP A'!H26</f>
        <v>0</v>
      </c>
      <c r="E81" s="1042">
        <f>+'Alimentazione SP A'!I26</f>
        <v>0</v>
      </c>
      <c r="F81" s="1026"/>
      <c r="G81" s="1043"/>
      <c r="J81" s="1028"/>
      <c r="K81" s="1028"/>
    </row>
    <row r="82" spans="1:11" s="1044" customFormat="1" ht="13.8">
      <c r="A82" s="1045"/>
      <c r="B82" s="1035" t="s">
        <v>2873</v>
      </c>
      <c r="C82" s="1036" t="s">
        <v>2874</v>
      </c>
      <c r="D82" s="1037">
        <f>+D83-D84</f>
        <v>593090</v>
      </c>
      <c r="E82" s="1037">
        <f>+E83-E84</f>
        <v>400134</v>
      </c>
      <c r="F82" s="1026"/>
      <c r="G82" s="1043"/>
      <c r="J82" s="1028"/>
      <c r="K82" s="1028"/>
    </row>
    <row r="83" spans="1:11" s="1044" customFormat="1" ht="13.8">
      <c r="A83" s="1039"/>
      <c r="B83" s="1040" t="s">
        <v>2875</v>
      </c>
      <c r="C83" s="1041" t="s">
        <v>2876</v>
      </c>
      <c r="D83" s="1042">
        <f>+'Alimentazione SP A'!H27</f>
        <v>4963796</v>
      </c>
      <c r="E83" s="1042">
        <f>+'Alimentazione SP A'!I27</f>
        <v>4552748</v>
      </c>
      <c r="F83" s="1026"/>
      <c r="G83" s="1043"/>
      <c r="J83" s="1028"/>
      <c r="K83" s="1028"/>
    </row>
    <row r="84" spans="1:11" s="1044" customFormat="1" ht="13.8">
      <c r="A84" s="1039"/>
      <c r="B84" s="1040" t="s">
        <v>2877</v>
      </c>
      <c r="C84" s="1041" t="s">
        <v>2878</v>
      </c>
      <c r="D84" s="1042">
        <f>+'Alimentazione SP P'!H48</f>
        <v>4370706</v>
      </c>
      <c r="E84" s="1042">
        <f>+'Alimentazione SP P'!I48</f>
        <v>4152614</v>
      </c>
      <c r="F84" s="1026"/>
      <c r="G84" s="1043"/>
      <c r="J84" s="1028"/>
      <c r="K84" s="1028"/>
    </row>
    <row r="85" spans="1:11" s="1044" customFormat="1" ht="13.8">
      <c r="A85" s="1039"/>
      <c r="B85" s="1046" t="s">
        <v>2879</v>
      </c>
      <c r="C85" s="1047" t="s">
        <v>2880</v>
      </c>
      <c r="D85" s="1042">
        <f>+'Alimentazione SP A'!H28</f>
        <v>4828737</v>
      </c>
      <c r="E85" s="1042">
        <f>+'Alimentazione SP A'!I28</f>
        <v>6094184</v>
      </c>
      <c r="F85" s="1026"/>
      <c r="G85" s="1043"/>
      <c r="J85" s="1028"/>
      <c r="K85" s="1028"/>
    </row>
    <row r="86" spans="1:11" s="1044" customFormat="1" ht="13.8">
      <c r="A86" s="1045"/>
      <c r="B86" s="1035" t="s">
        <v>2881</v>
      </c>
      <c r="C86" s="1036" t="s">
        <v>2882</v>
      </c>
      <c r="D86" s="1037">
        <f>SUM(D87:D94)</f>
        <v>0</v>
      </c>
      <c r="E86" s="1037">
        <f>SUM(E87:E94)</f>
        <v>0</v>
      </c>
      <c r="F86" s="1026"/>
      <c r="G86" s="1043"/>
      <c r="J86" s="1028"/>
      <c r="K86" s="1028"/>
    </row>
    <row r="87" spans="1:11" s="1044" customFormat="1" ht="13.8">
      <c r="A87" s="1039"/>
      <c r="B87" s="1040" t="s">
        <v>2883</v>
      </c>
      <c r="C87" s="1041" t="s">
        <v>2884</v>
      </c>
      <c r="D87" s="1042">
        <f>+'Alimentazione SP P'!H55+'Alimentazione SP P'!H56</f>
        <v>0</v>
      </c>
      <c r="E87" s="1042">
        <f>+'Alimentazione SP P'!I55+'Alimentazione SP P'!I56</f>
        <v>0</v>
      </c>
      <c r="F87" s="1026"/>
      <c r="G87" s="1043"/>
      <c r="J87" s="1028"/>
      <c r="K87" s="1028"/>
    </row>
    <row r="88" spans="1:11" s="1044" customFormat="1" ht="13.8">
      <c r="A88" s="1039"/>
      <c r="B88" s="1040" t="s">
        <v>2885</v>
      </c>
      <c r="C88" s="1041" t="s">
        <v>2886</v>
      </c>
      <c r="D88" s="1042">
        <f>+'Alimentazione SP P'!H57+'Alimentazione SP P'!H58</f>
        <v>0</v>
      </c>
      <c r="E88" s="1042">
        <f>+'Alimentazione SP P'!I57+'Alimentazione SP P'!I58</f>
        <v>0</v>
      </c>
      <c r="F88" s="1026"/>
      <c r="G88" s="1043"/>
      <c r="J88" s="1028"/>
      <c r="K88" s="1028"/>
    </row>
    <row r="89" spans="1:11" s="1044" customFormat="1" ht="13.8">
      <c r="A89" s="1039"/>
      <c r="B89" s="1040" t="s">
        <v>2887</v>
      </c>
      <c r="C89" s="1041" t="s">
        <v>2888</v>
      </c>
      <c r="D89" s="1042">
        <f>+'Alimentazione SP P'!H59</f>
        <v>0</v>
      </c>
      <c r="E89" s="1042">
        <f>+'Alimentazione SP P'!I59</f>
        <v>0</v>
      </c>
      <c r="F89" s="1026"/>
      <c r="G89" s="1043"/>
      <c r="J89" s="1028"/>
      <c r="K89" s="1028"/>
    </row>
    <row r="90" spans="1:11" s="1044" customFormat="1" ht="13.8">
      <c r="A90" s="1039"/>
      <c r="B90" s="1040" t="s">
        <v>2889</v>
      </c>
      <c r="C90" s="1041" t="s">
        <v>2890</v>
      </c>
      <c r="D90" s="1042">
        <f>+'Alimentazione SP P'!H60</f>
        <v>0</v>
      </c>
      <c r="E90" s="1042">
        <f>+'Alimentazione SP P'!I60</f>
        <v>0</v>
      </c>
      <c r="F90" s="1026"/>
      <c r="G90" s="1043"/>
      <c r="J90" s="1028"/>
      <c r="K90" s="1028"/>
    </row>
    <row r="91" spans="1:11" s="1044" customFormat="1" ht="13.8">
      <c r="A91" s="1039"/>
      <c r="B91" s="1040" t="s">
        <v>2891</v>
      </c>
      <c r="C91" s="1041" t="s">
        <v>2892</v>
      </c>
      <c r="D91" s="1042">
        <f>+'Alimentazione SP P'!H61</f>
        <v>0</v>
      </c>
      <c r="E91" s="1042">
        <f>+'Alimentazione SP P'!I61</f>
        <v>0</v>
      </c>
      <c r="F91" s="1026"/>
      <c r="G91" s="1043"/>
      <c r="J91" s="1028"/>
      <c r="K91" s="1028"/>
    </row>
    <row r="92" spans="1:11" s="1044" customFormat="1" ht="13.8">
      <c r="A92" s="1039"/>
      <c r="B92" s="1040" t="s">
        <v>2893</v>
      </c>
      <c r="C92" s="1041" t="s">
        <v>2894</v>
      </c>
      <c r="D92" s="1042">
        <f>+'Alimentazione SP P'!H62</f>
        <v>0</v>
      </c>
      <c r="E92" s="1042">
        <f>+'Alimentazione SP P'!I62</f>
        <v>0</v>
      </c>
      <c r="F92" s="1026"/>
      <c r="G92" s="1043"/>
      <c r="J92" s="1028"/>
      <c r="K92" s="1028"/>
    </row>
    <row r="93" spans="1:11" s="1044" customFormat="1" ht="13.8">
      <c r="A93" s="1039"/>
      <c r="B93" s="1040" t="s">
        <v>2895</v>
      </c>
      <c r="C93" s="1041" t="s">
        <v>2896</v>
      </c>
      <c r="D93" s="1042">
        <f>+'Alimentazione SP P'!H63</f>
        <v>0</v>
      </c>
      <c r="E93" s="1042">
        <f>+'Alimentazione SP P'!I63</f>
        <v>0</v>
      </c>
      <c r="F93" s="1026"/>
      <c r="G93" s="1043"/>
      <c r="J93" s="1028"/>
      <c r="K93" s="1028"/>
    </row>
    <row r="94" spans="1:11" s="1044" customFormat="1" ht="14.4" thickBot="1">
      <c r="A94" s="1049"/>
      <c r="B94" s="1050" t="s">
        <v>2897</v>
      </c>
      <c r="C94" s="1051" t="s">
        <v>2898</v>
      </c>
      <c r="D94" s="1042">
        <f>+'Alimentazione SP P'!H64</f>
        <v>0</v>
      </c>
      <c r="E94" s="1042">
        <f>+'Alimentazione SP P'!I64</f>
        <v>0</v>
      </c>
      <c r="F94" s="1026"/>
      <c r="G94" s="1043"/>
      <c r="J94" s="1028"/>
      <c r="K94" s="1028"/>
    </row>
    <row r="95" spans="1:11" s="1044" customFormat="1" ht="13.8">
      <c r="A95" s="1052"/>
      <c r="B95" s="1053" t="s">
        <v>2899</v>
      </c>
      <c r="C95" s="1054" t="s">
        <v>2900</v>
      </c>
      <c r="D95" s="1055">
        <f>+D96+D101</f>
        <v>300332</v>
      </c>
      <c r="E95" s="1055">
        <f>+E96+E101</f>
        <v>16479332</v>
      </c>
      <c r="F95" s="1026"/>
      <c r="G95" s="1043"/>
      <c r="J95" s="1028"/>
      <c r="K95" s="1028"/>
    </row>
    <row r="96" spans="1:11" s="1044" customFormat="1" ht="13.8">
      <c r="A96" s="1045"/>
      <c r="B96" s="1035" t="s">
        <v>2901</v>
      </c>
      <c r="C96" s="1036" t="s">
        <v>2902</v>
      </c>
      <c r="D96" s="1037">
        <f>SUM(D97:D100)</f>
        <v>292332</v>
      </c>
      <c r="E96" s="1037">
        <f>SUM(E97:E100)</f>
        <v>16471332</v>
      </c>
      <c r="F96" s="1026"/>
      <c r="G96" s="1043"/>
      <c r="J96" s="1028"/>
      <c r="K96" s="1028"/>
    </row>
    <row r="97" spans="1:11" s="1044" customFormat="1" ht="13.8">
      <c r="A97" s="1039"/>
      <c r="B97" s="1040" t="s">
        <v>2903</v>
      </c>
      <c r="C97" s="1041" t="s">
        <v>2904</v>
      </c>
      <c r="D97" s="1042">
        <f>+'Alimentazione SP A'!H31-'Alimentazione SP P'!H66</f>
        <v>23596</v>
      </c>
      <c r="E97" s="1042">
        <f>+'Alimentazione SP A'!I31-'Alimentazione SP P'!I66</f>
        <v>16202596</v>
      </c>
      <c r="F97" s="1026"/>
      <c r="G97" s="1043"/>
      <c r="J97" s="1028"/>
      <c r="K97" s="1028"/>
    </row>
    <row r="98" spans="1:11" s="1044" customFormat="1" ht="13.8">
      <c r="A98" s="1039"/>
      <c r="B98" s="1040" t="s">
        <v>2905</v>
      </c>
      <c r="C98" s="1041" t="s">
        <v>2906</v>
      </c>
      <c r="D98" s="1042">
        <f>+'Alimentazione SP A'!H32-'Alimentazione SP P'!H67</f>
        <v>0</v>
      </c>
      <c r="E98" s="1042">
        <f>+'Alimentazione SP A'!I32-'Alimentazione SP P'!I67</f>
        <v>0</v>
      </c>
      <c r="F98" s="1026"/>
      <c r="G98" s="1043"/>
      <c r="J98" s="1028"/>
      <c r="K98" s="1028"/>
    </row>
    <row r="99" spans="1:11" s="1044" customFormat="1" ht="13.8">
      <c r="A99" s="1039"/>
      <c r="B99" s="1040" t="s">
        <v>2907</v>
      </c>
      <c r="C99" s="1041" t="s">
        <v>2908</v>
      </c>
      <c r="D99" s="1042">
        <f>+'Alimentazione SP A'!H33-'Alimentazione SP P'!H68</f>
        <v>0</v>
      </c>
      <c r="E99" s="1042">
        <f>+'Alimentazione SP A'!I33-'Alimentazione SP P'!I68</f>
        <v>0</v>
      </c>
      <c r="F99" s="1026"/>
      <c r="G99" s="1043"/>
      <c r="J99" s="1028"/>
      <c r="K99" s="1028"/>
    </row>
    <row r="100" spans="1:11" s="1044" customFormat="1" ht="13.8">
      <c r="A100" s="1039"/>
      <c r="B100" s="1040" t="s">
        <v>2909</v>
      </c>
      <c r="C100" s="1041" t="s">
        <v>2910</v>
      </c>
      <c r="D100" s="1042">
        <f>+'Alimentazione SP A'!H35+'Alimentazione SP A'!H36+'Alimentazione SP A'!H37-'Alimentazione SP P'!H69</f>
        <v>268736</v>
      </c>
      <c r="E100" s="1042">
        <f>+'Alimentazione SP A'!I35+'Alimentazione SP A'!I36+'Alimentazione SP A'!I37-'Alimentazione SP P'!I69</f>
        <v>268736</v>
      </c>
      <c r="F100" s="1026"/>
      <c r="G100" s="1043"/>
      <c r="J100" s="1028"/>
      <c r="K100" s="1028"/>
    </row>
    <row r="101" spans="1:11" s="1044" customFormat="1" ht="13.8">
      <c r="A101" s="1045"/>
      <c r="B101" s="1035" t="s">
        <v>2911</v>
      </c>
      <c r="C101" s="1036" t="s">
        <v>2912</v>
      </c>
      <c r="D101" s="1037">
        <f>+D102+D103</f>
        <v>8000</v>
      </c>
      <c r="E101" s="1037">
        <f>+E102+E103</f>
        <v>8000</v>
      </c>
      <c r="F101" s="1026"/>
      <c r="G101" s="1043"/>
      <c r="J101" s="1028"/>
      <c r="K101" s="1028"/>
    </row>
    <row r="102" spans="1:11" s="1044" customFormat="1" ht="13.8">
      <c r="A102" s="1039"/>
      <c r="B102" s="1040" t="s">
        <v>2913</v>
      </c>
      <c r="C102" s="1041" t="s">
        <v>2914</v>
      </c>
      <c r="D102" s="1042">
        <f>+'Alimentazione SP A'!H39</f>
        <v>8000</v>
      </c>
      <c r="E102" s="1042">
        <f>+'Alimentazione SP A'!I39</f>
        <v>8000</v>
      </c>
      <c r="F102" s="1026"/>
      <c r="G102" s="1043"/>
      <c r="J102" s="1028"/>
      <c r="K102" s="1028"/>
    </row>
    <row r="103" spans="1:11" s="1044" customFormat="1" ht="13.8">
      <c r="A103" s="1039"/>
      <c r="B103" s="1040" t="s">
        <v>2915</v>
      </c>
      <c r="C103" s="1041" t="s">
        <v>2916</v>
      </c>
      <c r="D103" s="1042">
        <f>SUM(D104:D107)</f>
        <v>0</v>
      </c>
      <c r="E103" s="1042">
        <f>SUM(E104:E107)</f>
        <v>0</v>
      </c>
      <c r="F103" s="1026"/>
      <c r="G103" s="1043"/>
      <c r="J103" s="1028"/>
      <c r="K103" s="1028"/>
    </row>
    <row r="104" spans="1:11" s="1044" customFormat="1" ht="13.8">
      <c r="A104" s="1039"/>
      <c r="B104" s="1040" t="s">
        <v>2917</v>
      </c>
      <c r="C104" s="1041" t="s">
        <v>2918</v>
      </c>
      <c r="D104" s="1042">
        <f>+'Alimentazione SP A'!H41</f>
        <v>0</v>
      </c>
      <c r="E104" s="1042">
        <f>+'Alimentazione SP A'!I41</f>
        <v>0</v>
      </c>
      <c r="F104" s="1026"/>
      <c r="G104" s="1043"/>
      <c r="J104" s="1028"/>
      <c r="K104" s="1028"/>
    </row>
    <row r="105" spans="1:11" s="1044" customFormat="1" ht="13.8">
      <c r="A105" s="1039"/>
      <c r="B105" s="1040" t="s">
        <v>2919</v>
      </c>
      <c r="C105" s="1041" t="s">
        <v>2920</v>
      </c>
      <c r="D105" s="1042">
        <f>+'Alimentazione SP A'!H42</f>
        <v>0</v>
      </c>
      <c r="E105" s="1042">
        <f>+'Alimentazione SP A'!I42</f>
        <v>0</v>
      </c>
      <c r="F105" s="1026"/>
      <c r="G105" s="1043"/>
      <c r="J105" s="1028"/>
      <c r="K105" s="1028"/>
    </row>
    <row r="106" spans="1:11" s="1044" customFormat="1" ht="13.8">
      <c r="A106" s="1039"/>
      <c r="B106" s="1040" t="s">
        <v>2921</v>
      </c>
      <c r="C106" s="1041" t="s">
        <v>2922</v>
      </c>
      <c r="D106" s="1042">
        <f>+'Alimentazione SP A'!H43</f>
        <v>0</v>
      </c>
      <c r="E106" s="1042">
        <f>+'Alimentazione SP A'!I43</f>
        <v>0</v>
      </c>
      <c r="F106" s="1026"/>
      <c r="G106" s="1043"/>
      <c r="J106" s="1028"/>
      <c r="K106" s="1028"/>
    </row>
    <row r="107" spans="1:11" s="1044" customFormat="1" ht="14.4" thickBot="1">
      <c r="A107" s="1049"/>
      <c r="B107" s="1050" t="s">
        <v>2923</v>
      </c>
      <c r="C107" s="1051" t="s">
        <v>2924</v>
      </c>
      <c r="D107" s="1042">
        <f>+'Alimentazione SP A'!H44</f>
        <v>0</v>
      </c>
      <c r="E107" s="1042">
        <f>+'Alimentazione SP A'!I44</f>
        <v>0</v>
      </c>
      <c r="F107" s="1026"/>
      <c r="G107" s="1043"/>
      <c r="J107" s="1028"/>
      <c r="K107" s="1028"/>
    </row>
    <row r="108" spans="1:11" s="1044" customFormat="1" ht="13.8">
      <c r="A108" s="1022"/>
      <c r="B108" s="1023" t="s">
        <v>2925</v>
      </c>
      <c r="C108" s="1024" t="s">
        <v>2926</v>
      </c>
      <c r="D108" s="1056">
        <f>+D109+D128+D192+D195</f>
        <v>63623567</v>
      </c>
      <c r="E108" s="1056">
        <f>+E109+E128+E192+E195</f>
        <v>34973309</v>
      </c>
      <c r="F108" s="1026"/>
      <c r="G108" s="1043"/>
      <c r="J108" s="1028"/>
      <c r="K108" s="1028"/>
    </row>
    <row r="109" spans="1:11" s="1044" customFormat="1" ht="13.8">
      <c r="A109" s="1029"/>
      <c r="B109" s="1030" t="s">
        <v>2927</v>
      </c>
      <c r="C109" s="1031" t="s">
        <v>2928</v>
      </c>
      <c r="D109" s="1032">
        <f>+D110+D120</f>
        <v>1103264</v>
      </c>
      <c r="E109" s="1032">
        <f>+E110+E120</f>
        <v>1072099</v>
      </c>
      <c r="F109" s="1026"/>
      <c r="G109" s="1043"/>
      <c r="J109" s="1028"/>
      <c r="K109" s="1028"/>
    </row>
    <row r="110" spans="1:11" s="1044" customFormat="1" ht="13.8">
      <c r="A110" s="1045"/>
      <c r="B110" s="1035" t="s">
        <v>2929</v>
      </c>
      <c r="C110" s="1036" t="s">
        <v>2930</v>
      </c>
      <c r="D110" s="1037">
        <f>SUM(D111:D119)</f>
        <v>997612</v>
      </c>
      <c r="E110" s="1037">
        <f>SUM(E111:E119)</f>
        <v>979730</v>
      </c>
      <c r="F110" s="1026"/>
      <c r="G110" s="1043"/>
      <c r="J110" s="1028"/>
      <c r="K110" s="1028"/>
    </row>
    <row r="111" spans="1:11" s="1044" customFormat="1" ht="13.8">
      <c r="A111" s="1039"/>
      <c r="B111" s="1040" t="s">
        <v>2931</v>
      </c>
      <c r="C111" s="1041" t="s">
        <v>2932</v>
      </c>
      <c r="D111" s="1042">
        <f>+'Alimentazione SP A'!H48+'Alimentazione SP A'!H49+'Alimentazione SP A'!H50</f>
        <v>12380</v>
      </c>
      <c r="E111" s="1042">
        <f>+'Alimentazione SP A'!I48+'Alimentazione SP A'!I49+'Alimentazione SP A'!I50</f>
        <v>54683</v>
      </c>
      <c r="F111" s="1026"/>
      <c r="G111" s="1043"/>
      <c r="J111" s="1028"/>
      <c r="K111" s="1028"/>
    </row>
    <row r="112" spans="1:11" s="1044" customFormat="1" ht="13.8">
      <c r="A112" s="1039"/>
      <c r="B112" s="1040" t="s">
        <v>2933</v>
      </c>
      <c r="C112" s="1041" t="s">
        <v>2934</v>
      </c>
      <c r="D112" s="1042">
        <f>+'Alimentazione SP A'!H51</f>
        <v>0</v>
      </c>
      <c r="E112" s="1042">
        <f>+'Alimentazione SP A'!I51</f>
        <v>0</v>
      </c>
      <c r="F112" s="1026"/>
      <c r="G112" s="1043"/>
      <c r="J112" s="1028"/>
      <c r="K112" s="1028"/>
    </row>
    <row r="113" spans="1:11" s="1044" customFormat="1" ht="13.8">
      <c r="A113" s="1039"/>
      <c r="B113" s="1040" t="s">
        <v>2935</v>
      </c>
      <c r="C113" s="1041" t="s">
        <v>2936</v>
      </c>
      <c r="D113" s="1042">
        <f>+'Alimentazione SP A'!H53+'Alimentazione SP A'!H54+'Alimentazione SP A'!H55</f>
        <v>885409</v>
      </c>
      <c r="E113" s="1042">
        <f>+'Alimentazione SP A'!I53+'Alimentazione SP A'!I54+'Alimentazione SP A'!I55</f>
        <v>857851</v>
      </c>
      <c r="F113" s="1026"/>
      <c r="G113" s="1043"/>
      <c r="J113" s="1028"/>
      <c r="K113" s="1028"/>
    </row>
    <row r="114" spans="1:11" s="1044" customFormat="1" ht="13.8">
      <c r="A114" s="1039"/>
      <c r="B114" s="1040" t="s">
        <v>2937</v>
      </c>
      <c r="C114" s="1041" t="s">
        <v>2938</v>
      </c>
      <c r="D114" s="1042">
        <f>+'Alimentazione SP A'!H56</f>
        <v>547</v>
      </c>
      <c r="E114" s="1042">
        <f>+'Alimentazione SP A'!I56</f>
        <v>96</v>
      </c>
      <c r="F114" s="1026"/>
      <c r="G114" s="1043"/>
      <c r="J114" s="1028"/>
      <c r="K114" s="1028"/>
    </row>
    <row r="115" spans="1:11" s="1044" customFormat="1" ht="13.8">
      <c r="A115" s="1039"/>
      <c r="B115" s="1040" t="s">
        <v>2939</v>
      </c>
      <c r="C115" s="1041" t="s">
        <v>2940</v>
      </c>
      <c r="D115" s="1042">
        <f>+'Alimentazione SP A'!H57</f>
        <v>0</v>
      </c>
      <c r="E115" s="1042">
        <f>+'Alimentazione SP A'!I57</f>
        <v>0</v>
      </c>
      <c r="F115" s="1026"/>
      <c r="G115" s="1043"/>
      <c r="J115" s="1028"/>
      <c r="K115" s="1028"/>
    </row>
    <row r="116" spans="1:11" s="1044" customFormat="1" ht="13.8">
      <c r="A116" s="1039"/>
      <c r="B116" s="1040" t="s">
        <v>2941</v>
      </c>
      <c r="C116" s="1041" t="s">
        <v>2942</v>
      </c>
      <c r="D116" s="1042">
        <f>+'Alimentazione SP A'!H58</f>
        <v>21256</v>
      </c>
      <c r="E116" s="1042">
        <f>+'Alimentazione SP A'!I58</f>
        <v>14113</v>
      </c>
      <c r="F116" s="1026"/>
      <c r="G116" s="1043"/>
      <c r="J116" s="1028"/>
      <c r="K116" s="1028"/>
    </row>
    <row r="117" spans="1:11" s="1044" customFormat="1" ht="13.8">
      <c r="A117" s="1039"/>
      <c r="B117" s="1040" t="s">
        <v>2943</v>
      </c>
      <c r="C117" s="1041" t="s">
        <v>2944</v>
      </c>
      <c r="D117" s="1042">
        <f>+'Alimentazione SP A'!H59</f>
        <v>0</v>
      </c>
      <c r="E117" s="1042">
        <f>+'Alimentazione SP A'!I59</f>
        <v>0</v>
      </c>
      <c r="F117" s="1026"/>
      <c r="G117" s="1043"/>
      <c r="J117" s="1028"/>
      <c r="K117" s="1028"/>
    </row>
    <row r="118" spans="1:11" s="1044" customFormat="1" ht="13.8">
      <c r="A118" s="1039"/>
      <c r="B118" s="1040" t="s">
        <v>2945</v>
      </c>
      <c r="C118" s="1041" t="s">
        <v>2946</v>
      </c>
      <c r="D118" s="1042">
        <f>+'Alimentazione SP A'!H60</f>
        <v>78020</v>
      </c>
      <c r="E118" s="1042">
        <f>+'Alimentazione SP A'!I60</f>
        <v>52987</v>
      </c>
      <c r="F118" s="1026"/>
      <c r="G118" s="1043"/>
      <c r="J118" s="1028"/>
      <c r="K118" s="1028"/>
    </row>
    <row r="119" spans="1:11" s="1044" customFormat="1" ht="13.8">
      <c r="A119" s="1039"/>
      <c r="B119" s="1040" t="s">
        <v>2947</v>
      </c>
      <c r="C119" s="1041" t="s">
        <v>2948</v>
      </c>
      <c r="D119" s="1042">
        <f>+'Alimentazione SP A'!H61</f>
        <v>0</v>
      </c>
      <c r="E119" s="1042">
        <f>+'Alimentazione SP A'!I61</f>
        <v>0</v>
      </c>
      <c r="F119" s="1026"/>
      <c r="G119" s="1043"/>
      <c r="J119" s="1028"/>
      <c r="K119" s="1028"/>
    </row>
    <row r="120" spans="1:11" s="1044" customFormat="1" ht="13.8">
      <c r="A120" s="1045"/>
      <c r="B120" s="1035" t="s">
        <v>2949</v>
      </c>
      <c r="C120" s="1036" t="s">
        <v>2950</v>
      </c>
      <c r="D120" s="1037">
        <f>SUM(D121:D127)</f>
        <v>105652</v>
      </c>
      <c r="E120" s="1037">
        <f>SUM(E121:E127)</f>
        <v>92369</v>
      </c>
      <c r="F120" s="1026"/>
      <c r="G120" s="1043"/>
      <c r="J120" s="1028"/>
      <c r="K120" s="1028"/>
    </row>
    <row r="121" spans="1:11" s="1044" customFormat="1" ht="13.8">
      <c r="A121" s="1039"/>
      <c r="B121" s="1040" t="s">
        <v>2951</v>
      </c>
      <c r="C121" s="1041" t="s">
        <v>2952</v>
      </c>
      <c r="D121" s="1042">
        <f>+'Alimentazione SP A'!H63</f>
        <v>21</v>
      </c>
      <c r="E121" s="1042">
        <f>+'Alimentazione SP A'!I63</f>
        <v>21</v>
      </c>
      <c r="F121" s="1026"/>
      <c r="G121" s="1043"/>
      <c r="J121" s="1028"/>
      <c r="K121" s="1028"/>
    </row>
    <row r="122" spans="1:11" s="1044" customFormat="1" ht="13.8">
      <c r="A122" s="1039"/>
      <c r="B122" s="1040" t="s">
        <v>2953</v>
      </c>
      <c r="C122" s="1041" t="s">
        <v>2954</v>
      </c>
      <c r="D122" s="1042">
        <f>+'Alimentazione SP A'!H64</f>
        <v>7129</v>
      </c>
      <c r="E122" s="1042">
        <f>+'Alimentazione SP A'!I64</f>
        <v>7345</v>
      </c>
      <c r="F122" s="1026"/>
      <c r="G122" s="1043"/>
      <c r="J122" s="1028"/>
      <c r="K122" s="1028"/>
    </row>
    <row r="123" spans="1:11" s="1044" customFormat="1" ht="13.8">
      <c r="A123" s="1039"/>
      <c r="B123" s="1040" t="s">
        <v>2955</v>
      </c>
      <c r="C123" s="1041" t="s">
        <v>2956</v>
      </c>
      <c r="D123" s="1042">
        <f>+'Alimentazione SP A'!H65</f>
        <v>0</v>
      </c>
      <c r="E123" s="1042">
        <f>+'Alimentazione SP A'!I65</f>
        <v>1558</v>
      </c>
      <c r="F123" s="1026"/>
      <c r="G123" s="1043"/>
      <c r="J123" s="1028"/>
      <c r="K123" s="1028"/>
    </row>
    <row r="124" spans="1:11" s="1044" customFormat="1" ht="13.8">
      <c r="A124" s="1039"/>
      <c r="B124" s="1040" t="s">
        <v>2957</v>
      </c>
      <c r="C124" s="1041" t="s">
        <v>2958</v>
      </c>
      <c r="D124" s="1042">
        <f>+'Alimentazione SP A'!H66</f>
        <v>77170</v>
      </c>
      <c r="E124" s="1042">
        <f>+'Alimentazione SP A'!I66</f>
        <v>72241</v>
      </c>
      <c r="F124" s="1026"/>
      <c r="G124" s="1043"/>
      <c r="J124" s="1028"/>
      <c r="K124" s="1028"/>
    </row>
    <row r="125" spans="1:11" s="1044" customFormat="1" ht="13.8">
      <c r="A125" s="1039"/>
      <c r="B125" s="1040" t="s">
        <v>2959</v>
      </c>
      <c r="C125" s="1041" t="s">
        <v>2960</v>
      </c>
      <c r="D125" s="1042">
        <f>+'Alimentazione SP A'!H67</f>
        <v>9425</v>
      </c>
      <c r="E125" s="1042">
        <f>+'Alimentazione SP A'!I67</f>
        <v>4531</v>
      </c>
      <c r="F125" s="1026"/>
      <c r="G125" s="1043"/>
      <c r="J125" s="1028"/>
      <c r="K125" s="1028"/>
    </row>
    <row r="126" spans="1:11" s="1044" customFormat="1" ht="13.8">
      <c r="A126" s="1039"/>
      <c r="B126" s="1040" t="s">
        <v>2961</v>
      </c>
      <c r="C126" s="1041" t="s">
        <v>2962</v>
      </c>
      <c r="D126" s="1042">
        <f>+'Alimentazione SP A'!H68</f>
        <v>11907</v>
      </c>
      <c r="E126" s="1042">
        <f>+'Alimentazione SP A'!I68</f>
        <v>6673</v>
      </c>
      <c r="F126" s="1026"/>
      <c r="G126" s="1043"/>
      <c r="J126" s="1028"/>
      <c r="K126" s="1028"/>
    </row>
    <row r="127" spans="1:11" s="1044" customFormat="1" ht="14.4" thickBot="1">
      <c r="A127" s="1049"/>
      <c r="B127" s="1050" t="s">
        <v>2963</v>
      </c>
      <c r="C127" s="1051" t="s">
        <v>2964</v>
      </c>
      <c r="D127" s="1042">
        <f>+'Alimentazione SP A'!H69</f>
        <v>0</v>
      </c>
      <c r="E127" s="1042">
        <f>+'Alimentazione SP A'!I69</f>
        <v>0</v>
      </c>
      <c r="F127" s="1026"/>
      <c r="G127" s="1043"/>
      <c r="J127" s="1028"/>
      <c r="K127" s="1028"/>
    </row>
    <row r="128" spans="1:11" s="1044" customFormat="1" ht="13.8">
      <c r="A128" s="1052"/>
      <c r="B128" s="1053" t="s">
        <v>2965</v>
      </c>
      <c r="C128" s="1054" t="s">
        <v>2966</v>
      </c>
      <c r="D128" s="1055">
        <f>+D129+D145+D166+D167+D176++D180+D181</f>
        <v>35410191</v>
      </c>
      <c r="E128" s="1055">
        <f>+E129+E145+E166+E167+E176++E180+E181</f>
        <v>12844952</v>
      </c>
      <c r="F128" s="1026"/>
      <c r="G128" s="1043"/>
      <c r="J128" s="1028"/>
      <c r="K128" s="1028"/>
    </row>
    <row r="129" spans="1:11" s="1044" customFormat="1" ht="13.8">
      <c r="A129" s="1045"/>
      <c r="B129" s="1035" t="s">
        <v>2967</v>
      </c>
      <c r="C129" s="1036" t="s">
        <v>2968</v>
      </c>
      <c r="D129" s="1037">
        <f>SUM(D130:D139,D144)</f>
        <v>17600728</v>
      </c>
      <c r="E129" s="1037">
        <f>SUM(E130:E139,E144)</f>
        <v>1861757</v>
      </c>
      <c r="F129" s="1026"/>
      <c r="G129" s="1043"/>
      <c r="J129" s="1028"/>
      <c r="K129" s="1028"/>
    </row>
    <row r="130" spans="1:11" s="213" customFormat="1" ht="13.8">
      <c r="A130" s="188" t="s">
        <v>1594</v>
      </c>
      <c r="B130" s="1057" t="s">
        <v>2969</v>
      </c>
      <c r="C130" s="1058" t="s">
        <v>2970</v>
      </c>
      <c r="D130" s="1042">
        <f>+'Alimentazione SP A'!H72-'Alimentazione SP P'!H70</f>
        <v>0</v>
      </c>
      <c r="E130" s="1042">
        <f>+'Alimentazione SP A'!I72-'Alimentazione SP P'!I70</f>
        <v>0</v>
      </c>
      <c r="F130" s="1033"/>
      <c r="G130" s="1059"/>
      <c r="J130" s="1028"/>
      <c r="K130" s="1028"/>
    </row>
    <row r="131" spans="1:11" s="213" customFormat="1" ht="13.8">
      <c r="A131" s="188" t="s">
        <v>1594</v>
      </c>
      <c r="B131" s="1057" t="s">
        <v>2971</v>
      </c>
      <c r="C131" s="1058" t="s">
        <v>2972</v>
      </c>
      <c r="D131" s="1042">
        <f>+'Alimentazione SP A'!H73-'Alimentazione SP P'!H71</f>
        <v>0</v>
      </c>
      <c r="E131" s="1042">
        <f>+'Alimentazione SP A'!I73-'Alimentazione SP P'!I71</f>
        <v>0</v>
      </c>
      <c r="F131" s="207"/>
      <c r="G131" s="1060"/>
      <c r="J131" s="1028"/>
      <c r="K131" s="1028"/>
    </row>
    <row r="132" spans="1:11" s="213" customFormat="1" ht="13.8">
      <c r="A132" s="188" t="s">
        <v>1590</v>
      </c>
      <c r="B132" s="1057" t="s">
        <v>2973</v>
      </c>
      <c r="C132" s="1058" t="s">
        <v>2974</v>
      </c>
      <c r="D132" s="1042">
        <f>+'Alimentazione SP A'!H74-'Alimentazione SP P'!H72</f>
        <v>0</v>
      </c>
      <c r="E132" s="1042">
        <f>+'Alimentazione SP A'!I74-'Alimentazione SP P'!I72</f>
        <v>0</v>
      </c>
      <c r="F132" s="207"/>
      <c r="G132" s="1060"/>
      <c r="J132" s="1028"/>
      <c r="K132" s="1028"/>
    </row>
    <row r="133" spans="1:11" s="213" customFormat="1" ht="13.8">
      <c r="A133" s="1061"/>
      <c r="B133" s="1057" t="s">
        <v>2975</v>
      </c>
      <c r="C133" s="1058" t="s">
        <v>2976</v>
      </c>
      <c r="D133" s="1042">
        <f>+'Alimentazione SP A'!H75-'Alimentazione SP P'!H73</f>
        <v>0</v>
      </c>
      <c r="E133" s="1042">
        <f>+'Alimentazione SP A'!I75-'Alimentazione SP P'!I73</f>
        <v>0</v>
      </c>
      <c r="F133" s="207"/>
      <c r="G133" s="1060"/>
      <c r="J133" s="1028"/>
      <c r="K133" s="1028"/>
    </row>
    <row r="134" spans="1:11" s="213" customFormat="1" ht="13.8">
      <c r="A134" s="188" t="s">
        <v>1594</v>
      </c>
      <c r="B134" s="1057" t="s">
        <v>2977</v>
      </c>
      <c r="C134" s="1058" t="s">
        <v>2978</v>
      </c>
      <c r="D134" s="1042">
        <f>+'Alimentazione SP A'!H76-'Alimentazione SP P'!H74</f>
        <v>0</v>
      </c>
      <c r="E134" s="1042">
        <f>+'Alimentazione SP A'!I76-'Alimentazione SP P'!I74</f>
        <v>0</v>
      </c>
      <c r="F134" s="207"/>
      <c r="G134" s="1060"/>
      <c r="J134" s="1028"/>
      <c r="K134" s="1028"/>
    </row>
    <row r="135" spans="1:11" s="213" customFormat="1" ht="13.8">
      <c r="A135" s="188" t="s">
        <v>1594</v>
      </c>
      <c r="B135" s="1057" t="s">
        <v>2979</v>
      </c>
      <c r="C135" s="1058" t="s">
        <v>2980</v>
      </c>
      <c r="D135" s="1042">
        <f>+'Alimentazione SP A'!H77-'Alimentazione SP P'!H75</f>
        <v>0</v>
      </c>
      <c r="E135" s="1042">
        <f>+'Alimentazione SP A'!I77-'Alimentazione SP P'!I75</f>
        <v>0</v>
      </c>
      <c r="F135" s="207"/>
      <c r="G135" s="1060"/>
      <c r="J135" s="1028"/>
      <c r="K135" s="1028"/>
    </row>
    <row r="136" spans="1:11" s="213" customFormat="1" ht="13.8">
      <c r="A136" s="188" t="s">
        <v>1594</v>
      </c>
      <c r="B136" s="1057" t="s">
        <v>2981</v>
      </c>
      <c r="C136" s="1058" t="s">
        <v>2982</v>
      </c>
      <c r="D136" s="1042">
        <f>+'Alimentazione SP A'!H79+'Alimentazione SP A'!H80+'Alimentazione SP A'!H81-'Alimentazione SP P'!H76</f>
        <v>0</v>
      </c>
      <c r="E136" s="1042">
        <f>+'Alimentazione SP A'!I79+'Alimentazione SP A'!I80+'Alimentazione SP A'!I81-'Alimentazione SP P'!I76</f>
        <v>0</v>
      </c>
      <c r="F136" s="207"/>
      <c r="G136" s="1060"/>
      <c r="J136" s="1028"/>
      <c r="K136" s="1028"/>
    </row>
    <row r="137" spans="1:11" s="207" customFormat="1" ht="13.8">
      <c r="A137" s="188" t="s">
        <v>1594</v>
      </c>
      <c r="B137" s="1057" t="s">
        <v>2983</v>
      </c>
      <c r="C137" s="1058" t="s">
        <v>2984</v>
      </c>
      <c r="D137" s="1042">
        <f>+'Alimentazione SP A'!H82-'Alimentazione SP P'!H77</f>
        <v>0</v>
      </c>
      <c r="E137" s="1042">
        <f>+'Alimentazione SP A'!I82-'Alimentazione SP P'!I77</f>
        <v>0</v>
      </c>
      <c r="G137" s="1059"/>
      <c r="J137" s="1028"/>
      <c r="K137" s="1028"/>
    </row>
    <row r="138" spans="1:11" s="213" customFormat="1" ht="13.8">
      <c r="A138" s="188" t="s">
        <v>1594</v>
      </c>
      <c r="B138" s="1057" t="s">
        <v>2985</v>
      </c>
      <c r="C138" s="1058" t="s">
        <v>2986</v>
      </c>
      <c r="D138" s="1042">
        <f>+'Alimentazione SP A'!H83-'Alimentazione SP P'!H78</f>
        <v>15100509</v>
      </c>
      <c r="E138" s="1042">
        <f>+'Alimentazione SP A'!I83-'Alimentazione SP P'!I78</f>
        <v>0</v>
      </c>
      <c r="F138" s="1033"/>
      <c r="G138" s="1059"/>
      <c r="J138" s="1028"/>
      <c r="K138" s="1028"/>
    </row>
    <row r="139" spans="1:11" s="213" customFormat="1" ht="13.8">
      <c r="A139" s="1062"/>
      <c r="B139" s="1063" t="s">
        <v>2987</v>
      </c>
      <c r="C139" s="1064" t="s">
        <v>2988</v>
      </c>
      <c r="D139" s="1065">
        <f>+D140+D141+D142+D143</f>
        <v>2500219</v>
      </c>
      <c r="E139" s="1065">
        <f>+E140+E141+E142+E143</f>
        <v>1861757</v>
      </c>
      <c r="F139" s="1033"/>
      <c r="G139" s="1059"/>
      <c r="J139" s="1028"/>
      <c r="K139" s="1028"/>
    </row>
    <row r="140" spans="1:11" s="213" customFormat="1" ht="13.8">
      <c r="A140" s="188" t="s">
        <v>1594</v>
      </c>
      <c r="B140" s="1057" t="s">
        <v>2989</v>
      </c>
      <c r="C140" s="1058" t="s">
        <v>2990</v>
      </c>
      <c r="D140" s="1042">
        <f>+'Alimentazione SP A'!H85-'Alimentazione SP P'!H79</f>
        <v>0</v>
      </c>
      <c r="E140" s="1042">
        <f>+'Alimentazione SP A'!I85-'Alimentazione SP P'!I79</f>
        <v>0</v>
      </c>
      <c r="F140" s="1033"/>
      <c r="G140" s="1059"/>
      <c r="J140" s="1028"/>
      <c r="K140" s="1028"/>
    </row>
    <row r="141" spans="1:11" s="213" customFormat="1" ht="13.8">
      <c r="A141" s="188" t="s">
        <v>1594</v>
      </c>
      <c r="B141" s="1057" t="s">
        <v>2991</v>
      </c>
      <c r="C141" s="1058" t="s">
        <v>2992</v>
      </c>
      <c r="D141" s="1042">
        <f>+'Alimentazione SP A'!H86-'Alimentazione SP P'!H80</f>
        <v>1475359</v>
      </c>
      <c r="E141" s="1042">
        <f>+'Alimentazione SP A'!I86-'Alimentazione SP P'!I80</f>
        <v>1861757</v>
      </c>
      <c r="F141" s="1033"/>
      <c r="G141" s="1059"/>
      <c r="J141" s="1028"/>
      <c r="K141" s="1028"/>
    </row>
    <row r="142" spans="1:11" s="213" customFormat="1" ht="13.8">
      <c r="A142" s="188" t="s">
        <v>1594</v>
      </c>
      <c r="B142" s="1057" t="s">
        <v>2993</v>
      </c>
      <c r="C142" s="1058" t="s">
        <v>2994</v>
      </c>
      <c r="D142" s="1042">
        <f>+'Alimentazione SP A'!H88+'Alimentazione SP A'!H89+'Alimentazione SP A'!H90-'Alimentazione SP P'!H81</f>
        <v>0</v>
      </c>
      <c r="E142" s="1042">
        <f>+'Alimentazione SP A'!I88+'Alimentazione SP A'!I89+'Alimentazione SP A'!I90-'Alimentazione SP P'!I81</f>
        <v>0</v>
      </c>
      <c r="F142" s="1033"/>
      <c r="G142" s="1059"/>
      <c r="J142" s="1028"/>
      <c r="K142" s="1028"/>
    </row>
    <row r="143" spans="1:11" s="213" customFormat="1" ht="13.8">
      <c r="A143" s="188" t="s">
        <v>1594</v>
      </c>
      <c r="B143" s="1057" t="s">
        <v>2995</v>
      </c>
      <c r="C143" s="1058" t="s">
        <v>2996</v>
      </c>
      <c r="D143" s="1042">
        <f>+'Alimentazione SP A'!H91-'Alimentazione SP P'!H82</f>
        <v>1024860</v>
      </c>
      <c r="E143" s="1042">
        <f>+'Alimentazione SP A'!I91-'Alimentazione SP P'!I82</f>
        <v>0</v>
      </c>
      <c r="F143" s="1033"/>
      <c r="G143" s="1059"/>
      <c r="J143" s="1028"/>
      <c r="K143" s="1028"/>
    </row>
    <row r="144" spans="1:11" s="213" customFormat="1" ht="13.8">
      <c r="A144" s="188"/>
      <c r="B144" s="1057" t="s">
        <v>2997</v>
      </c>
      <c r="C144" s="1058" t="s">
        <v>2998</v>
      </c>
      <c r="D144" s="1042">
        <f>+'Alimentazione SP A'!H93+'Alimentazione SP A'!H94+'Alimentazione SP A'!H95-'Alimentazione SP P'!H83</f>
        <v>0</v>
      </c>
      <c r="E144" s="1042">
        <f>+'Alimentazione SP A'!I93+'Alimentazione SP A'!I94+'Alimentazione SP A'!I95-'Alimentazione SP P'!I83</f>
        <v>0</v>
      </c>
      <c r="F144" s="1033"/>
      <c r="G144" s="1059"/>
      <c r="J144" s="1028"/>
      <c r="K144" s="1028"/>
    </row>
    <row r="145" spans="1:11" s="213" customFormat="1" ht="13.8">
      <c r="A145" s="1045"/>
      <c r="B145" s="1035" t="s">
        <v>2999</v>
      </c>
      <c r="C145" s="1036" t="s">
        <v>3000</v>
      </c>
      <c r="D145" s="1037">
        <f>+D146+D157+D164+D165</f>
        <v>10705199</v>
      </c>
      <c r="E145" s="1037">
        <f>+E146+E157+E164+E165</f>
        <v>7225378</v>
      </c>
      <c r="F145" s="1033"/>
      <c r="G145" s="1059"/>
      <c r="J145" s="1028"/>
      <c r="K145" s="1028"/>
    </row>
    <row r="146" spans="1:11" s="213" customFormat="1" ht="13.8">
      <c r="A146" s="1062"/>
      <c r="B146" s="1063" t="s">
        <v>3001</v>
      </c>
      <c r="C146" s="1064" t="s">
        <v>3002</v>
      </c>
      <c r="D146" s="1065">
        <f>SUM(D147:D156)</f>
        <v>2782123</v>
      </c>
      <c r="E146" s="1065">
        <f>SUM(E147:E156)</f>
        <v>3616748</v>
      </c>
      <c r="F146" s="1033"/>
      <c r="G146" s="1059"/>
      <c r="J146" s="1028"/>
      <c r="K146" s="1028"/>
    </row>
    <row r="147" spans="1:11" s="213" customFormat="1" ht="13.8">
      <c r="A147" s="188" t="s">
        <v>3003</v>
      </c>
      <c r="B147" s="1057" t="s">
        <v>3004</v>
      </c>
      <c r="C147" s="1058" t="s">
        <v>3005</v>
      </c>
      <c r="D147" s="1042">
        <f>+'Alimentazione SP A'!H98-'Alimentazione SP P'!H84</f>
        <v>0</v>
      </c>
      <c r="E147" s="1042">
        <f>+'Alimentazione SP A'!I98-'Alimentazione SP P'!I84</f>
        <v>0</v>
      </c>
      <c r="F147" s="1033"/>
      <c r="G147" s="1059"/>
      <c r="J147" s="1028"/>
      <c r="K147" s="1028"/>
    </row>
    <row r="148" spans="1:11" s="213" customFormat="1" ht="13.8">
      <c r="A148" s="188" t="s">
        <v>1545</v>
      </c>
      <c r="B148" s="1057" t="s">
        <v>3006</v>
      </c>
      <c r="C148" s="1058" t="s">
        <v>3007</v>
      </c>
      <c r="D148" s="1042">
        <f>+'Alimentazione SP A'!H99-'Alimentazione SP P'!H85</f>
        <v>0</v>
      </c>
      <c r="E148" s="1042">
        <f>+'Alimentazione SP A'!I99-'Alimentazione SP P'!I85</f>
        <v>0</v>
      </c>
      <c r="F148" s="1033"/>
      <c r="G148" s="1059"/>
      <c r="J148" s="1028"/>
      <c r="K148" s="1028"/>
    </row>
    <row r="149" spans="1:11" s="207" customFormat="1" ht="13.8">
      <c r="A149" s="188" t="s">
        <v>3003</v>
      </c>
      <c r="B149" s="1057" t="s">
        <v>3008</v>
      </c>
      <c r="C149" s="1066" t="s">
        <v>3009</v>
      </c>
      <c r="D149" s="1042">
        <f>+'Alimentazione SP A'!H100-'Alimentazione SP P'!H86</f>
        <v>526805</v>
      </c>
      <c r="E149" s="1042">
        <f>+'Alimentazione SP A'!I100-'Alimentazione SP P'!I86</f>
        <v>526805</v>
      </c>
      <c r="F149" s="213"/>
      <c r="G149" s="1059"/>
      <c r="J149" s="1028"/>
      <c r="K149" s="1028"/>
    </row>
    <row r="150" spans="1:11" s="213" customFormat="1" ht="13.8">
      <c r="A150" s="188" t="s">
        <v>3003</v>
      </c>
      <c r="B150" s="1057" t="s">
        <v>3010</v>
      </c>
      <c r="C150" s="1058" t="s">
        <v>3011</v>
      </c>
      <c r="D150" s="1042">
        <f>+'Alimentazione SP A'!H101-'Alimentazione SP P'!H87</f>
        <v>0</v>
      </c>
      <c r="E150" s="1042">
        <f>+'Alimentazione SP A'!I101-'Alimentazione SP P'!I87</f>
        <v>0</v>
      </c>
      <c r="F150" s="207"/>
      <c r="G150" s="1060"/>
      <c r="J150" s="1028"/>
      <c r="K150" s="1028"/>
    </row>
    <row r="151" spans="1:11" s="213" customFormat="1" ht="26.4">
      <c r="A151" s="188" t="s">
        <v>3003</v>
      </c>
      <c r="B151" s="1057" t="s">
        <v>3012</v>
      </c>
      <c r="C151" s="1058" t="s">
        <v>3013</v>
      </c>
      <c r="D151" s="1042">
        <f>+'Alimentazione SP A'!H102-'Alimentazione SP P'!H88</f>
        <v>0</v>
      </c>
      <c r="E151" s="1042">
        <f>+'Alimentazione SP A'!I102-'Alimentazione SP P'!I88</f>
        <v>0</v>
      </c>
      <c r="F151" s="207"/>
      <c r="G151" s="1060"/>
      <c r="J151" s="1028"/>
      <c r="K151" s="1028"/>
    </row>
    <row r="152" spans="1:11" s="213" customFormat="1" ht="26.4">
      <c r="A152" s="188" t="s">
        <v>3003</v>
      </c>
      <c r="B152" s="1057" t="s">
        <v>3014</v>
      </c>
      <c r="C152" s="1058" t="s">
        <v>3015</v>
      </c>
      <c r="D152" s="1042">
        <f>+'Alimentazione SP A'!H103-'Alimentazione SP P'!H89</f>
        <v>0</v>
      </c>
      <c r="E152" s="1042">
        <f>+'Alimentazione SP A'!I103-'Alimentazione SP P'!I89</f>
        <v>0</v>
      </c>
      <c r="F152" s="207"/>
      <c r="G152" s="1060"/>
      <c r="J152" s="1028"/>
      <c r="K152" s="1028"/>
    </row>
    <row r="153" spans="1:11" s="213" customFormat="1" ht="13.8">
      <c r="A153" s="188" t="s">
        <v>3003</v>
      </c>
      <c r="B153" s="1057" t="s">
        <v>3016</v>
      </c>
      <c r="C153" s="1058" t="s">
        <v>3017</v>
      </c>
      <c r="D153" s="1042">
        <f>+'Alimentazione SP A'!H105+'Alimentazione SP A'!H106+'Alimentazione SP A'!H107-'Alimentazione SP P'!H90</f>
        <v>242819</v>
      </c>
      <c r="E153" s="1042">
        <f>+'Alimentazione SP A'!I105+'Alimentazione SP A'!I106+'Alimentazione SP A'!I107-'Alimentazione SP P'!I90</f>
        <v>305735</v>
      </c>
      <c r="F153" s="207"/>
      <c r="G153" s="1060"/>
      <c r="J153" s="1028"/>
      <c r="K153" s="1028"/>
    </row>
    <row r="154" spans="1:11" s="207" customFormat="1" ht="26.4">
      <c r="A154" s="1067" t="s">
        <v>3003</v>
      </c>
      <c r="B154" s="1057" t="s">
        <v>3018</v>
      </c>
      <c r="C154" s="1066" t="s">
        <v>3019</v>
      </c>
      <c r="D154" s="1042">
        <f>+'Alimentazione SP A'!H108-'Alimentazione SP P'!H91</f>
        <v>0</v>
      </c>
      <c r="E154" s="1042">
        <f>+'Alimentazione SP A'!I108-'Alimentazione SP P'!I91</f>
        <v>0</v>
      </c>
      <c r="G154" s="1059"/>
      <c r="J154" s="1028"/>
      <c r="K154" s="1028"/>
    </row>
    <row r="155" spans="1:11" s="213" customFormat="1" ht="13.8">
      <c r="A155" s="1067" t="s">
        <v>3003</v>
      </c>
      <c r="B155" s="1057" t="s">
        <v>3020</v>
      </c>
      <c r="C155" s="1066" t="s">
        <v>3021</v>
      </c>
      <c r="D155" s="1042">
        <f>+'Alimentazione SP A'!H110+'Alimentazione SP A'!H111+'Alimentazione SP A'!H112+'Alimentazione SP A'!H113-'Alimentazione SP P'!H92</f>
        <v>2012499</v>
      </c>
      <c r="E155" s="1042">
        <f>+'Alimentazione SP A'!I110+'Alimentazione SP A'!I111+'Alimentazione SP A'!I112+'Alimentazione SP A'!I113-'Alimentazione SP P'!I92</f>
        <v>2784208</v>
      </c>
      <c r="F155" s="207"/>
      <c r="G155" s="1060"/>
      <c r="J155" s="1028"/>
      <c r="K155" s="1028"/>
    </row>
    <row r="156" spans="1:11" s="207" customFormat="1" ht="13.8">
      <c r="A156" s="1067" t="s">
        <v>3003</v>
      </c>
      <c r="B156" s="1057" t="s">
        <v>3022</v>
      </c>
      <c r="C156" s="1066" t="s">
        <v>3023</v>
      </c>
      <c r="D156" s="1042">
        <f>+'Alimentazione SP A'!H114-'Alimentazione SP P'!H93</f>
        <v>0</v>
      </c>
      <c r="E156" s="1042">
        <f>+'Alimentazione SP A'!I114-'Alimentazione SP P'!I93</f>
        <v>0</v>
      </c>
      <c r="G156" s="1059"/>
      <c r="J156" s="1028"/>
      <c r="K156" s="1028"/>
    </row>
    <row r="157" spans="1:11" s="1044" customFormat="1" ht="13.8">
      <c r="A157" s="1068"/>
      <c r="B157" s="1063" t="s">
        <v>3024</v>
      </c>
      <c r="C157" s="1069" t="s">
        <v>3025</v>
      </c>
      <c r="D157" s="1065">
        <f>SUM(D158:D163)</f>
        <v>7923076</v>
      </c>
      <c r="E157" s="1065">
        <f>SUM(E158:E163)</f>
        <v>3608630</v>
      </c>
      <c r="F157" s="1070"/>
      <c r="G157" s="1071"/>
      <c r="J157" s="1028"/>
      <c r="K157" s="1028"/>
    </row>
    <row r="158" spans="1:11" s="1044" customFormat="1" ht="13.8">
      <c r="A158" s="1072" t="s">
        <v>3003</v>
      </c>
      <c r="B158" s="1040" t="s">
        <v>3026</v>
      </c>
      <c r="C158" s="1073" t="s">
        <v>3027</v>
      </c>
      <c r="D158" s="1042">
        <f>+'Alimentazione SP A'!H116-'Alimentazione SP P'!H94</f>
        <v>7923076</v>
      </c>
      <c r="E158" s="1042">
        <f>+'Alimentazione SP A'!I116-'Alimentazione SP P'!I94</f>
        <v>3608630</v>
      </c>
      <c r="F158" s="1070"/>
      <c r="G158" s="1071"/>
      <c r="I158" s="1117"/>
      <c r="J158" s="1028"/>
      <c r="K158" s="1028"/>
    </row>
    <row r="159" spans="1:11" s="1044" customFormat="1" ht="13.8">
      <c r="A159" s="1072" t="s">
        <v>3003</v>
      </c>
      <c r="B159" s="1040" t="s">
        <v>3028</v>
      </c>
      <c r="C159" s="1041" t="s">
        <v>3029</v>
      </c>
      <c r="D159" s="1042">
        <f>+'Alimentazione SP A'!H117-'Alimentazione SP P'!H95</f>
        <v>0</v>
      </c>
      <c r="E159" s="1042">
        <f>+'Alimentazione SP A'!I117-'Alimentazione SP P'!I95</f>
        <v>0</v>
      </c>
      <c r="F159" s="1070"/>
      <c r="G159" s="1071"/>
      <c r="J159" s="1028"/>
      <c r="K159" s="1028"/>
    </row>
    <row r="160" spans="1:11" s="1044" customFormat="1" ht="13.8">
      <c r="A160" s="1072" t="s">
        <v>3003</v>
      </c>
      <c r="B160" s="1040" t="s">
        <v>3030</v>
      </c>
      <c r="C160" s="1073" t="s">
        <v>3031</v>
      </c>
      <c r="D160" s="1042">
        <f>+'Alimentazione SP A'!H118-'Alimentazione SP P'!H96</f>
        <v>0</v>
      </c>
      <c r="E160" s="1042">
        <f>+'Alimentazione SP A'!I118-'Alimentazione SP P'!I96</f>
        <v>0</v>
      </c>
      <c r="F160" s="1070"/>
      <c r="G160" s="1071"/>
      <c r="J160" s="1028"/>
      <c r="K160" s="1028"/>
    </row>
    <row r="161" spans="1:11" s="1044" customFormat="1" ht="26.4">
      <c r="A161" s="1067" t="s">
        <v>3003</v>
      </c>
      <c r="B161" s="1057" t="s">
        <v>3032</v>
      </c>
      <c r="C161" s="1066" t="s">
        <v>3033</v>
      </c>
      <c r="D161" s="1042">
        <f>+'Alimentazione SP A'!H119</f>
        <v>0</v>
      </c>
      <c r="E161" s="1042">
        <f>+'Alimentazione SP A'!I119</f>
        <v>0</v>
      </c>
      <c r="F161" s="1070"/>
      <c r="G161" s="1071"/>
      <c r="J161" s="1028"/>
      <c r="K161" s="1028"/>
    </row>
    <row r="162" spans="1:11" s="1044" customFormat="1" ht="13.8">
      <c r="A162" s="1067" t="s">
        <v>3003</v>
      </c>
      <c r="B162" s="1057" t="s">
        <v>3034</v>
      </c>
      <c r="C162" s="1066" t="s">
        <v>3035</v>
      </c>
      <c r="D162" s="1042">
        <f>+'Alimentazione SP A'!H120-'Alimentazione SP P'!H97</f>
        <v>0</v>
      </c>
      <c r="E162" s="1042">
        <f>+'Alimentazione SP A'!I120-'Alimentazione SP P'!I97</f>
        <v>0</v>
      </c>
      <c r="F162" s="1070"/>
      <c r="G162" s="1071"/>
      <c r="J162" s="1028"/>
      <c r="K162" s="1028"/>
    </row>
    <row r="163" spans="1:11" s="1044" customFormat="1" ht="26.4">
      <c r="A163" s="1067" t="s">
        <v>3003</v>
      </c>
      <c r="B163" s="1057" t="s">
        <v>3036</v>
      </c>
      <c r="C163" s="1066" t="s">
        <v>3037</v>
      </c>
      <c r="D163" s="1042">
        <f>+'Alimentazione SP A'!H121-'Alimentazione SP P'!H98</f>
        <v>0</v>
      </c>
      <c r="E163" s="1042">
        <f>+'Alimentazione SP A'!I121-'Alimentazione SP P'!I98</f>
        <v>0</v>
      </c>
      <c r="F163" s="1070"/>
      <c r="G163" s="1071"/>
      <c r="J163" s="1028"/>
      <c r="K163" s="1028"/>
    </row>
    <row r="164" spans="1:11" s="1070" customFormat="1" ht="13.8">
      <c r="A164" s="1074"/>
      <c r="B164" s="1040" t="s">
        <v>3038</v>
      </c>
      <c r="C164" s="1073" t="s">
        <v>3039</v>
      </c>
      <c r="D164" s="1042">
        <f>+'Alimentazione SP A'!H122</f>
        <v>0</v>
      </c>
      <c r="E164" s="1042">
        <f>+'Alimentazione SP A'!I122</f>
        <v>0</v>
      </c>
      <c r="G164" s="1043"/>
      <c r="J164" s="1028"/>
      <c r="K164" s="1028"/>
    </row>
    <row r="165" spans="1:11" s="1070" customFormat="1" ht="26.4">
      <c r="A165" s="1074" t="s">
        <v>3003</v>
      </c>
      <c r="B165" s="1040" t="s">
        <v>3040</v>
      </c>
      <c r="C165" s="1073" t="s">
        <v>3041</v>
      </c>
      <c r="D165" s="1042">
        <f>+'Alimentazione SP A'!H123</f>
        <v>0</v>
      </c>
      <c r="E165" s="1042">
        <f>+'Alimentazione SP A'!I123</f>
        <v>0</v>
      </c>
      <c r="G165" s="1043"/>
      <c r="J165" s="1028"/>
      <c r="K165" s="1028"/>
    </row>
    <row r="166" spans="1:11" s="1044" customFormat="1" ht="13.8">
      <c r="A166" s="1039"/>
      <c r="B166" s="1046" t="s">
        <v>3042</v>
      </c>
      <c r="C166" s="1047" t="s">
        <v>3043</v>
      </c>
      <c r="D166" s="1042">
        <f>+'Alimentazione SP A'!H125+'Alimentazione SP A'!H126+'Alimentazione SP A'!H127-'Alimentazione SP P'!H99</f>
        <v>0</v>
      </c>
      <c r="E166" s="1042">
        <f>+'Alimentazione SP A'!I125+'Alimentazione SP A'!I126+'Alimentazione SP A'!I127-'Alimentazione SP P'!I99</f>
        <v>0</v>
      </c>
      <c r="F166" s="1026"/>
      <c r="G166" s="1043"/>
      <c r="J166" s="1028"/>
      <c r="K166" s="1028"/>
    </row>
    <row r="167" spans="1:11" s="1044" customFormat="1" ht="13.8">
      <c r="A167" s="1075"/>
      <c r="B167" s="1035" t="s">
        <v>3044</v>
      </c>
      <c r="C167" s="1036" t="s">
        <v>3045</v>
      </c>
      <c r="D167" s="1037">
        <f>+D168+D172+D173+D174+D175</f>
        <v>5107453</v>
      </c>
      <c r="E167" s="1037">
        <f>+E168+E172+E173+E174+E175</f>
        <v>2178189</v>
      </c>
      <c r="F167" s="1026"/>
      <c r="G167" s="1043"/>
      <c r="J167" s="1028"/>
      <c r="K167" s="1028"/>
    </row>
    <row r="168" spans="1:11" s="1044" customFormat="1" ht="13.8">
      <c r="A168" s="1062"/>
      <c r="B168" s="1063" t="s">
        <v>3046</v>
      </c>
      <c r="C168" s="1064" t="s">
        <v>3047</v>
      </c>
      <c r="D168" s="1065">
        <f>+D169+D170+D171</f>
        <v>5000028</v>
      </c>
      <c r="E168" s="1065">
        <f>+E169+E170+E171</f>
        <v>2035955</v>
      </c>
      <c r="F168" s="1070"/>
      <c r="G168" s="1071"/>
      <c r="J168" s="1028"/>
      <c r="K168" s="1028"/>
    </row>
    <row r="169" spans="1:11" s="1044" customFormat="1" ht="26.4">
      <c r="A169" s="1039" t="s">
        <v>1545</v>
      </c>
      <c r="B169" s="1040" t="s">
        <v>3048</v>
      </c>
      <c r="C169" s="1041" t="s">
        <v>3049</v>
      </c>
      <c r="D169" s="1042">
        <f>+'Alimentazione SP A'!H130-'Alimentazione SP P'!H100</f>
        <v>0</v>
      </c>
      <c r="E169" s="1042">
        <f>+'Alimentazione SP A'!I130-'Alimentazione SP P'!I100</f>
        <v>0</v>
      </c>
      <c r="F169" s="1070"/>
      <c r="G169" s="1071"/>
      <c r="J169" s="1028"/>
      <c r="K169" s="1028"/>
    </row>
    <row r="170" spans="1:11" s="1044" customFormat="1" ht="26.4">
      <c r="A170" s="188" t="s">
        <v>1545</v>
      </c>
      <c r="B170" s="1057" t="s">
        <v>3050</v>
      </c>
      <c r="C170" s="1058" t="s">
        <v>3051</v>
      </c>
      <c r="D170" s="1042">
        <f>+'Alimentazione SP A'!H132+'Alimentazione SP A'!H133+'Alimentazione SP A'!H134-'Alimentazione SP P'!H101</f>
        <v>1393320</v>
      </c>
      <c r="E170" s="1042">
        <f>+'Alimentazione SP A'!I132+'Alimentazione SP A'!I133+'Alimentazione SP A'!I134-'Alimentazione SP P'!I101</f>
        <v>931214</v>
      </c>
      <c r="F170" s="1070"/>
      <c r="G170" s="1071"/>
      <c r="J170" s="1028"/>
      <c r="K170" s="1028"/>
    </row>
    <row r="171" spans="1:11" s="1044" customFormat="1" ht="13.8">
      <c r="A171" s="188" t="s">
        <v>1545</v>
      </c>
      <c r="B171" s="1057" t="s">
        <v>3052</v>
      </c>
      <c r="C171" s="1058" t="s">
        <v>3053</v>
      </c>
      <c r="D171" s="1042">
        <f>+'Alimentazione SP A'!H136+'Alimentazione SP A'!H137+'Alimentazione SP A'!H138-'Alimentazione SP P'!H102</f>
        <v>3606708</v>
      </c>
      <c r="E171" s="1042">
        <f>+'Alimentazione SP A'!I136+'Alimentazione SP A'!I137+'Alimentazione SP A'!I138-'Alimentazione SP P'!I102</f>
        <v>1104741</v>
      </c>
      <c r="F171" s="1070"/>
      <c r="G171" s="1071"/>
      <c r="J171" s="1028"/>
      <c r="K171" s="1028"/>
    </row>
    <row r="172" spans="1:11" s="1044" customFormat="1" ht="13.8">
      <c r="A172" s="188" t="s">
        <v>3003</v>
      </c>
      <c r="B172" s="1057" t="s">
        <v>3054</v>
      </c>
      <c r="C172" s="1058" t="s">
        <v>3055</v>
      </c>
      <c r="D172" s="1042">
        <f>+'Alimentazione SP A'!H139-'Alimentazione SP P'!H103</f>
        <v>0</v>
      </c>
      <c r="E172" s="1042">
        <f>+'Alimentazione SP A'!I139-'Alimentazione SP P'!I103</f>
        <v>0</v>
      </c>
      <c r="F172" s="1070"/>
      <c r="G172" s="1071"/>
      <c r="J172" s="1028"/>
      <c r="K172" s="1028"/>
    </row>
    <row r="173" spans="1:11" s="1044" customFormat="1" ht="26.4">
      <c r="A173" s="188" t="s">
        <v>3003</v>
      </c>
      <c r="B173" s="1057" t="s">
        <v>3056</v>
      </c>
      <c r="C173" s="1058" t="s">
        <v>3057</v>
      </c>
      <c r="D173" s="1042">
        <f>+'Alimentazione SP A'!H140</f>
        <v>0</v>
      </c>
      <c r="E173" s="1042">
        <f>+'Alimentazione SP A'!I140</f>
        <v>0</v>
      </c>
      <c r="F173" s="1070"/>
      <c r="G173" s="1071"/>
      <c r="J173" s="1028"/>
      <c r="K173" s="1028"/>
    </row>
    <row r="174" spans="1:11" s="1044" customFormat="1" ht="13.8">
      <c r="A174" s="188" t="s">
        <v>1594</v>
      </c>
      <c r="B174" s="1057" t="s">
        <v>3058</v>
      </c>
      <c r="C174" s="1058" t="s">
        <v>3059</v>
      </c>
      <c r="D174" s="1042">
        <f>+'Alimentazione SP A'!H142+'Alimentazione SP A'!H143+'Alimentazione SP A'!H144-'Alimentazione SP P'!H104</f>
        <v>107425</v>
      </c>
      <c r="E174" s="1042">
        <f>+'Alimentazione SP A'!I142+'Alimentazione SP A'!I143+'Alimentazione SP A'!I144-'Alimentazione SP P'!I104</f>
        <v>142234</v>
      </c>
      <c r="F174" s="1070"/>
      <c r="G174" s="1071"/>
      <c r="J174" s="1028"/>
      <c r="K174" s="1028"/>
    </row>
    <row r="175" spans="1:11" s="1044" customFormat="1" ht="26.4">
      <c r="A175" s="1067" t="s">
        <v>1545</v>
      </c>
      <c r="B175" s="1057" t="s">
        <v>3060</v>
      </c>
      <c r="C175" s="1076" t="s">
        <v>3061</v>
      </c>
      <c r="D175" s="1042">
        <f>+'Alimentazione SP A'!H145</f>
        <v>0</v>
      </c>
      <c r="E175" s="1042">
        <f>+'Alimentazione SP A'!I145</f>
        <v>0</v>
      </c>
      <c r="F175" s="1070"/>
      <c r="G175" s="1071"/>
      <c r="J175" s="1028"/>
      <c r="K175" s="1028"/>
    </row>
    <row r="176" spans="1:11" s="1044" customFormat="1" ht="13.8">
      <c r="A176" s="1045"/>
      <c r="B176" s="1035" t="s">
        <v>3062</v>
      </c>
      <c r="C176" s="1036" t="s">
        <v>3063</v>
      </c>
      <c r="D176" s="1037">
        <f>+D177+D178+D179</f>
        <v>0</v>
      </c>
      <c r="E176" s="1037">
        <f>+E177+E178+E179</f>
        <v>0</v>
      </c>
      <c r="F176" s="1026"/>
      <c r="G176" s="1043"/>
      <c r="J176" s="1028"/>
      <c r="K176" s="1028"/>
    </row>
    <row r="177" spans="1:11" s="1044" customFormat="1" ht="13.8">
      <c r="A177" s="1039"/>
      <c r="B177" s="1040" t="s">
        <v>3064</v>
      </c>
      <c r="C177" s="1041" t="s">
        <v>3065</v>
      </c>
      <c r="D177" s="1042">
        <f>+'Alimentazione SP A'!H147-'Alimentazione SP P'!H105</f>
        <v>0</v>
      </c>
      <c r="E177" s="1042">
        <f>+'Alimentazione SP A'!I147-'Alimentazione SP P'!I105</f>
        <v>0</v>
      </c>
      <c r="F177" s="1026"/>
      <c r="G177" s="1043"/>
      <c r="J177" s="1028"/>
      <c r="K177" s="1028"/>
    </row>
    <row r="178" spans="1:11" s="1044" customFormat="1" ht="13.8">
      <c r="A178" s="1039"/>
      <c r="B178" s="1040" t="s">
        <v>3066</v>
      </c>
      <c r="C178" s="1041" t="s">
        <v>3067</v>
      </c>
      <c r="D178" s="1042">
        <f>+'Alimentazione SP A'!H148-'Alimentazione SP P'!H106</f>
        <v>0</v>
      </c>
      <c r="E178" s="1042">
        <f>+'Alimentazione SP A'!I148-'Alimentazione SP P'!I106</f>
        <v>0</v>
      </c>
      <c r="F178" s="1026"/>
      <c r="G178" s="1043"/>
      <c r="J178" s="1028"/>
      <c r="K178" s="1028"/>
    </row>
    <row r="179" spans="1:11" s="1044" customFormat="1" ht="13.8">
      <c r="A179" s="1039"/>
      <c r="B179" s="1040" t="s">
        <v>3068</v>
      </c>
      <c r="C179" s="1041" t="s">
        <v>3069</v>
      </c>
      <c r="D179" s="1042">
        <f>+'Alimentazione SP A'!H150+'Alimentazione SP A'!H151+'Alimentazione SP A'!H152-'Alimentazione SP P'!H107</f>
        <v>0</v>
      </c>
      <c r="E179" s="1042">
        <f>+'Alimentazione SP A'!I150+'Alimentazione SP A'!I151+'Alimentazione SP A'!I152-'Alimentazione SP P'!I107</f>
        <v>0</v>
      </c>
      <c r="F179" s="1026"/>
      <c r="G179" s="1043"/>
      <c r="J179" s="1028"/>
      <c r="K179" s="1028"/>
    </row>
    <row r="180" spans="1:11" s="1044" customFormat="1" ht="13.8">
      <c r="A180" s="1039"/>
      <c r="B180" s="1046" t="s">
        <v>3070</v>
      </c>
      <c r="C180" s="1047" t="s">
        <v>3071</v>
      </c>
      <c r="D180" s="1042">
        <f>+'Alimentazione SP A'!H154+'Alimentazione SP A'!H155+'Alimentazione SP A'!H156+'Alimentazione SP A'!H157+'Alimentazione SP A'!H158+'Alimentazione SP A'!H159-'Alimentazione SP P'!H108</f>
        <v>0</v>
      </c>
      <c r="E180" s="1042">
        <f>+'Alimentazione SP A'!I154+'Alimentazione SP A'!I155+'Alimentazione SP A'!I156+'Alimentazione SP A'!I157+'Alimentazione SP A'!I158+'Alimentazione SP A'!I159-'Alimentazione SP P'!I108</f>
        <v>0</v>
      </c>
      <c r="F180" s="1026"/>
      <c r="G180" s="1043"/>
      <c r="J180" s="1028"/>
      <c r="K180" s="1028"/>
    </row>
    <row r="181" spans="1:11" s="1044" customFormat="1" ht="13.8">
      <c r="A181" s="1045"/>
      <c r="B181" s="1035" t="s">
        <v>3072</v>
      </c>
      <c r="C181" s="1036" t="s">
        <v>3073</v>
      </c>
      <c r="D181" s="1037">
        <f>+D182+D183+D184+D185+D186+D189</f>
        <v>1996811</v>
      </c>
      <c r="E181" s="1037">
        <f>+E182+E183+E184+E185+E186+E189</f>
        <v>1579628</v>
      </c>
      <c r="F181" s="1026"/>
      <c r="G181" s="1043"/>
      <c r="J181" s="1028"/>
      <c r="K181" s="1028"/>
    </row>
    <row r="182" spans="1:11" s="1044" customFormat="1" ht="13.8">
      <c r="A182" s="1039"/>
      <c r="B182" s="1040" t="s">
        <v>3074</v>
      </c>
      <c r="C182" s="1041" t="s">
        <v>3075</v>
      </c>
      <c r="D182" s="1042">
        <f>+'Alimentazione SP A'!H162+'Alimentazione SP A'!H163+'Alimentazione SP A'!H164+'Alimentazione SP A'!H165+'Alimentazione SP A'!H166-'Alimentazione SP P'!H109</f>
        <v>1513306</v>
      </c>
      <c r="E182" s="1042">
        <f>+'Alimentazione SP A'!I162+'Alimentazione SP A'!I163+'Alimentazione SP A'!I164+'Alimentazione SP A'!I165+'Alimentazione SP A'!I166-'Alimentazione SP P'!I109</f>
        <v>1293758</v>
      </c>
      <c r="F182" s="1026"/>
      <c r="G182" s="1043"/>
      <c r="J182" s="1028"/>
      <c r="K182" s="1028"/>
    </row>
    <row r="183" spans="1:11" s="1044" customFormat="1" ht="13.8">
      <c r="A183" s="1039"/>
      <c r="B183" s="1040" t="s">
        <v>3076</v>
      </c>
      <c r="C183" s="1041" t="s">
        <v>3077</v>
      </c>
      <c r="D183" s="1042">
        <f>+'Alimentazione SP A'!H167-'Alimentazione SP P'!H110</f>
        <v>0</v>
      </c>
      <c r="E183" s="1042">
        <f>+'Alimentazione SP A'!I167-'Alimentazione SP P'!I110</f>
        <v>0</v>
      </c>
      <c r="F183" s="1026"/>
      <c r="G183" s="1043"/>
      <c r="J183" s="1028"/>
      <c r="K183" s="1028"/>
    </row>
    <row r="184" spans="1:11" s="1044" customFormat="1" ht="13.8">
      <c r="A184" s="1039"/>
      <c r="B184" s="1040" t="s">
        <v>3078</v>
      </c>
      <c r="C184" s="1041" t="s">
        <v>3079</v>
      </c>
      <c r="D184" s="1042">
        <f>+'Alimentazione SP A'!H169+'Alimentazione SP A'!H170+'Alimentazione SP A'!H171+'Alimentazione SP A'!H172-'Alimentazione SP P'!H111</f>
        <v>270440</v>
      </c>
      <c r="E184" s="1042">
        <f>+'Alimentazione SP A'!I169+'Alimentazione SP A'!I170+'Alimentazione SP A'!I171+'Alimentazione SP A'!I172-'Alimentazione SP P'!I111</f>
        <v>204941</v>
      </c>
      <c r="F184" s="1026"/>
      <c r="G184" s="1043"/>
      <c r="J184" s="1028"/>
      <c r="K184" s="1028"/>
    </row>
    <row r="185" spans="1:11" s="1044" customFormat="1" ht="13.8">
      <c r="A185" s="1039"/>
      <c r="B185" s="1040" t="s">
        <v>3080</v>
      </c>
      <c r="C185" s="1041" t="s">
        <v>3081</v>
      </c>
      <c r="D185" s="1042">
        <f>+'Alimentazione SP A'!H173-'Alimentazione SP P'!H112</f>
        <v>38500</v>
      </c>
      <c r="E185" s="1042">
        <f>+'Alimentazione SP A'!I173-'Alimentazione SP P'!I112</f>
        <v>0</v>
      </c>
      <c r="F185" s="1026"/>
      <c r="G185" s="1043"/>
      <c r="J185" s="1028"/>
      <c r="K185" s="1028"/>
    </row>
    <row r="186" spans="1:11" s="1044" customFormat="1" ht="13.8">
      <c r="A186" s="1062"/>
      <c r="B186" s="1063" t="s">
        <v>3082</v>
      </c>
      <c r="C186" s="1064" t="s">
        <v>3083</v>
      </c>
      <c r="D186" s="1065">
        <f>+D187+D188</f>
        <v>174565</v>
      </c>
      <c r="E186" s="1065">
        <f>+E187+E188</f>
        <v>80929</v>
      </c>
      <c r="F186" s="1026"/>
      <c r="G186" s="1043"/>
      <c r="J186" s="1028"/>
      <c r="K186" s="1028"/>
    </row>
    <row r="187" spans="1:11" s="1044" customFormat="1" ht="13.8">
      <c r="A187" s="1048"/>
      <c r="B187" s="1077" t="s">
        <v>3084</v>
      </c>
      <c r="C187" s="1078" t="s">
        <v>3085</v>
      </c>
      <c r="D187" s="1042">
        <f>+'Alimentazione SP A'!H177+'Alimentazione SP A'!H178+'Alimentazione SP A'!H179+'Alimentazione SP A'!H180+'Alimentazione SP A'!H181+'Alimentazione SP A'!H182-'Alimentazione SP P'!H113</f>
        <v>174565</v>
      </c>
      <c r="E187" s="1042">
        <f>+'Alimentazione SP A'!I177+'Alimentazione SP A'!I178+'Alimentazione SP A'!I179+'Alimentazione SP A'!I180+'Alimentazione SP A'!I181+'Alimentazione SP A'!I182-'Alimentazione SP P'!I113</f>
        <v>80929</v>
      </c>
      <c r="F187" s="1026"/>
      <c r="G187" s="1043"/>
      <c r="J187" s="1028"/>
      <c r="K187" s="1028"/>
    </row>
    <row r="188" spans="1:11" s="1044" customFormat="1" ht="13.8">
      <c r="A188" s="1039"/>
      <c r="B188" s="1079" t="s">
        <v>3086</v>
      </c>
      <c r="C188" s="1080" t="s">
        <v>3087</v>
      </c>
      <c r="D188" s="1042">
        <f>+'Alimentazione SP A'!H183</f>
        <v>0</v>
      </c>
      <c r="E188" s="1042">
        <f>+'Alimentazione SP A'!I183</f>
        <v>0</v>
      </c>
      <c r="F188" s="1026"/>
      <c r="G188" s="1043"/>
      <c r="J188" s="1028"/>
      <c r="K188" s="1028"/>
    </row>
    <row r="189" spans="1:11" s="1044" customFormat="1" ht="26.4">
      <c r="A189" s="1062"/>
      <c r="B189" s="1081" t="s">
        <v>3088</v>
      </c>
      <c r="C189" s="1082" t="s">
        <v>3089</v>
      </c>
      <c r="D189" s="1065">
        <f>+D190+D191</f>
        <v>0</v>
      </c>
      <c r="E189" s="1065">
        <f>+E190+E191</f>
        <v>0</v>
      </c>
      <c r="F189" s="1026"/>
      <c r="G189" s="1043"/>
      <c r="J189" s="1028"/>
      <c r="K189" s="1028"/>
    </row>
    <row r="190" spans="1:11" s="1044" customFormat="1" ht="26.4">
      <c r="A190" s="1048"/>
      <c r="B190" s="1077" t="s">
        <v>3090</v>
      </c>
      <c r="C190" s="1080" t="s">
        <v>3091</v>
      </c>
      <c r="D190" s="1042">
        <f>+'Alimentazione SP A'!H185-'Alimentazione SP P'!H114</f>
        <v>0</v>
      </c>
      <c r="E190" s="1042">
        <f>+'Alimentazione SP A'!I185-'Alimentazione SP P'!I114</f>
        <v>0</v>
      </c>
      <c r="F190" s="1026"/>
      <c r="G190" s="1043"/>
      <c r="J190" s="1028"/>
      <c r="K190" s="1028"/>
    </row>
    <row r="191" spans="1:11" s="1044" customFormat="1" ht="13.8">
      <c r="A191" s="1039"/>
      <c r="B191" s="1077" t="s">
        <v>3092</v>
      </c>
      <c r="C191" s="1080" t="s">
        <v>3093</v>
      </c>
      <c r="D191" s="1042">
        <f>+'Alimentazione SP A'!H186</f>
        <v>0</v>
      </c>
      <c r="E191" s="1042">
        <f>+'Alimentazione SP A'!I186</f>
        <v>0</v>
      </c>
      <c r="F191" s="1026"/>
      <c r="G191" s="1043"/>
      <c r="J191" s="1028"/>
      <c r="K191" s="1028"/>
    </row>
    <row r="192" spans="1:11" s="1044" customFormat="1" ht="13.8">
      <c r="A192" s="1052"/>
      <c r="B192" s="1083" t="s">
        <v>3094</v>
      </c>
      <c r="C192" s="1084" t="s">
        <v>3095</v>
      </c>
      <c r="D192" s="1085">
        <f>+D193+D194</f>
        <v>0</v>
      </c>
      <c r="E192" s="1085">
        <f>+E193+E194</f>
        <v>0</v>
      </c>
      <c r="F192" s="1026"/>
      <c r="G192" s="1043"/>
      <c r="J192" s="1028"/>
      <c r="K192" s="1028"/>
    </row>
    <row r="193" spans="1:11" s="1044" customFormat="1" ht="13.8">
      <c r="A193" s="1039"/>
      <c r="B193" s="1046" t="s">
        <v>3096</v>
      </c>
      <c r="C193" s="1047" t="s">
        <v>3097</v>
      </c>
      <c r="D193" s="1042">
        <f>+'Alimentazione SP A'!H189+'Alimentazione SP A'!H190+'Alimentazione SP A'!H191</f>
        <v>0</v>
      </c>
      <c r="E193" s="1042">
        <f>+'Alimentazione SP A'!I189+'Alimentazione SP A'!I190+'Alimentazione SP A'!I191</f>
        <v>0</v>
      </c>
      <c r="F193" s="1026"/>
      <c r="G193" s="1043"/>
      <c r="J193" s="1028"/>
      <c r="K193" s="1028"/>
    </row>
    <row r="194" spans="1:11" s="1044" customFormat="1" ht="14.4" thickBot="1">
      <c r="A194" s="1049"/>
      <c r="B194" s="1086" t="s">
        <v>3098</v>
      </c>
      <c r="C194" s="1087" t="s">
        <v>3099</v>
      </c>
      <c r="D194" s="1042">
        <f>+'Alimentazione SP A'!H192</f>
        <v>0</v>
      </c>
      <c r="E194" s="1042">
        <f>+'Alimentazione SP A'!I192</f>
        <v>0</v>
      </c>
      <c r="F194" s="1026"/>
      <c r="G194" s="1043"/>
      <c r="J194" s="1028"/>
      <c r="K194" s="1028"/>
    </row>
    <row r="195" spans="1:11" s="1044" customFormat="1" ht="13.8">
      <c r="A195" s="1052"/>
      <c r="B195" s="1053" t="s">
        <v>3100</v>
      </c>
      <c r="C195" s="1054" t="s">
        <v>3101</v>
      </c>
      <c r="D195" s="1055">
        <f>+D196+D197+D198+D199</f>
        <v>27110112</v>
      </c>
      <c r="E195" s="1055">
        <f>+E196+E197+E198+E199</f>
        <v>21056258</v>
      </c>
      <c r="F195" s="1026"/>
      <c r="G195" s="1043"/>
      <c r="J195" s="1028"/>
      <c r="K195" s="1028"/>
    </row>
    <row r="196" spans="1:11" s="1044" customFormat="1" ht="13.8">
      <c r="A196" s="1039"/>
      <c r="B196" s="1046" t="s">
        <v>3102</v>
      </c>
      <c r="C196" s="1047" t="s">
        <v>3103</v>
      </c>
      <c r="D196" s="1042">
        <f>+SUM('Alimentazione SP A'!H196:H213)</f>
        <v>42168</v>
      </c>
      <c r="E196" s="1042">
        <f>+SUM('Alimentazione SP A'!I196:I213)</f>
        <v>69666</v>
      </c>
      <c r="F196" s="1026"/>
      <c r="G196" s="1043"/>
      <c r="J196" s="1028"/>
      <c r="K196" s="1028"/>
    </row>
    <row r="197" spans="1:11" s="1044" customFormat="1" ht="13.8">
      <c r="A197" s="1039"/>
      <c r="B197" s="1046" t="s">
        <v>3104</v>
      </c>
      <c r="C197" s="1047" t="s">
        <v>3105</v>
      </c>
      <c r="D197" s="1042">
        <f>+'Alimentazione SP A'!H215+'Alimentazione SP A'!H216+'Alimentazione SP A'!H217</f>
        <v>27066853</v>
      </c>
      <c r="E197" s="1042">
        <f>+'Alimentazione SP A'!I215+'Alimentazione SP A'!I216+'Alimentazione SP A'!I217</f>
        <v>20980526</v>
      </c>
      <c r="F197" s="1026"/>
      <c r="G197" s="1043"/>
      <c r="J197" s="1028"/>
      <c r="K197" s="1028"/>
    </row>
    <row r="198" spans="1:11" s="1044" customFormat="1" ht="13.8">
      <c r="A198" s="1039"/>
      <c r="B198" s="1046" t="s">
        <v>3106</v>
      </c>
      <c r="C198" s="1047" t="s">
        <v>3107</v>
      </c>
      <c r="D198" s="1042">
        <f>+'Alimentazione SP A'!H218</f>
        <v>0</v>
      </c>
      <c r="E198" s="1042">
        <f>+'Alimentazione SP A'!I218</f>
        <v>0</v>
      </c>
      <c r="F198" s="1026"/>
      <c r="G198" s="1043"/>
      <c r="J198" s="1028"/>
      <c r="K198" s="1028"/>
    </row>
    <row r="199" spans="1:11" s="1044" customFormat="1" ht="14.4" thickBot="1">
      <c r="A199" s="1049"/>
      <c r="B199" s="1086" t="s">
        <v>3108</v>
      </c>
      <c r="C199" s="1087" t="s">
        <v>3109</v>
      </c>
      <c r="D199" s="1042">
        <f>+SUM('Alimentazione SP A'!H220:H226)</f>
        <v>1091</v>
      </c>
      <c r="E199" s="1042">
        <f>+SUM('Alimentazione SP A'!I220:I226)</f>
        <v>6066</v>
      </c>
      <c r="F199" s="1026"/>
      <c r="G199" s="1043"/>
      <c r="J199" s="1028"/>
      <c r="K199" s="1028"/>
    </row>
    <row r="200" spans="1:11" s="1044" customFormat="1" ht="13.8">
      <c r="A200" s="1022"/>
      <c r="B200" s="1023" t="s">
        <v>3110</v>
      </c>
      <c r="C200" s="1024" t="s">
        <v>3111</v>
      </c>
      <c r="D200" s="1056">
        <f>+D201+D204</f>
        <v>36105</v>
      </c>
      <c r="E200" s="1056">
        <f>+E201+E204</f>
        <v>100214</v>
      </c>
      <c r="F200" s="1026"/>
      <c r="G200" s="1043"/>
      <c r="J200" s="1028"/>
      <c r="K200" s="1028"/>
    </row>
    <row r="201" spans="1:11" s="1044" customFormat="1" ht="13.8">
      <c r="A201" s="1029"/>
      <c r="B201" s="1030" t="s">
        <v>3112</v>
      </c>
      <c r="C201" s="1031" t="s">
        <v>3113</v>
      </c>
      <c r="D201" s="1032">
        <f>+D202+D203</f>
        <v>17752</v>
      </c>
      <c r="E201" s="1032">
        <f>+E202+E203</f>
        <v>39861</v>
      </c>
      <c r="F201" s="1026"/>
      <c r="G201" s="1043"/>
      <c r="J201" s="1028"/>
      <c r="K201" s="1028"/>
    </row>
    <row r="202" spans="1:11" s="1044" customFormat="1" ht="13.8">
      <c r="A202" s="1039"/>
      <c r="B202" s="1046" t="s">
        <v>3114</v>
      </c>
      <c r="C202" s="1047" t="s">
        <v>3115</v>
      </c>
      <c r="D202" s="1042">
        <f>+'Alimentazione SP A'!H242</f>
        <v>6182</v>
      </c>
      <c r="E202" s="1042">
        <f>+'Alimentazione SP A'!I242</f>
        <v>36285</v>
      </c>
      <c r="F202" s="1026"/>
      <c r="G202" s="1043"/>
      <c r="J202" s="1028"/>
      <c r="K202" s="1028"/>
    </row>
    <row r="203" spans="1:11" s="1044" customFormat="1" ht="13.8">
      <c r="A203" s="1088" t="s">
        <v>1545</v>
      </c>
      <c r="B203" s="1046" t="s">
        <v>3116</v>
      </c>
      <c r="C203" s="1047" t="s">
        <v>3117</v>
      </c>
      <c r="D203" s="1042">
        <f>+'Alimentazione SP A'!H243</f>
        <v>11570</v>
      </c>
      <c r="E203" s="1042">
        <f>+'Alimentazione SP A'!I243</f>
        <v>3576</v>
      </c>
      <c r="F203" s="1026"/>
      <c r="G203" s="1043"/>
      <c r="J203" s="1028"/>
      <c r="K203" s="1028"/>
    </row>
    <row r="204" spans="1:11" s="1044" customFormat="1" ht="13.8">
      <c r="A204" s="1029"/>
      <c r="B204" s="1030" t="s">
        <v>3118</v>
      </c>
      <c r="C204" s="1031" t="s">
        <v>3119</v>
      </c>
      <c r="D204" s="1032">
        <f>+D205+D206</f>
        <v>18353</v>
      </c>
      <c r="E204" s="1032">
        <f>+E205+E206</f>
        <v>60353</v>
      </c>
      <c r="F204" s="1026"/>
      <c r="G204" s="1043"/>
      <c r="J204" s="1028"/>
      <c r="K204" s="1028"/>
    </row>
    <row r="205" spans="1:11" s="1044" customFormat="1" ht="13.8">
      <c r="A205" s="1039"/>
      <c r="B205" s="1046" t="s">
        <v>3120</v>
      </c>
      <c r="C205" s="1047" t="s">
        <v>3121</v>
      </c>
      <c r="D205" s="1042">
        <f>+'Alimentazione SP A'!H245</f>
        <v>18353</v>
      </c>
      <c r="E205" s="1042">
        <f>+'Alimentazione SP A'!I245</f>
        <v>60353</v>
      </c>
      <c r="F205" s="1026"/>
      <c r="G205" s="1043"/>
      <c r="J205" s="1028"/>
      <c r="K205" s="1028"/>
    </row>
    <row r="206" spans="1:11" s="1044" customFormat="1" ht="14.4" thickBot="1">
      <c r="A206" s="1089" t="s">
        <v>1545</v>
      </c>
      <c r="B206" s="1086" t="s">
        <v>3122</v>
      </c>
      <c r="C206" s="1087" t="s">
        <v>3123</v>
      </c>
      <c r="D206" s="1042">
        <f>+'Alimentazione SP A'!H246</f>
        <v>0</v>
      </c>
      <c r="E206" s="1042">
        <f>+'Alimentazione SP A'!I246</f>
        <v>0</v>
      </c>
      <c r="F206" s="1026"/>
      <c r="G206" s="1043"/>
      <c r="J206" s="1028"/>
      <c r="K206" s="1028"/>
    </row>
    <row r="207" spans="1:11" s="1044" customFormat="1" ht="14.4" thickBot="1">
      <c r="A207" s="1090"/>
      <c r="B207" s="1091" t="s">
        <v>3124</v>
      </c>
      <c r="C207" s="1092" t="s">
        <v>3125</v>
      </c>
      <c r="D207" s="1093">
        <f>+D30+D108+D200</f>
        <v>90366700</v>
      </c>
      <c r="E207" s="1093">
        <f>+E30+E108+E200</f>
        <v>76968767</v>
      </c>
      <c r="F207" s="1026"/>
      <c r="G207" s="1043"/>
      <c r="H207" s="1117">
        <f>+D207-D340</f>
        <v>0</v>
      </c>
      <c r="J207" s="1028"/>
      <c r="K207" s="1028"/>
    </row>
    <row r="208" spans="1:11" s="1044" customFormat="1" ht="13.8">
      <c r="A208" s="1094"/>
      <c r="B208" s="1023" t="s">
        <v>3126</v>
      </c>
      <c r="C208" s="1095" t="s">
        <v>3127</v>
      </c>
      <c r="D208" s="1096">
        <f>+D209+D210+D211+D212+D213</f>
        <v>2825073</v>
      </c>
      <c r="E208" s="1096">
        <f>+E209+E210+E211+E212+E213</f>
        <v>2782163</v>
      </c>
      <c r="F208" s="1026"/>
      <c r="G208" s="1043"/>
      <c r="J208" s="1028"/>
      <c r="K208" s="1028"/>
    </row>
    <row r="209" spans="1:11" s="1044" customFormat="1" ht="13.8">
      <c r="A209" s="1039"/>
      <c r="B209" s="1097" t="s">
        <v>3128</v>
      </c>
      <c r="C209" s="1098" t="s">
        <v>3129</v>
      </c>
      <c r="D209" s="1042">
        <f>+'Alimentazione SP A'!H249</f>
        <v>42910</v>
      </c>
      <c r="E209" s="1042">
        <f>+'Alimentazione SP A'!I249</f>
        <v>0</v>
      </c>
      <c r="F209" s="1026"/>
      <c r="G209" s="1043"/>
      <c r="J209" s="1028"/>
      <c r="K209" s="1028"/>
    </row>
    <row r="210" spans="1:11" s="1044" customFormat="1" ht="13.8">
      <c r="A210" s="1039"/>
      <c r="B210" s="1097" t="s">
        <v>3130</v>
      </c>
      <c r="C210" s="1098" t="s">
        <v>3131</v>
      </c>
      <c r="D210" s="1042">
        <f>+'Alimentazione SP A'!H250</f>
        <v>0</v>
      </c>
      <c r="E210" s="1042">
        <f>+'Alimentazione SP A'!I250</f>
        <v>0</v>
      </c>
      <c r="F210" s="1026"/>
      <c r="G210" s="1043"/>
      <c r="J210" s="1028"/>
      <c r="K210" s="1028"/>
    </row>
    <row r="211" spans="1:11" s="1044" customFormat="1" ht="13.8">
      <c r="A211" s="1039"/>
      <c r="B211" s="1097" t="s">
        <v>3132</v>
      </c>
      <c r="C211" s="1098" t="s">
        <v>3133</v>
      </c>
      <c r="D211" s="1042">
        <f>+'Alimentazione SP A'!H251</f>
        <v>0</v>
      </c>
      <c r="E211" s="1042">
        <f>+'Alimentazione SP A'!I251</f>
        <v>0</v>
      </c>
      <c r="F211" s="1026"/>
      <c r="G211" s="1043"/>
      <c r="J211" s="1028"/>
      <c r="K211" s="1028"/>
    </row>
    <row r="212" spans="1:11" s="1044" customFormat="1" ht="13.8">
      <c r="A212" s="1099"/>
      <c r="B212" s="1097" t="s">
        <v>3134</v>
      </c>
      <c r="C212" s="1098" t="s">
        <v>3135</v>
      </c>
      <c r="D212" s="1042">
        <f>+'Alimentazione SP A'!H252</f>
        <v>0</v>
      </c>
      <c r="E212" s="1042">
        <f>+'Alimentazione SP A'!I252</f>
        <v>0</v>
      </c>
      <c r="F212" s="1026"/>
      <c r="G212" s="1043"/>
      <c r="J212" s="1028"/>
      <c r="K212" s="1028"/>
    </row>
    <row r="213" spans="1:11" s="1044" customFormat="1" ht="14.4" thickBot="1">
      <c r="A213" s="1049"/>
      <c r="B213" s="1100" t="s">
        <v>3136</v>
      </c>
      <c r="C213" s="1101" t="s">
        <v>3137</v>
      </c>
      <c r="D213" s="1042">
        <f>+'Alimentazione SP A'!H254+'Alimentazione SP A'!H255+'Alimentazione SP A'!H256+'Alimentazione SP A'!H257+'Alimentazione SP A'!H258+'Alimentazione SP A'!H259+'Alimentazione SP A'!H260</f>
        <v>2782163</v>
      </c>
      <c r="E213" s="1042">
        <f>+'Alimentazione SP A'!I254+'Alimentazione SP A'!I255+'Alimentazione SP A'!I256+'Alimentazione SP A'!I257+'Alimentazione SP A'!I258+'Alimentazione SP A'!I259+'Alimentazione SP A'!I260</f>
        <v>2782163</v>
      </c>
      <c r="F213" s="1026"/>
      <c r="G213" s="1043"/>
      <c r="J213" s="1028"/>
      <c r="K213" s="1028"/>
    </row>
    <row r="214" spans="1:11" s="1044" customFormat="1" ht="13.8">
      <c r="A214" s="1094"/>
      <c r="B214" s="1023" t="s">
        <v>3138</v>
      </c>
      <c r="C214" s="1024" t="s">
        <v>3139</v>
      </c>
      <c r="D214" s="1056">
        <f>+D215+D216+D225+D226+D232+D236+D237</f>
        <v>51884670</v>
      </c>
      <c r="E214" s="1056">
        <f>+E215+E216+E225+E226+E232+E236+E237</f>
        <v>43823467</v>
      </c>
      <c r="F214" s="1026"/>
      <c r="G214" s="1043"/>
      <c r="J214" s="1028"/>
      <c r="K214" s="1028"/>
    </row>
    <row r="215" spans="1:11" s="1044" customFormat="1" ht="13.8">
      <c r="A215" s="1039"/>
      <c r="B215" s="1102" t="s">
        <v>3140</v>
      </c>
      <c r="C215" s="1103" t="s">
        <v>3141</v>
      </c>
      <c r="D215" s="1042">
        <f>+'Alimentazione SP P'!H4</f>
        <v>103489</v>
      </c>
      <c r="E215" s="1042">
        <f>+'Alimentazione SP P'!I4</f>
        <v>103489</v>
      </c>
      <c r="F215" s="1026"/>
      <c r="G215" s="1043"/>
      <c r="J215" s="1028"/>
      <c r="K215" s="1028"/>
    </row>
    <row r="216" spans="1:11" s="1044" customFormat="1" ht="13.8">
      <c r="A216" s="1029"/>
      <c r="B216" s="1030" t="s">
        <v>3142</v>
      </c>
      <c r="C216" s="1031" t="s">
        <v>3143</v>
      </c>
      <c r="D216" s="1032">
        <f>+D217+D218+D222+D223+D224</f>
        <v>47109138</v>
      </c>
      <c r="E216" s="1032">
        <f>+E217+E218+E222+E223+E224</f>
        <v>38681677</v>
      </c>
      <c r="F216" s="1026"/>
      <c r="G216" s="1043"/>
      <c r="J216" s="1028"/>
      <c r="K216" s="1028"/>
    </row>
    <row r="217" spans="1:11" s="1044" customFormat="1" ht="13.8">
      <c r="A217" s="1039"/>
      <c r="B217" s="1046" t="s">
        <v>3144</v>
      </c>
      <c r="C217" s="1047" t="s">
        <v>3145</v>
      </c>
      <c r="D217" s="1042">
        <f>+'Alimentazione SP P'!H6</f>
        <v>3493368</v>
      </c>
      <c r="E217" s="1042">
        <f>+'Alimentazione SP P'!I6</f>
        <v>3682720</v>
      </c>
      <c r="F217" s="1026"/>
      <c r="G217" s="1043"/>
      <c r="J217" s="1028"/>
      <c r="K217" s="1028"/>
    </row>
    <row r="218" spans="1:11" s="1044" customFormat="1" ht="13.8">
      <c r="A218" s="1045"/>
      <c r="B218" s="1035" t="s">
        <v>3146</v>
      </c>
      <c r="C218" s="1036" t="s">
        <v>3147</v>
      </c>
      <c r="D218" s="1037">
        <f>+D219+D220+D221</f>
        <v>22688701</v>
      </c>
      <c r="E218" s="1037">
        <f>+E219+E220+E221</f>
        <v>22690829</v>
      </c>
      <c r="F218" s="1026"/>
      <c r="G218" s="1043"/>
      <c r="J218" s="1028"/>
      <c r="K218" s="1028"/>
    </row>
    <row r="219" spans="1:11" s="1044" customFormat="1" ht="13.8">
      <c r="A219" s="1039"/>
      <c r="B219" s="1040" t="s">
        <v>3148</v>
      </c>
      <c r="C219" s="1041" t="s">
        <v>3149</v>
      </c>
      <c r="D219" s="1042">
        <f>+'Alimentazione SP P'!H8</f>
        <v>15117545</v>
      </c>
      <c r="E219" s="1042">
        <f>+'Alimentazione SP P'!I8</f>
        <v>15142619</v>
      </c>
      <c r="F219" s="1026"/>
      <c r="G219" s="1043"/>
      <c r="J219" s="1028"/>
      <c r="K219" s="1028"/>
    </row>
    <row r="220" spans="1:11" s="1044" customFormat="1" ht="13.8">
      <c r="A220" s="1039"/>
      <c r="B220" s="1040" t="s">
        <v>3150</v>
      </c>
      <c r="C220" s="1041" t="s">
        <v>3151</v>
      </c>
      <c r="D220" s="1042">
        <f>+'Alimentazione SP P'!H9</f>
        <v>1191403</v>
      </c>
      <c r="E220" s="1042">
        <f>+'Alimentazione SP P'!I9</f>
        <v>900730</v>
      </c>
      <c r="F220" s="1026"/>
      <c r="G220" s="1043"/>
      <c r="J220" s="1028"/>
      <c r="K220" s="1028"/>
    </row>
    <row r="221" spans="1:11" s="1044" customFormat="1" ht="13.8">
      <c r="A221" s="1039"/>
      <c r="B221" s="1040" t="s">
        <v>3152</v>
      </c>
      <c r="C221" s="1041" t="s">
        <v>3153</v>
      </c>
      <c r="D221" s="1042">
        <f>+'Alimentazione SP P'!H10</f>
        <v>6379753</v>
      </c>
      <c r="E221" s="1042">
        <f>+'Alimentazione SP P'!I10</f>
        <v>6647480</v>
      </c>
      <c r="F221" s="1026"/>
      <c r="G221" s="1043"/>
      <c r="J221" s="1028"/>
      <c r="K221" s="1028"/>
    </row>
    <row r="222" spans="1:11" s="1044" customFormat="1" ht="13.8">
      <c r="A222" s="1039"/>
      <c r="B222" s="1046" t="s">
        <v>3154</v>
      </c>
      <c r="C222" s="1047" t="s">
        <v>3155</v>
      </c>
      <c r="D222" s="1042">
        <f>+'Alimentazione SP P'!H12+'Alimentazione SP P'!H13</f>
        <v>20875968</v>
      </c>
      <c r="E222" s="1042">
        <f>+'Alimentazione SP P'!I12+'Alimentazione SP P'!I13</f>
        <v>12256669</v>
      </c>
      <c r="F222" s="1026"/>
      <c r="G222" s="1043"/>
      <c r="J222" s="1028"/>
      <c r="K222" s="1028"/>
    </row>
    <row r="223" spans="1:11" s="1044" customFormat="1" ht="13.8">
      <c r="A223" s="1039"/>
      <c r="B223" s="1046" t="s">
        <v>3156</v>
      </c>
      <c r="C223" s="1047" t="s">
        <v>3157</v>
      </c>
      <c r="D223" s="1042">
        <f>+'Alimentazione SP P'!H15+'Alimentazione SP P'!H16</f>
        <v>51101</v>
      </c>
      <c r="E223" s="1042">
        <f>+'Alimentazione SP P'!I15+'Alimentazione SP P'!I16</f>
        <v>51459</v>
      </c>
      <c r="F223" s="1026"/>
      <c r="G223" s="1043"/>
      <c r="J223" s="1028"/>
      <c r="K223" s="1028"/>
    </row>
    <row r="224" spans="1:11" s="1044" customFormat="1" ht="13.8">
      <c r="A224" s="1039"/>
      <c r="B224" s="1046" t="s">
        <v>3158</v>
      </c>
      <c r="C224" s="1047" t="s">
        <v>3159</v>
      </c>
      <c r="D224" s="1042">
        <f>+'Alimentazione SP P'!H17</f>
        <v>0</v>
      </c>
      <c r="E224" s="1042">
        <f>+'Alimentazione SP P'!I17</f>
        <v>0</v>
      </c>
      <c r="F224" s="1026"/>
      <c r="G224" s="1043"/>
      <c r="J224" s="1028"/>
      <c r="K224" s="1028"/>
    </row>
    <row r="225" spans="1:11" s="1044" customFormat="1" ht="13.8">
      <c r="A225" s="1039"/>
      <c r="B225" s="1102" t="s">
        <v>3160</v>
      </c>
      <c r="C225" s="1103" t="s">
        <v>3161</v>
      </c>
      <c r="D225" s="1042">
        <f>+'Alimentazione SP P'!H18</f>
        <v>1687551</v>
      </c>
      <c r="E225" s="1042">
        <f>+'Alimentazione SP P'!I18</f>
        <v>1981749</v>
      </c>
      <c r="F225" s="1026"/>
      <c r="G225" s="1043"/>
      <c r="J225" s="1028"/>
      <c r="K225" s="1028"/>
    </row>
    <row r="226" spans="1:11" s="1044" customFormat="1" ht="13.8">
      <c r="A226" s="1029"/>
      <c r="B226" s="1030" t="s">
        <v>3162</v>
      </c>
      <c r="C226" s="1031" t="s">
        <v>3163</v>
      </c>
      <c r="D226" s="1032">
        <f>+D227+D228+D229+D230+D231</f>
        <v>2964614</v>
      </c>
      <c r="E226" s="1032">
        <f>+E227+E228+E229+E230+E231</f>
        <v>2949689</v>
      </c>
      <c r="F226" s="1026"/>
      <c r="G226" s="1043"/>
      <c r="J226" s="1028"/>
      <c r="K226" s="1028"/>
    </row>
    <row r="227" spans="1:11" s="1044" customFormat="1" ht="13.8">
      <c r="A227" s="1039"/>
      <c r="B227" s="1046" t="s">
        <v>3164</v>
      </c>
      <c r="C227" s="1047" t="s">
        <v>3165</v>
      </c>
      <c r="D227" s="1042">
        <f>+'Alimentazione SP P'!H20</f>
        <v>0</v>
      </c>
      <c r="E227" s="1042">
        <f>+'Alimentazione SP P'!I20</f>
        <v>0</v>
      </c>
      <c r="F227" s="1026"/>
      <c r="G227" s="1043"/>
      <c r="J227" s="1028"/>
      <c r="K227" s="1028"/>
    </row>
    <row r="228" spans="1:11" s="1044" customFormat="1" ht="13.8">
      <c r="A228" s="1039"/>
      <c r="B228" s="1046" t="s">
        <v>3166</v>
      </c>
      <c r="C228" s="1047" t="s">
        <v>3167</v>
      </c>
      <c r="D228" s="1042">
        <f>+'Alimentazione SP P'!H21</f>
        <v>2682</v>
      </c>
      <c r="E228" s="1042">
        <f>+'Alimentazione SP P'!I21</f>
        <v>0</v>
      </c>
      <c r="F228" s="1026"/>
      <c r="G228" s="1043"/>
      <c r="J228" s="1028"/>
      <c r="K228" s="1028"/>
    </row>
    <row r="229" spans="1:11" s="1044" customFormat="1" ht="13.8">
      <c r="A229" s="1039"/>
      <c r="B229" s="1046" t="s">
        <v>3168</v>
      </c>
      <c r="C229" s="1047" t="s">
        <v>3169</v>
      </c>
      <c r="D229" s="1042">
        <f>+'Alimentazione SP P'!H22</f>
        <v>0</v>
      </c>
      <c r="E229" s="1042">
        <f>+'Alimentazione SP P'!I22</f>
        <v>0</v>
      </c>
      <c r="F229" s="1026"/>
      <c r="G229" s="1043"/>
      <c r="J229" s="1028"/>
      <c r="K229" s="1028"/>
    </row>
    <row r="230" spans="1:11" s="1044" customFormat="1" ht="13.8">
      <c r="A230" s="1039"/>
      <c r="B230" s="1046" t="s">
        <v>3170</v>
      </c>
      <c r="C230" s="1047" t="s">
        <v>3171</v>
      </c>
      <c r="D230" s="1042">
        <f>+'Alimentazione SP P'!H23</f>
        <v>208819</v>
      </c>
      <c r="E230" s="1042">
        <f>+'Alimentazione SP P'!I23</f>
        <v>114001</v>
      </c>
      <c r="F230" s="1026"/>
      <c r="G230" s="1043"/>
      <c r="J230" s="1028"/>
      <c r="K230" s="1028"/>
    </row>
    <row r="231" spans="1:11" s="1044" customFormat="1" ht="13.8">
      <c r="A231" s="1039"/>
      <c r="B231" s="1046" t="s">
        <v>3172</v>
      </c>
      <c r="C231" s="1047" t="s">
        <v>3173</v>
      </c>
      <c r="D231" s="1042">
        <f>+'Alimentazione SP P'!H24</f>
        <v>2753113</v>
      </c>
      <c r="E231" s="1042">
        <f>+'Alimentazione SP P'!I24</f>
        <v>2835688</v>
      </c>
      <c r="F231" s="1026"/>
      <c r="G231" s="1043"/>
      <c r="J231" s="1028"/>
      <c r="K231" s="1028"/>
    </row>
    <row r="232" spans="1:11" s="1044" customFormat="1" ht="13.8">
      <c r="A232" s="1029"/>
      <c r="B232" s="1030" t="s">
        <v>3174</v>
      </c>
      <c r="C232" s="1031" t="s">
        <v>3175</v>
      </c>
      <c r="D232" s="1032">
        <f>+D233+D234+D235</f>
        <v>0</v>
      </c>
      <c r="E232" s="1032">
        <f>+E233+E234+E235</f>
        <v>0</v>
      </c>
      <c r="F232" s="1026"/>
      <c r="G232" s="1043"/>
      <c r="J232" s="1028"/>
      <c r="K232" s="1028"/>
    </row>
    <row r="233" spans="1:11" s="1044" customFormat="1" ht="13.8">
      <c r="A233" s="1039"/>
      <c r="B233" s="1046" t="s">
        <v>3176</v>
      </c>
      <c r="C233" s="1047" t="s">
        <v>3177</v>
      </c>
      <c r="D233" s="1042">
        <f>+'Alimentazione SP P'!H26</f>
        <v>0</v>
      </c>
      <c r="E233" s="1042">
        <f>+'Alimentazione SP P'!I26</f>
        <v>0</v>
      </c>
      <c r="F233" s="1026"/>
      <c r="G233" s="1043"/>
      <c r="J233" s="1028"/>
      <c r="K233" s="1028"/>
    </row>
    <row r="234" spans="1:11" s="1044" customFormat="1" ht="13.8">
      <c r="A234" s="1039"/>
      <c r="B234" s="1046" t="s">
        <v>3178</v>
      </c>
      <c r="C234" s="1047" t="s">
        <v>3179</v>
      </c>
      <c r="D234" s="1042">
        <f>+'Alimentazione SP P'!H27</f>
        <v>0</v>
      </c>
      <c r="E234" s="1042">
        <f>+'Alimentazione SP P'!I27</f>
        <v>0</v>
      </c>
      <c r="F234" s="1026"/>
      <c r="G234" s="1043"/>
      <c r="J234" s="1028"/>
      <c r="K234" s="1028"/>
    </row>
    <row r="235" spans="1:11" s="1044" customFormat="1" ht="13.8">
      <c r="A235" s="1039"/>
      <c r="B235" s="1046" t="s">
        <v>3180</v>
      </c>
      <c r="C235" s="1047" t="s">
        <v>3181</v>
      </c>
      <c r="D235" s="1042">
        <f>+'Alimentazione SP P'!H28</f>
        <v>0</v>
      </c>
      <c r="E235" s="1042">
        <f>+'Alimentazione SP P'!I28</f>
        <v>0</v>
      </c>
      <c r="F235" s="1026"/>
      <c r="G235" s="1043"/>
      <c r="J235" s="1028"/>
      <c r="K235" s="1028"/>
    </row>
    <row r="236" spans="1:11" s="1044" customFormat="1" ht="13.8">
      <c r="A236" s="1039"/>
      <c r="B236" s="1102" t="s">
        <v>3182</v>
      </c>
      <c r="C236" s="1103" t="s">
        <v>3183</v>
      </c>
      <c r="D236" s="1042">
        <f>+'Alimentazione SP P'!H29</f>
        <v>0</v>
      </c>
      <c r="E236" s="1042">
        <f>+'Alimentazione SP P'!I29</f>
        <v>0</v>
      </c>
      <c r="F236" s="1026"/>
      <c r="G236" s="1043"/>
      <c r="J236" s="1028"/>
      <c r="K236" s="1028"/>
    </row>
    <row r="237" spans="1:11" s="1044" customFormat="1" ht="14.4" thickBot="1">
      <c r="A237" s="1049"/>
      <c r="B237" s="1104" t="s">
        <v>3184</v>
      </c>
      <c r="C237" s="1105" t="s">
        <v>3185</v>
      </c>
      <c r="D237" s="1042">
        <f>+'Alimentazione SP P'!H30</f>
        <v>19878</v>
      </c>
      <c r="E237" s="1042">
        <f>+'Alimentazione SP P'!I30</f>
        <v>106863</v>
      </c>
      <c r="F237" s="1026"/>
      <c r="G237" s="1043"/>
      <c r="J237" s="1028"/>
      <c r="K237" s="1028"/>
    </row>
    <row r="238" spans="1:11" s="1044" customFormat="1" ht="13.8">
      <c r="A238" s="1022"/>
      <c r="B238" s="1023" t="s">
        <v>3186</v>
      </c>
      <c r="C238" s="1024" t="s">
        <v>3187</v>
      </c>
      <c r="D238" s="1056">
        <f>+D239+D240+D248+D257+D263</f>
        <v>19197278</v>
      </c>
      <c r="E238" s="1056">
        <f>+E239+E240+E248+E257+E263</f>
        <v>16155347</v>
      </c>
      <c r="F238" s="1026"/>
      <c r="G238" s="1043"/>
      <c r="J238" s="1028"/>
      <c r="K238" s="1028"/>
    </row>
    <row r="239" spans="1:11" s="1044" customFormat="1" ht="13.8">
      <c r="A239" s="1039"/>
      <c r="B239" s="1102" t="s">
        <v>3188</v>
      </c>
      <c r="C239" s="1103" t="s">
        <v>3189</v>
      </c>
      <c r="D239" s="1042">
        <f>+'Alimentazione SP P'!H116</f>
        <v>0</v>
      </c>
      <c r="E239" s="1042">
        <f>+'Alimentazione SP P'!I116</f>
        <v>0</v>
      </c>
      <c r="F239" s="1026"/>
      <c r="G239" s="1043"/>
      <c r="J239" s="1028"/>
      <c r="K239" s="1028"/>
    </row>
    <row r="240" spans="1:11" s="1044" customFormat="1" ht="13.8">
      <c r="A240" s="1029"/>
      <c r="B240" s="1030" t="s">
        <v>3190</v>
      </c>
      <c r="C240" s="1031" t="s">
        <v>3191</v>
      </c>
      <c r="D240" s="1032">
        <f>SUM(D241:D247)</f>
        <v>4417457</v>
      </c>
      <c r="E240" s="1032">
        <f>SUM(E241:E247)</f>
        <v>4631092</v>
      </c>
      <c r="F240" s="1026"/>
      <c r="G240" s="1043"/>
      <c r="J240" s="1028"/>
      <c r="K240" s="1028"/>
    </row>
    <row r="241" spans="1:18" s="1044" customFormat="1" ht="13.8">
      <c r="A241" s="1039"/>
      <c r="B241" s="1046" t="s">
        <v>3192</v>
      </c>
      <c r="C241" s="1047" t="s">
        <v>3193</v>
      </c>
      <c r="D241" s="1042">
        <f>+'Alimentazione SP P'!H118</f>
        <v>3040490</v>
      </c>
      <c r="E241" s="1042">
        <f>+'Alimentazione SP P'!I118</f>
        <v>3102182</v>
      </c>
      <c r="F241" s="1026"/>
      <c r="G241" s="1043"/>
      <c r="J241" s="1028"/>
      <c r="K241" s="1028"/>
    </row>
    <row r="242" spans="1:18" s="1044" customFormat="1" ht="13.8">
      <c r="A242" s="1039"/>
      <c r="B242" s="1046" t="s">
        <v>3194</v>
      </c>
      <c r="C242" s="1047" t="s">
        <v>3195</v>
      </c>
      <c r="D242" s="1042">
        <f>+'Alimentazione SP P'!H119</f>
        <v>731266</v>
      </c>
      <c r="E242" s="1042">
        <f>+'Alimentazione SP P'!I119</f>
        <v>744085</v>
      </c>
      <c r="F242" s="1026"/>
      <c r="G242" s="1043"/>
      <c r="J242" s="1028"/>
      <c r="K242" s="1028"/>
    </row>
    <row r="243" spans="1:18" s="1044" customFormat="1" ht="13.8">
      <c r="A243" s="1039"/>
      <c r="B243" s="1046" t="s">
        <v>3196</v>
      </c>
      <c r="C243" s="1047" t="s">
        <v>3197</v>
      </c>
      <c r="D243" s="1042">
        <f>+'Alimentazione SP P'!H120</f>
        <v>0</v>
      </c>
      <c r="E243" s="1042">
        <f>+'Alimentazione SP P'!I120</f>
        <v>0</v>
      </c>
      <c r="F243" s="1026"/>
      <c r="G243" s="1043"/>
      <c r="J243" s="1028"/>
      <c r="K243" s="1028"/>
    </row>
    <row r="244" spans="1:18" s="1044" customFormat="1" ht="13.8">
      <c r="A244" s="1039"/>
      <c r="B244" s="1046" t="s">
        <v>3198</v>
      </c>
      <c r="C244" s="1047" t="s">
        <v>3199</v>
      </c>
      <c r="D244" s="1042">
        <f>+'Alimentazione SP P'!H121</f>
        <v>0</v>
      </c>
      <c r="E244" s="1042">
        <f>+'Alimentazione SP P'!I121</f>
        <v>0</v>
      </c>
      <c r="F244" s="1026"/>
      <c r="G244" s="1043"/>
      <c r="J244" s="1028"/>
      <c r="K244" s="1028"/>
    </row>
    <row r="245" spans="1:18" s="1044" customFormat="1" ht="13.8">
      <c r="A245" s="1039"/>
      <c r="B245" s="1106" t="s">
        <v>3200</v>
      </c>
      <c r="C245" s="1107" t="s">
        <v>3201</v>
      </c>
      <c r="D245" s="1042">
        <f>+'Alimentazione SP P'!H122</f>
        <v>0</v>
      </c>
      <c r="E245" s="1042">
        <f>+'Alimentazione SP P'!I122</f>
        <v>0</v>
      </c>
      <c r="F245" s="1026"/>
      <c r="G245" s="1043"/>
      <c r="J245" s="1028"/>
      <c r="K245" s="1028"/>
      <c r="Q245" s="1108"/>
      <c r="R245" s="1109"/>
    </row>
    <row r="246" spans="1:18" s="1044" customFormat="1" ht="13.8">
      <c r="A246" s="1039"/>
      <c r="B246" s="1106" t="s">
        <v>3202</v>
      </c>
      <c r="C246" s="1107" t="s">
        <v>3203</v>
      </c>
      <c r="D246" s="1042">
        <f>+'Alimentazione SP P'!H123</f>
        <v>0</v>
      </c>
      <c r="E246" s="1042">
        <f>+'Alimentazione SP P'!I123</f>
        <v>0</v>
      </c>
      <c r="F246" s="1026"/>
      <c r="G246" s="1043"/>
      <c r="J246" s="1028"/>
      <c r="K246" s="1028"/>
      <c r="Q246" s="1108"/>
      <c r="R246" s="1109"/>
    </row>
    <row r="247" spans="1:18" s="1044" customFormat="1" ht="13.8">
      <c r="A247" s="1039"/>
      <c r="B247" s="1106" t="s">
        <v>3204</v>
      </c>
      <c r="C247" s="1107" t="s">
        <v>3205</v>
      </c>
      <c r="D247" s="1042">
        <f>+'Alimentazione SP P'!H125+'Alimentazione SP P'!H126+'Alimentazione SP P'!H127</f>
        <v>645701</v>
      </c>
      <c r="E247" s="1042">
        <f>+'Alimentazione SP P'!I125+'Alimentazione SP P'!I126+'Alimentazione SP P'!I127</f>
        <v>784825</v>
      </c>
      <c r="F247" s="1026"/>
      <c r="G247" s="1043"/>
      <c r="J247" s="1028"/>
      <c r="K247" s="1028"/>
      <c r="Q247" s="1108"/>
      <c r="R247" s="1109"/>
    </row>
    <row r="248" spans="1:18" s="1044" customFormat="1" ht="13.8">
      <c r="A248" s="1029"/>
      <c r="B248" s="1030" t="s">
        <v>3206</v>
      </c>
      <c r="C248" s="1031" t="s">
        <v>3207</v>
      </c>
      <c r="D248" s="1032">
        <f>SUM(D249:D256)</f>
        <v>0</v>
      </c>
      <c r="E248" s="1032">
        <f>SUM(E249:E256)</f>
        <v>0</v>
      </c>
      <c r="F248" s="1026"/>
      <c r="G248" s="1043"/>
      <c r="J248" s="1028"/>
      <c r="K248" s="1028"/>
      <c r="Q248" s="1108"/>
      <c r="R248" s="1109"/>
    </row>
    <row r="249" spans="1:18" s="1044" customFormat="1" ht="13.8">
      <c r="A249" s="1039"/>
      <c r="B249" s="1046" t="s">
        <v>3208</v>
      </c>
      <c r="C249" s="1047" t="s">
        <v>3209</v>
      </c>
      <c r="D249" s="1042">
        <f>+'Alimentazione SP P'!H129</f>
        <v>0</v>
      </c>
      <c r="E249" s="1042">
        <f>+'Alimentazione SP P'!I129</f>
        <v>0</v>
      </c>
      <c r="F249" s="1026"/>
      <c r="G249" s="1043"/>
      <c r="J249" s="1028"/>
      <c r="K249" s="1028"/>
      <c r="Q249" s="1108"/>
      <c r="R249" s="1109"/>
    </row>
    <row r="250" spans="1:18" s="1044" customFormat="1" ht="13.8">
      <c r="A250" s="1039"/>
      <c r="B250" s="1046" t="s">
        <v>3210</v>
      </c>
      <c r="C250" s="1047" t="s">
        <v>3211</v>
      </c>
      <c r="D250" s="1042">
        <f>+'Alimentazione SP P'!H130</f>
        <v>0</v>
      </c>
      <c r="E250" s="1042">
        <f>+'Alimentazione SP P'!I130</f>
        <v>0</v>
      </c>
      <c r="F250" s="1026"/>
      <c r="G250" s="1043"/>
      <c r="J250" s="1028"/>
      <c r="K250" s="1028"/>
      <c r="Q250" s="1110"/>
      <c r="R250" s="1111"/>
    </row>
    <row r="251" spans="1:18" s="1044" customFormat="1" ht="14.4">
      <c r="A251" s="1039"/>
      <c r="B251" s="1046" t="s">
        <v>3212</v>
      </c>
      <c r="C251" s="1047" t="s">
        <v>3213</v>
      </c>
      <c r="D251" s="1042">
        <f>+'Alimentazione SP P'!H131</f>
        <v>0</v>
      </c>
      <c r="E251" s="1042">
        <f>+'Alimentazione SP P'!I131</f>
        <v>0</v>
      </c>
      <c r="F251" s="1026"/>
      <c r="G251" s="1043"/>
      <c r="J251" s="1028"/>
      <c r="K251" s="1028"/>
      <c r="Q251" s="1112"/>
      <c r="R251" s="1113"/>
    </row>
    <row r="252" spans="1:18" s="1044" customFormat="1" ht="14.4">
      <c r="A252" s="1039"/>
      <c r="B252" s="1046" t="s">
        <v>3214</v>
      </c>
      <c r="C252" s="1047" t="s">
        <v>3215</v>
      </c>
      <c r="D252" s="1042">
        <f>+'Alimentazione SP P'!H132</f>
        <v>0</v>
      </c>
      <c r="E252" s="1042">
        <f>+'Alimentazione SP P'!I132</f>
        <v>0</v>
      </c>
      <c r="F252" s="1026"/>
      <c r="G252" s="1043"/>
      <c r="J252" s="1028"/>
      <c r="K252" s="1028"/>
      <c r="Q252" s="1112"/>
      <c r="R252" s="1113"/>
    </row>
    <row r="253" spans="1:18" s="1044" customFormat="1" ht="13.8">
      <c r="A253" s="1039"/>
      <c r="B253" s="1046" t="s">
        <v>3216</v>
      </c>
      <c r="C253" s="1047" t="s">
        <v>3217</v>
      </c>
      <c r="D253" s="1042">
        <f>+'Alimentazione SP P'!H133</f>
        <v>0</v>
      </c>
      <c r="E253" s="1042">
        <f>+'Alimentazione SP P'!I133</f>
        <v>0</v>
      </c>
      <c r="F253" s="1026"/>
      <c r="G253" s="1043"/>
      <c r="J253" s="1028"/>
      <c r="K253" s="1028"/>
      <c r="Q253" s="1110"/>
      <c r="R253" s="1111"/>
    </row>
    <row r="254" spans="1:18" s="1044" customFormat="1" ht="13.8">
      <c r="A254" s="1039"/>
      <c r="B254" s="1046" t="s">
        <v>3218</v>
      </c>
      <c r="C254" s="1047" t="s">
        <v>3219</v>
      </c>
      <c r="D254" s="1042">
        <f>+'Alimentazione SP P'!H134</f>
        <v>0</v>
      </c>
      <c r="E254" s="1042">
        <f>+'Alimentazione SP P'!I134</f>
        <v>0</v>
      </c>
      <c r="F254" s="1026"/>
      <c r="G254" s="1043"/>
      <c r="J254" s="1028"/>
      <c r="K254" s="1028"/>
      <c r="Q254" s="1110"/>
      <c r="R254" s="1111"/>
    </row>
    <row r="255" spans="1:18" s="1044" customFormat="1" ht="13.8">
      <c r="A255" s="1039"/>
      <c r="B255" s="1046" t="s">
        <v>3220</v>
      </c>
      <c r="C255" s="1047" t="s">
        <v>3221</v>
      </c>
      <c r="D255" s="1042">
        <f>+'Alimentazione SP P'!H135</f>
        <v>0</v>
      </c>
      <c r="E255" s="1042">
        <f>+'Alimentazione SP P'!I135</f>
        <v>0</v>
      </c>
      <c r="F255" s="1026"/>
      <c r="G255" s="1043"/>
      <c r="J255" s="1028"/>
      <c r="K255" s="1028"/>
    </row>
    <row r="256" spans="1:18" s="1044" customFormat="1" ht="26.4">
      <c r="A256" s="1039"/>
      <c r="B256" s="1114" t="s">
        <v>3222</v>
      </c>
      <c r="C256" s="1115" t="s">
        <v>3223</v>
      </c>
      <c r="D256" s="1042">
        <f>+'Alimentazione SP P'!H136</f>
        <v>0</v>
      </c>
      <c r="E256" s="1042">
        <f>+'Alimentazione SP P'!I136</f>
        <v>0</v>
      </c>
      <c r="F256" s="1026"/>
      <c r="G256" s="1043"/>
      <c r="J256" s="1028"/>
      <c r="K256" s="1028"/>
    </row>
    <row r="257" spans="1:18" s="1044" customFormat="1" ht="13.8">
      <c r="A257" s="1029"/>
      <c r="B257" s="1030" t="s">
        <v>3224</v>
      </c>
      <c r="C257" s="1031" t="s">
        <v>3225</v>
      </c>
      <c r="D257" s="1032">
        <f>SUM(D258:D262)</f>
        <v>13665598</v>
      </c>
      <c r="E257" s="1032">
        <f>SUM(E258:E262)</f>
        <v>10724301</v>
      </c>
      <c r="F257" s="1026"/>
      <c r="G257" s="1043"/>
      <c r="J257" s="1028"/>
      <c r="K257" s="1028"/>
    </row>
    <row r="258" spans="1:18" s="1070" customFormat="1" ht="26.4">
      <c r="A258" s="1039"/>
      <c r="B258" s="1106" t="s">
        <v>3226</v>
      </c>
      <c r="C258" s="1107" t="s">
        <v>3227</v>
      </c>
      <c r="D258" s="1042">
        <f>+'Alimentazione SP P'!H138</f>
        <v>606848</v>
      </c>
      <c r="E258" s="1042">
        <f>+'Alimentazione SP P'!I138</f>
        <v>0</v>
      </c>
      <c r="F258" s="1026"/>
      <c r="G258" s="1043"/>
      <c r="J258" s="1028"/>
      <c r="K258" s="1028"/>
    </row>
    <row r="259" spans="1:18" s="1044" customFormat="1" ht="26.4">
      <c r="A259" s="1039"/>
      <c r="B259" s="1046" t="s">
        <v>3228</v>
      </c>
      <c r="C259" s="1047" t="s">
        <v>3229</v>
      </c>
      <c r="D259" s="1042">
        <f>+'Alimentazione SP P'!H139</f>
        <v>27224</v>
      </c>
      <c r="E259" s="1042">
        <f>+'Alimentazione SP P'!I139</f>
        <v>27224</v>
      </c>
      <c r="F259" s="1026"/>
      <c r="G259" s="1043"/>
      <c r="J259" s="1028"/>
      <c r="K259" s="1028"/>
    </row>
    <row r="260" spans="1:18" s="1044" customFormat="1" ht="26.4">
      <c r="A260" s="1039"/>
      <c r="B260" s="1046" t="s">
        <v>3230</v>
      </c>
      <c r="C260" s="1047" t="s">
        <v>3231</v>
      </c>
      <c r="D260" s="1042">
        <f>+'Alimentazione SP P'!H140</f>
        <v>210590</v>
      </c>
      <c r="E260" s="1042">
        <f>+'Alimentazione SP P'!I140</f>
        <v>131600</v>
      </c>
      <c r="F260" s="1026"/>
      <c r="G260" s="1043"/>
      <c r="J260" s="1028"/>
      <c r="K260" s="1028"/>
      <c r="R260" s="1116"/>
    </row>
    <row r="261" spans="1:18" s="1044" customFormat="1" ht="13.8">
      <c r="A261" s="1039"/>
      <c r="B261" s="1046" t="s">
        <v>3232</v>
      </c>
      <c r="C261" s="1047" t="s">
        <v>3233</v>
      </c>
      <c r="D261" s="1042">
        <f>+'Alimentazione SP P'!H141</f>
        <v>12693187</v>
      </c>
      <c r="E261" s="1042">
        <f>+'Alimentazione SP P'!I141</f>
        <v>10459140</v>
      </c>
      <c r="F261" s="1026"/>
      <c r="G261" s="1043"/>
      <c r="J261" s="1028"/>
      <c r="K261" s="1028"/>
      <c r="R261" s="1116"/>
    </row>
    <row r="262" spans="1:18" s="1044" customFormat="1" ht="13.8">
      <c r="A262" s="1039"/>
      <c r="B262" s="1046" t="s">
        <v>3234</v>
      </c>
      <c r="C262" s="1047" t="s">
        <v>3235</v>
      </c>
      <c r="D262" s="1042">
        <f>+'Alimentazione SP P'!H143+'Alimentazione SP P'!H144</f>
        <v>127749</v>
      </c>
      <c r="E262" s="1042">
        <f>+'Alimentazione SP P'!I143+'Alimentazione SP P'!I144</f>
        <v>106337</v>
      </c>
      <c r="F262" s="1026"/>
      <c r="G262" s="1043"/>
      <c r="J262" s="1028"/>
      <c r="K262" s="1028"/>
      <c r="R262" s="1116"/>
    </row>
    <row r="263" spans="1:18" s="1044" customFormat="1" ht="13.8">
      <c r="A263" s="1029"/>
      <c r="B263" s="1030" t="s">
        <v>3236</v>
      </c>
      <c r="C263" s="1031" t="s">
        <v>3237</v>
      </c>
      <c r="D263" s="1032">
        <f>+D264+D265+D269+D270</f>
        <v>1114223</v>
      </c>
      <c r="E263" s="1032">
        <f>+E264+E265+E269+E270</f>
        <v>799954</v>
      </c>
      <c r="F263" s="1026"/>
      <c r="G263" s="1043"/>
      <c r="J263" s="1028"/>
      <c r="K263" s="1028"/>
      <c r="R263" s="1116"/>
    </row>
    <row r="264" spans="1:18" s="1044" customFormat="1" ht="13.8">
      <c r="A264" s="1039"/>
      <c r="B264" s="1046" t="s">
        <v>3238</v>
      </c>
      <c r="C264" s="1047" t="s">
        <v>3239</v>
      </c>
      <c r="D264" s="1042">
        <f>+'Alimentazione SP P'!H146</f>
        <v>0</v>
      </c>
      <c r="E264" s="1042">
        <f>+'Alimentazione SP P'!I146</f>
        <v>0</v>
      </c>
      <c r="F264" s="1026"/>
      <c r="G264" s="1043"/>
      <c r="J264" s="1028"/>
      <c r="K264" s="1028"/>
      <c r="R264" s="1116"/>
    </row>
    <row r="265" spans="1:18" s="1044" customFormat="1" ht="13.8">
      <c r="A265" s="1045"/>
      <c r="B265" s="1035" t="s">
        <v>3240</v>
      </c>
      <c r="C265" s="1036" t="s">
        <v>3241</v>
      </c>
      <c r="D265" s="1037">
        <f>+D266+D267+D268</f>
        <v>555020</v>
      </c>
      <c r="E265" s="1037">
        <f>+E266+E267+E268</f>
        <v>240751</v>
      </c>
      <c r="F265" s="1026"/>
      <c r="G265" s="1043"/>
      <c r="J265" s="1028"/>
      <c r="K265" s="1028"/>
      <c r="R265" s="1116"/>
    </row>
    <row r="266" spans="1:18" s="1044" customFormat="1" ht="13.8">
      <c r="A266" s="1039"/>
      <c r="B266" s="1040" t="s">
        <v>3242</v>
      </c>
      <c r="C266" s="1041" t="s">
        <v>3243</v>
      </c>
      <c r="D266" s="1042">
        <f>+'Alimentazione SP P'!H148</f>
        <v>555020</v>
      </c>
      <c r="E266" s="1042">
        <f>+'Alimentazione SP P'!I148</f>
        <v>240751</v>
      </c>
      <c r="F266" s="1026"/>
      <c r="G266" s="1043"/>
      <c r="J266" s="1028"/>
      <c r="K266" s="1028"/>
      <c r="R266" s="1117"/>
    </row>
    <row r="267" spans="1:18" s="1044" customFormat="1" ht="13.8">
      <c r="A267" s="1039"/>
      <c r="B267" s="1040" t="s">
        <v>3244</v>
      </c>
      <c r="C267" s="1041" t="s">
        <v>3245</v>
      </c>
      <c r="D267" s="1042">
        <f>+'Alimentazione SP P'!H149</f>
        <v>0</v>
      </c>
      <c r="E267" s="1042">
        <f>+'Alimentazione SP P'!I149</f>
        <v>0</v>
      </c>
      <c r="F267" s="1026"/>
      <c r="G267" s="1043"/>
      <c r="J267" s="1028"/>
      <c r="K267" s="1028"/>
    </row>
    <row r="268" spans="1:18" s="1044" customFormat="1" ht="13.8">
      <c r="A268" s="1039"/>
      <c r="B268" s="1040" t="s">
        <v>3246</v>
      </c>
      <c r="C268" s="1041" t="s">
        <v>3247</v>
      </c>
      <c r="D268" s="1042">
        <f>+'Alimentazione SP P'!H150</f>
        <v>0</v>
      </c>
      <c r="E268" s="1042">
        <f>+'Alimentazione SP P'!I150</f>
        <v>0</v>
      </c>
      <c r="F268" s="1026"/>
      <c r="G268" s="1043"/>
      <c r="J268" s="1028"/>
      <c r="K268" s="1028"/>
      <c r="R268" s="1118"/>
    </row>
    <row r="269" spans="1:18" s="1044" customFormat="1" ht="13.8">
      <c r="A269" s="1099"/>
      <c r="B269" s="1119" t="s">
        <v>3248</v>
      </c>
      <c r="C269" s="1120" t="s">
        <v>3249</v>
      </c>
      <c r="D269" s="1042">
        <f>+'Alimentazione SP P'!H152+'Alimentazione SP P'!H153</f>
        <v>559203</v>
      </c>
      <c r="E269" s="1042">
        <f>+'Alimentazione SP P'!I152+'Alimentazione SP P'!I153</f>
        <v>559203</v>
      </c>
      <c r="F269" s="1026"/>
      <c r="G269" s="1043"/>
      <c r="J269" s="1028"/>
      <c r="K269" s="1028"/>
      <c r="R269" s="1117"/>
    </row>
    <row r="270" spans="1:18" s="1070" customFormat="1" ht="13.8">
      <c r="A270" s="1039"/>
      <c r="B270" s="1121" t="s">
        <v>3250</v>
      </c>
      <c r="C270" s="1122" t="s">
        <v>3251</v>
      </c>
      <c r="D270" s="1042">
        <f>+'Alimentazione SP P'!H154</f>
        <v>0</v>
      </c>
      <c r="E270" s="1042">
        <f>+'Alimentazione SP P'!I154</f>
        <v>0</v>
      </c>
      <c r="F270" s="1026"/>
      <c r="G270" s="1043"/>
      <c r="J270" s="1028"/>
      <c r="K270" s="1028"/>
    </row>
    <row r="271" spans="1:18" s="1044" customFormat="1" ht="13.8">
      <c r="A271" s="1022"/>
      <c r="B271" s="1123" t="s">
        <v>3252</v>
      </c>
      <c r="C271" s="1095" t="s">
        <v>3253</v>
      </c>
      <c r="D271" s="1096">
        <f>+D272+D273+D274</f>
        <v>0</v>
      </c>
      <c r="E271" s="1096">
        <f>+E272+E273+E274</f>
        <v>0</v>
      </c>
      <c r="F271" s="1026"/>
      <c r="G271" s="1043"/>
      <c r="J271" s="1028"/>
      <c r="K271" s="1028"/>
    </row>
    <row r="272" spans="1:18" s="1044" customFormat="1" ht="13.8">
      <c r="A272" s="1039"/>
      <c r="B272" s="1102" t="s">
        <v>3254</v>
      </c>
      <c r="C272" s="1103" t="s">
        <v>3255</v>
      </c>
      <c r="D272" s="1042">
        <f>+'Alimentazione SP P'!H156</f>
        <v>0</v>
      </c>
      <c r="E272" s="1042">
        <f>+'Alimentazione SP P'!I156</f>
        <v>0</v>
      </c>
      <c r="F272" s="1026"/>
      <c r="G272" s="1043"/>
      <c r="J272" s="1028"/>
      <c r="K272" s="1028"/>
    </row>
    <row r="273" spans="1:11" s="1044" customFormat="1" ht="13.8">
      <c r="A273" s="1039"/>
      <c r="B273" s="1102" t="s">
        <v>3256</v>
      </c>
      <c r="C273" s="1103" t="s">
        <v>3257</v>
      </c>
      <c r="D273" s="1042">
        <f>+'Alimentazione SP P'!H157</f>
        <v>0</v>
      </c>
      <c r="E273" s="1042">
        <f>+'Alimentazione SP P'!I157</f>
        <v>0</v>
      </c>
      <c r="F273" s="1026"/>
      <c r="G273" s="1043"/>
      <c r="J273" s="1028"/>
      <c r="K273" s="1028"/>
    </row>
    <row r="274" spans="1:11" s="1044" customFormat="1" ht="14.4" thickBot="1">
      <c r="A274" s="1049"/>
      <c r="B274" s="1104" t="s">
        <v>3258</v>
      </c>
      <c r="C274" s="1105" t="s">
        <v>3259</v>
      </c>
      <c r="D274" s="1042">
        <f>+'Alimentazione SP P'!H158</f>
        <v>0</v>
      </c>
      <c r="E274" s="1042">
        <f>+'Alimentazione SP P'!I158</f>
        <v>0</v>
      </c>
      <c r="F274" s="1026"/>
      <c r="G274" s="1043"/>
      <c r="J274" s="1028"/>
      <c r="K274" s="1028"/>
    </row>
    <row r="275" spans="1:11" s="1044" customFormat="1" ht="13.8">
      <c r="A275" s="1124"/>
      <c r="B275" s="1125" t="s">
        <v>3260</v>
      </c>
      <c r="C275" s="1024" t="s">
        <v>3261</v>
      </c>
      <c r="D275" s="1056">
        <f>+D276+D277+D283+D294+D295+D313+D317+D324+D325+D326+D327</f>
        <v>19275527</v>
      </c>
      <c r="E275" s="1056">
        <f>+E276+E277+E283+E294+E295+E313+E317+E324+E325+E326+E327</f>
        <v>16980663</v>
      </c>
      <c r="F275" s="1026"/>
      <c r="G275" s="1043"/>
      <c r="J275" s="1028"/>
      <c r="K275" s="1028"/>
    </row>
    <row r="276" spans="1:11" s="1044" customFormat="1" ht="13.8">
      <c r="A276" s="1039"/>
      <c r="B276" s="1102" t="s">
        <v>3262</v>
      </c>
      <c r="C276" s="1103" t="s">
        <v>3263</v>
      </c>
      <c r="D276" s="1042">
        <f>+'Alimentazione SP P'!H160</f>
        <v>0</v>
      </c>
      <c r="E276" s="1042">
        <f>+'Alimentazione SP P'!I160</f>
        <v>0</v>
      </c>
      <c r="F276" s="1026"/>
      <c r="G276" s="1043"/>
      <c r="J276" s="1028"/>
      <c r="K276" s="1028"/>
    </row>
    <row r="277" spans="1:11" s="1044" customFormat="1" ht="13.8">
      <c r="A277" s="1039"/>
      <c r="B277" s="1102" t="s">
        <v>3264</v>
      </c>
      <c r="C277" s="1103" t="s">
        <v>3265</v>
      </c>
      <c r="D277" s="1042">
        <f>SUM(D278:D282)</f>
        <v>0</v>
      </c>
      <c r="E277" s="1042">
        <f>SUM(E278:E282)</f>
        <v>0</v>
      </c>
      <c r="F277" s="1026"/>
      <c r="G277" s="1043"/>
      <c r="J277" s="1028"/>
      <c r="K277" s="1028"/>
    </row>
    <row r="278" spans="1:11" s="1044" customFormat="1" ht="13.8">
      <c r="A278" s="1126" t="s">
        <v>1590</v>
      </c>
      <c r="B278" s="1106" t="s">
        <v>3266</v>
      </c>
      <c r="C278" s="1107" t="s">
        <v>3267</v>
      </c>
      <c r="D278" s="1042">
        <f>+'Alimentazione SP P'!H162</f>
        <v>0</v>
      </c>
      <c r="E278" s="1042">
        <f>+'Alimentazione SP P'!I162</f>
        <v>0</v>
      </c>
      <c r="F278" s="1026"/>
      <c r="G278" s="1043"/>
      <c r="J278" s="1028"/>
      <c r="K278" s="1028"/>
    </row>
    <row r="279" spans="1:11" s="1044" customFormat="1" ht="13.8">
      <c r="A279" s="1126"/>
      <c r="B279" s="1106" t="s">
        <v>3268</v>
      </c>
      <c r="C279" s="1107" t="s">
        <v>3269</v>
      </c>
      <c r="D279" s="1042">
        <f>+'Alimentazione SP P'!H163</f>
        <v>0</v>
      </c>
      <c r="E279" s="1042">
        <f>+'Alimentazione SP P'!I163</f>
        <v>0</v>
      </c>
      <c r="F279" s="1026"/>
      <c r="G279" s="1043"/>
      <c r="J279" s="1028"/>
      <c r="K279" s="1028"/>
    </row>
    <row r="280" spans="1:11" s="1044" customFormat="1" ht="13.8">
      <c r="A280" s="1088" t="s">
        <v>1594</v>
      </c>
      <c r="B280" s="1106" t="s">
        <v>3270</v>
      </c>
      <c r="C280" s="1107" t="s">
        <v>3271</v>
      </c>
      <c r="D280" s="1042">
        <f>+'Alimentazione SP P'!H164</f>
        <v>0</v>
      </c>
      <c r="E280" s="1042">
        <f>+'Alimentazione SP P'!I164</f>
        <v>0</v>
      </c>
      <c r="F280" s="1026"/>
      <c r="G280" s="1043"/>
      <c r="J280" s="1028"/>
      <c r="K280" s="1028"/>
    </row>
    <row r="281" spans="1:11" s="1044" customFormat="1" ht="13.8">
      <c r="A281" s="1088" t="s">
        <v>1594</v>
      </c>
      <c r="B281" s="1106" t="s">
        <v>3272</v>
      </c>
      <c r="C281" s="1107" t="s">
        <v>3273</v>
      </c>
      <c r="D281" s="1042">
        <f>+'Alimentazione SP P'!H165</f>
        <v>0</v>
      </c>
      <c r="E281" s="1042">
        <f>+'Alimentazione SP P'!I165</f>
        <v>0</v>
      </c>
      <c r="F281" s="1026"/>
      <c r="G281" s="1043"/>
      <c r="J281" s="1028"/>
      <c r="K281" s="1028"/>
    </row>
    <row r="282" spans="1:11" s="1044" customFormat="1" ht="13.8">
      <c r="A282" s="1088" t="s">
        <v>1594</v>
      </c>
      <c r="B282" s="1106" t="s">
        <v>3274</v>
      </c>
      <c r="C282" s="1107" t="s">
        <v>3275</v>
      </c>
      <c r="D282" s="1042">
        <f>+'Alimentazione SP P'!H167+'Alimentazione SP P'!H168+'Alimentazione SP P'!H169+'Alimentazione SP P'!H170</f>
        <v>0</v>
      </c>
      <c r="E282" s="1042">
        <f>+'Alimentazione SP P'!I167+'Alimentazione SP P'!I168+'Alimentazione SP P'!I169+'Alimentazione SP P'!I170</f>
        <v>0</v>
      </c>
      <c r="F282" s="1026"/>
      <c r="G282" s="1043"/>
      <c r="J282" s="1028"/>
      <c r="K282" s="1028"/>
    </row>
    <row r="283" spans="1:11" s="1044" customFormat="1" ht="13.8">
      <c r="A283" s="1039"/>
      <c r="B283" s="1102" t="s">
        <v>3276</v>
      </c>
      <c r="C283" s="1103" t="s">
        <v>3277</v>
      </c>
      <c r="D283" s="1042">
        <f>SUM(D284:D293)</f>
        <v>842145</v>
      </c>
      <c r="E283" s="1042">
        <f>SUM(E284:E293)</f>
        <v>561852</v>
      </c>
      <c r="F283" s="1026"/>
      <c r="G283" s="1043"/>
      <c r="J283" s="1028"/>
      <c r="K283" s="1028"/>
    </row>
    <row r="284" spans="1:11" s="1070" customFormat="1" ht="13.8">
      <c r="A284" s="1088" t="s">
        <v>3003</v>
      </c>
      <c r="B284" s="1046" t="s">
        <v>3278</v>
      </c>
      <c r="C284" s="1047" t="s">
        <v>3279</v>
      </c>
      <c r="D284" s="1042">
        <f>'Alimentazione SP P'!H173</f>
        <v>0</v>
      </c>
      <c r="E284" s="1042">
        <f>'Alimentazione SP P'!I173</f>
        <v>0</v>
      </c>
      <c r="F284" s="1026"/>
      <c r="G284" s="1043"/>
      <c r="J284" s="1028"/>
      <c r="K284" s="1028"/>
    </row>
    <row r="285" spans="1:11" s="1070" customFormat="1" ht="13.8">
      <c r="A285" s="1088"/>
      <c r="B285" s="1046" t="s">
        <v>3280</v>
      </c>
      <c r="C285" s="1047" t="s">
        <v>3281</v>
      </c>
      <c r="D285" s="1042">
        <f>'Alimentazione SP P'!H172</f>
        <v>418186</v>
      </c>
      <c r="E285" s="1042">
        <f>'Alimentazione SP P'!I172</f>
        <v>137866</v>
      </c>
      <c r="F285" s="1026"/>
      <c r="G285" s="1043"/>
      <c r="J285" s="1028"/>
      <c r="K285" s="1028"/>
    </row>
    <row r="286" spans="1:11" s="1044" customFormat="1" ht="26.4">
      <c r="A286" s="1088" t="s">
        <v>1545</v>
      </c>
      <c r="B286" s="1046" t="s">
        <v>3282</v>
      </c>
      <c r="C286" s="1047" t="s">
        <v>3283</v>
      </c>
      <c r="D286" s="1042">
        <f>+'Alimentazione SP P'!H174</f>
        <v>0</v>
      </c>
      <c r="E286" s="1042">
        <f>+'Alimentazione SP P'!I174</f>
        <v>0</v>
      </c>
      <c r="F286" s="1026"/>
      <c r="G286" s="1043"/>
      <c r="J286" s="1028"/>
      <c r="K286" s="1028"/>
    </row>
    <row r="287" spans="1:11" s="1044" customFormat="1" ht="26.4">
      <c r="A287" s="1126" t="s">
        <v>3003</v>
      </c>
      <c r="B287" s="1106" t="s">
        <v>3284</v>
      </c>
      <c r="C287" s="1107" t="s">
        <v>3285</v>
      </c>
      <c r="D287" s="1042">
        <f>+'Alimentazione SP P'!H175</f>
        <v>407108</v>
      </c>
      <c r="E287" s="1042">
        <f>+'Alimentazione SP P'!I175</f>
        <v>407108</v>
      </c>
      <c r="F287" s="1026"/>
      <c r="G287" s="1043"/>
      <c r="J287" s="1028"/>
      <c r="K287" s="1028"/>
    </row>
    <row r="288" spans="1:11" s="1070" customFormat="1" ht="26.4">
      <c r="A288" s="1067" t="s">
        <v>3003</v>
      </c>
      <c r="B288" s="1127" t="s">
        <v>3286</v>
      </c>
      <c r="C288" s="1128" t="s">
        <v>3287</v>
      </c>
      <c r="D288" s="1042">
        <f>+'Alimentazione SP P'!H176</f>
        <v>0</v>
      </c>
      <c r="E288" s="1042">
        <f>+'Alimentazione SP P'!I176</f>
        <v>0</v>
      </c>
      <c r="F288" s="1026"/>
      <c r="G288" s="1043"/>
      <c r="J288" s="1028"/>
      <c r="K288" s="1028"/>
    </row>
    <row r="289" spans="1:11" s="1044" customFormat="1" ht="13.8">
      <c r="A289" s="1067" t="s">
        <v>3003</v>
      </c>
      <c r="B289" s="1127" t="s">
        <v>3288</v>
      </c>
      <c r="C289" s="1128" t="s">
        <v>3289</v>
      </c>
      <c r="D289" s="1042">
        <f>+'Alimentazione SP P'!H177</f>
        <v>0</v>
      </c>
      <c r="E289" s="1042">
        <f>+'Alimentazione SP P'!I177</f>
        <v>0</v>
      </c>
      <c r="F289" s="1026"/>
      <c r="G289" s="1043"/>
      <c r="J289" s="1028"/>
      <c r="K289" s="1028"/>
    </row>
    <row r="290" spans="1:11" s="1044" customFormat="1" ht="39.6">
      <c r="A290" s="1067" t="s">
        <v>3003</v>
      </c>
      <c r="B290" s="1127" t="s">
        <v>3290</v>
      </c>
      <c r="C290" s="1128" t="s">
        <v>3291</v>
      </c>
      <c r="D290" s="1042">
        <f>+'Alimentazione SP P'!H178</f>
        <v>0</v>
      </c>
      <c r="E290" s="1042">
        <f>+'Alimentazione SP P'!I178</f>
        <v>0</v>
      </c>
      <c r="F290" s="1026"/>
      <c r="G290" s="1043"/>
      <c r="J290" s="1028"/>
      <c r="K290" s="1028"/>
    </row>
    <row r="291" spans="1:11" s="1044" customFormat="1" ht="13.8">
      <c r="A291" s="1129"/>
      <c r="B291" s="1130" t="s">
        <v>3292</v>
      </c>
      <c r="C291" s="1131" t="s">
        <v>3293</v>
      </c>
      <c r="D291" s="1042">
        <f>+'Alimentazione SP P'!H179</f>
        <v>0</v>
      </c>
      <c r="E291" s="1042">
        <f>+'Alimentazione SP P'!I179</f>
        <v>0</v>
      </c>
      <c r="F291" s="1026"/>
      <c r="G291" s="1043"/>
      <c r="J291" s="1028"/>
      <c r="K291" s="1028"/>
    </row>
    <row r="292" spans="1:11" s="1070" customFormat="1" ht="13.8">
      <c r="A292" s="1132" t="s">
        <v>3003</v>
      </c>
      <c r="B292" s="1127" t="s">
        <v>3294</v>
      </c>
      <c r="C292" s="1128" t="s">
        <v>3295</v>
      </c>
      <c r="D292" s="1042">
        <f>+'Alimentazione SP P'!H180</f>
        <v>0</v>
      </c>
      <c r="E292" s="1042">
        <f>+'Alimentazione SP P'!I180</f>
        <v>0</v>
      </c>
      <c r="F292" s="1026"/>
      <c r="G292" s="1043"/>
      <c r="J292" s="1028"/>
      <c r="K292" s="1028"/>
    </row>
    <row r="293" spans="1:11" s="1070" customFormat="1" ht="13.8">
      <c r="A293" s="1132"/>
      <c r="B293" s="1127" t="s">
        <v>3296</v>
      </c>
      <c r="C293" s="1128" t="s">
        <v>3297</v>
      </c>
      <c r="D293" s="1042">
        <f>+'Alimentazione SP P'!H182+'Alimentazione SP P'!H183+'Alimentazione SP P'!H184+'Alimentazione SP P'!H185+'Alimentazione SP P'!H186</f>
        <v>16851</v>
      </c>
      <c r="E293" s="1042">
        <f>+'Alimentazione SP P'!I182+'Alimentazione SP P'!I183+'Alimentazione SP P'!I184+'Alimentazione SP P'!I185+'Alimentazione SP P'!I186</f>
        <v>16878</v>
      </c>
      <c r="F293" s="1026"/>
      <c r="G293" s="1043"/>
      <c r="J293" s="1028"/>
      <c r="K293" s="1028"/>
    </row>
    <row r="294" spans="1:11" s="1044" customFormat="1" ht="13.8">
      <c r="A294" s="1039"/>
      <c r="B294" s="1102" t="s">
        <v>3298</v>
      </c>
      <c r="C294" s="1103" t="s">
        <v>3299</v>
      </c>
      <c r="D294" s="1042">
        <f>+'Alimentazione SP P'!H188+'Alimentazione SP P'!H189+'Alimentazione SP P'!H190+'Alimentazione SP P'!H191</f>
        <v>0</v>
      </c>
      <c r="E294" s="1042">
        <f>+'Alimentazione SP P'!I188+'Alimentazione SP P'!I189+'Alimentazione SP P'!I190+'Alimentazione SP P'!I191</f>
        <v>1626</v>
      </c>
      <c r="F294" s="1026"/>
      <c r="G294" s="1043"/>
      <c r="J294" s="1028"/>
      <c r="K294" s="1028"/>
    </row>
    <row r="295" spans="1:11" s="1044" customFormat="1" ht="13.8">
      <c r="A295" s="1039"/>
      <c r="B295" s="1102" t="s">
        <v>3300</v>
      </c>
      <c r="C295" s="1103" t="s">
        <v>3301</v>
      </c>
      <c r="D295" s="1042">
        <f>+D296+D306+D307</f>
        <v>4622351</v>
      </c>
      <c r="E295" s="1042">
        <f>+E296+E306+E307</f>
        <v>3155272</v>
      </c>
      <c r="F295" s="1026"/>
      <c r="G295" s="1043"/>
      <c r="J295" s="1028"/>
      <c r="K295" s="1028"/>
    </row>
    <row r="296" spans="1:11" s="1044" customFormat="1" ht="13.8">
      <c r="A296" s="1039"/>
      <c r="B296" s="1046" t="s">
        <v>3302</v>
      </c>
      <c r="C296" s="1047" t="s">
        <v>3303</v>
      </c>
      <c r="D296" s="1042">
        <f>SUM(D297:D305)</f>
        <v>4227435</v>
      </c>
      <c r="E296" s="1042">
        <f>SUM(E297:E305)</f>
        <v>2973262</v>
      </c>
      <c r="F296" s="1026"/>
      <c r="G296" s="1043"/>
      <c r="J296" s="1028"/>
      <c r="K296" s="1028"/>
    </row>
    <row r="297" spans="1:11" s="1044" customFormat="1" ht="13.8">
      <c r="A297" s="1039" t="s">
        <v>3003</v>
      </c>
      <c r="B297" s="1040" t="s">
        <v>3304</v>
      </c>
      <c r="C297" s="1041" t="s">
        <v>3305</v>
      </c>
      <c r="D297" s="1042">
        <f>+'Alimentazione SP P'!H194</f>
        <v>0</v>
      </c>
      <c r="E297" s="1042">
        <f>+'Alimentazione SP P'!I194</f>
        <v>0</v>
      </c>
      <c r="F297" s="1026"/>
      <c r="G297" s="1043"/>
      <c r="J297" s="1028"/>
      <c r="K297" s="1028"/>
    </row>
    <row r="298" spans="1:11" s="1044" customFormat="1" ht="26.4">
      <c r="A298" s="1039" t="s">
        <v>3003</v>
      </c>
      <c r="B298" s="1040" t="s">
        <v>3306</v>
      </c>
      <c r="C298" s="1041" t="s">
        <v>3307</v>
      </c>
      <c r="D298" s="1042">
        <f>+'Alimentazione SP P'!H195</f>
        <v>0</v>
      </c>
      <c r="E298" s="1042">
        <f>+'Alimentazione SP P'!I195</f>
        <v>0</v>
      </c>
      <c r="F298" s="1026"/>
      <c r="G298" s="1043"/>
      <c r="J298" s="1028"/>
      <c r="K298" s="1028"/>
    </row>
    <row r="299" spans="1:11" s="1044" customFormat="1" ht="26.4">
      <c r="A299" s="1039" t="s">
        <v>3003</v>
      </c>
      <c r="B299" s="1040" t="s">
        <v>3308</v>
      </c>
      <c r="C299" s="1041" t="s">
        <v>3309</v>
      </c>
      <c r="D299" s="1042">
        <f>+'Alimentazione SP P'!H196</f>
        <v>0</v>
      </c>
      <c r="E299" s="1042">
        <f>+'Alimentazione SP P'!I196</f>
        <v>0</v>
      </c>
      <c r="F299" s="1026"/>
      <c r="G299" s="1043"/>
      <c r="J299" s="1028"/>
      <c r="K299" s="1028"/>
    </row>
    <row r="300" spans="1:11" s="1044" customFormat="1" ht="13.8">
      <c r="A300" s="1039" t="s">
        <v>1545</v>
      </c>
      <c r="B300" s="1040" t="s">
        <v>3310</v>
      </c>
      <c r="C300" s="1041" t="s">
        <v>3311</v>
      </c>
      <c r="D300" s="1042">
        <f>+'Alimentazione SP P'!H197</f>
        <v>0</v>
      </c>
      <c r="E300" s="1042">
        <f>+'Alimentazione SP P'!I197</f>
        <v>0</v>
      </c>
      <c r="F300" s="1026"/>
      <c r="G300" s="1043"/>
      <c r="J300" s="1028"/>
      <c r="K300" s="1028"/>
    </row>
    <row r="301" spans="1:11" s="1044" customFormat="1" ht="26.4">
      <c r="A301" s="188" t="s">
        <v>1545</v>
      </c>
      <c r="B301" s="1040" t="s">
        <v>3312</v>
      </c>
      <c r="C301" s="1041" t="s">
        <v>3313</v>
      </c>
      <c r="D301" s="1042">
        <f>+'Alimentazione SP P'!H199+'Alimentazione SP P'!H200+'Alimentazione SP P'!H201</f>
        <v>2350828</v>
      </c>
      <c r="E301" s="1042">
        <f>+'Alimentazione SP P'!I199+'Alimentazione SP P'!I200+'Alimentazione SP P'!I201</f>
        <v>1189484</v>
      </c>
      <c r="F301" s="1026"/>
      <c r="G301" s="1043"/>
      <c r="J301" s="1028"/>
      <c r="K301" s="1028"/>
    </row>
    <row r="302" spans="1:11" s="1044" customFormat="1" ht="13.8">
      <c r="A302" s="188" t="s">
        <v>1545</v>
      </c>
      <c r="B302" s="1040" t="s">
        <v>3314</v>
      </c>
      <c r="C302" s="1041" t="s">
        <v>3315</v>
      </c>
      <c r="D302" s="1042">
        <f>+'Alimentazione SP P'!H203+'Alimentazione SP P'!H204+'Alimentazione SP P'!H205</f>
        <v>1876607</v>
      </c>
      <c r="E302" s="1042">
        <f>+'Alimentazione SP P'!I203+'Alimentazione SP P'!I204+'Alimentazione SP P'!I205</f>
        <v>1783778</v>
      </c>
      <c r="F302" s="1026"/>
      <c r="G302" s="1043"/>
      <c r="J302" s="1028"/>
      <c r="K302" s="1028"/>
    </row>
    <row r="303" spans="1:11" s="1070" customFormat="1" ht="13.8">
      <c r="A303" s="1072" t="s">
        <v>3003</v>
      </c>
      <c r="B303" s="1040" t="s">
        <v>3316</v>
      </c>
      <c r="C303" s="1073" t="s">
        <v>3317</v>
      </c>
      <c r="D303" s="1042">
        <f>+'Alimentazione SP P'!H206</f>
        <v>0</v>
      </c>
      <c r="E303" s="1042">
        <f>+'Alimentazione SP P'!I206</f>
        <v>0</v>
      </c>
      <c r="G303" s="1043"/>
      <c r="J303" s="1028"/>
      <c r="K303" s="1028"/>
    </row>
    <row r="304" spans="1:11" s="1044" customFormat="1" ht="26.4">
      <c r="A304" s="1067" t="s">
        <v>1545</v>
      </c>
      <c r="B304" s="1040" t="s">
        <v>3318</v>
      </c>
      <c r="C304" s="1076" t="s">
        <v>3319</v>
      </c>
      <c r="D304" s="1042">
        <f>+'Alimentazione SP P'!H207</f>
        <v>0</v>
      </c>
      <c r="E304" s="1042">
        <f>+'Alimentazione SP P'!I207</f>
        <v>0</v>
      </c>
      <c r="F304" s="1026"/>
      <c r="G304" s="1043"/>
      <c r="J304" s="1028"/>
      <c r="K304" s="1028"/>
    </row>
    <row r="305" spans="1:11" s="1070" customFormat="1" ht="13.8">
      <c r="A305" s="1074" t="s">
        <v>3003</v>
      </c>
      <c r="B305" s="1133" t="s">
        <v>3320</v>
      </c>
      <c r="C305" s="1076" t="s">
        <v>3321</v>
      </c>
      <c r="D305" s="1042">
        <f>+'Alimentazione SP P'!H208</f>
        <v>0</v>
      </c>
      <c r="E305" s="1042">
        <f>+'Alimentazione SP P'!I208</f>
        <v>0</v>
      </c>
      <c r="G305" s="1043"/>
      <c r="J305" s="1028"/>
      <c r="K305" s="1028"/>
    </row>
    <row r="306" spans="1:11" s="1044" customFormat="1" ht="13.8">
      <c r="A306" s="1088" t="s">
        <v>1594</v>
      </c>
      <c r="B306" s="1046" t="s">
        <v>3322</v>
      </c>
      <c r="C306" s="1047" t="s">
        <v>3323</v>
      </c>
      <c r="D306" s="1042">
        <f>+'Alimentazione SP P'!H210+'Alimentazione SP P'!H211+'Alimentazione SP P'!H212</f>
        <v>394916</v>
      </c>
      <c r="E306" s="1042">
        <f>+'Alimentazione SP P'!I210+'Alimentazione SP P'!I211+'Alimentazione SP P'!I212</f>
        <v>182010</v>
      </c>
      <c r="F306" s="1026"/>
      <c r="G306" s="1043"/>
      <c r="J306" s="1028"/>
      <c r="K306" s="1028"/>
    </row>
    <row r="307" spans="1:11" s="1044" customFormat="1" ht="26.4">
      <c r="A307" s="188"/>
      <c r="B307" s="1046" t="s">
        <v>3324</v>
      </c>
      <c r="C307" s="1047" t="s">
        <v>3325</v>
      </c>
      <c r="D307" s="1042">
        <f>SUM(D308:D312)</f>
        <v>0</v>
      </c>
      <c r="E307" s="1042">
        <f>SUM(E308:E312)</f>
        <v>0</v>
      </c>
      <c r="F307" s="1026"/>
      <c r="G307" s="1043"/>
      <c r="J307" s="1028"/>
      <c r="K307" s="1028"/>
    </row>
    <row r="308" spans="1:11" s="1044" customFormat="1" ht="26.4">
      <c r="A308" s="188" t="s">
        <v>3003</v>
      </c>
      <c r="B308" s="1057" t="s">
        <v>3326</v>
      </c>
      <c r="C308" s="1058" t="s">
        <v>3327</v>
      </c>
      <c r="D308" s="1042">
        <f>+'Alimentazione SP P'!H214</f>
        <v>0</v>
      </c>
      <c r="E308" s="1042">
        <f>+'Alimentazione SP P'!I214</f>
        <v>0</v>
      </c>
      <c r="F308" s="1026"/>
      <c r="G308" s="1043"/>
      <c r="J308" s="1028"/>
      <c r="K308" s="1028"/>
    </row>
    <row r="309" spans="1:11" s="1044" customFormat="1" ht="26.4">
      <c r="A309" s="188" t="s">
        <v>3003</v>
      </c>
      <c r="B309" s="1057" t="s">
        <v>3328</v>
      </c>
      <c r="C309" s="1058" t="s">
        <v>3329</v>
      </c>
      <c r="D309" s="1042">
        <f>+'Alimentazione SP P'!H215</f>
        <v>0</v>
      </c>
      <c r="E309" s="1042">
        <f>+'Alimentazione SP P'!I215</f>
        <v>0</v>
      </c>
      <c r="F309" s="1026"/>
      <c r="G309" s="1043"/>
      <c r="J309" s="1028"/>
      <c r="K309" s="1028"/>
    </row>
    <row r="310" spans="1:11" s="1044" customFormat="1" ht="26.4">
      <c r="A310" s="188" t="s">
        <v>3003</v>
      </c>
      <c r="B310" s="1057" t="s">
        <v>3330</v>
      </c>
      <c r="C310" s="1058" t="s">
        <v>3331</v>
      </c>
      <c r="D310" s="1042">
        <f>+'Alimentazione SP P'!H216</f>
        <v>0</v>
      </c>
      <c r="E310" s="1042">
        <f>+'Alimentazione SP P'!I216</f>
        <v>0</v>
      </c>
      <c r="F310" s="1026"/>
      <c r="G310" s="1043"/>
      <c r="J310" s="1028"/>
      <c r="K310" s="1028"/>
    </row>
    <row r="311" spans="1:11" s="1044" customFormat="1" ht="26.4">
      <c r="A311" s="188" t="s">
        <v>3003</v>
      </c>
      <c r="B311" s="1057" t="s">
        <v>3332</v>
      </c>
      <c r="C311" s="1058" t="s">
        <v>3333</v>
      </c>
      <c r="D311" s="1042">
        <f>+'Alimentazione SP P'!H217</f>
        <v>0</v>
      </c>
      <c r="E311" s="1042">
        <f>+'Alimentazione SP P'!I217</f>
        <v>0</v>
      </c>
      <c r="F311" s="1026"/>
      <c r="G311" s="1043"/>
      <c r="J311" s="1028"/>
      <c r="K311" s="1028"/>
    </row>
    <row r="312" spans="1:11" s="1044" customFormat="1" ht="26.4">
      <c r="A312" s="188" t="s">
        <v>3003</v>
      </c>
      <c r="B312" s="1057" t="s">
        <v>3334</v>
      </c>
      <c r="C312" s="1058" t="s">
        <v>3335</v>
      </c>
      <c r="D312" s="1042">
        <f>+'Alimentazione SP P'!H218</f>
        <v>0</v>
      </c>
      <c r="E312" s="1042">
        <f>+'Alimentazione SP P'!I218</f>
        <v>0</v>
      </c>
      <c r="F312" s="1026"/>
      <c r="G312" s="1043"/>
      <c r="J312" s="1028"/>
      <c r="K312" s="1028"/>
    </row>
    <row r="313" spans="1:11" s="1044" customFormat="1" ht="26.4">
      <c r="A313" s="1039"/>
      <c r="B313" s="1102" t="s">
        <v>3336</v>
      </c>
      <c r="C313" s="1103" t="s">
        <v>3337</v>
      </c>
      <c r="D313" s="1042">
        <f>+D314+D315+D316</f>
        <v>77</v>
      </c>
      <c r="E313" s="1042">
        <f>+E314+E315+E316</f>
        <v>77</v>
      </c>
      <c r="F313" s="1026"/>
      <c r="G313" s="1043"/>
      <c r="J313" s="1028"/>
      <c r="K313" s="1028"/>
    </row>
    <row r="314" spans="1:11" s="1044" customFormat="1" ht="13.8">
      <c r="A314" s="1039"/>
      <c r="B314" s="1046" t="s">
        <v>3338</v>
      </c>
      <c r="C314" s="1047" t="s">
        <v>3339</v>
      </c>
      <c r="D314" s="1042">
        <f>+'Alimentazione SP P'!H220</f>
        <v>0</v>
      </c>
      <c r="E314" s="1042">
        <f>+'Alimentazione SP P'!I220</f>
        <v>0</v>
      </c>
      <c r="F314" s="1026"/>
      <c r="G314" s="1043"/>
      <c r="J314" s="1028"/>
      <c r="K314" s="1028"/>
    </row>
    <row r="315" spans="1:11" s="1044" customFormat="1" ht="13.8">
      <c r="A315" s="1039"/>
      <c r="B315" s="1046" t="s">
        <v>3340</v>
      </c>
      <c r="C315" s="1047" t="s">
        <v>3341</v>
      </c>
      <c r="D315" s="1042">
        <f>+'Alimentazione SP P'!H221</f>
        <v>0</v>
      </c>
      <c r="E315" s="1042">
        <f>+'Alimentazione SP P'!I221</f>
        <v>0</v>
      </c>
      <c r="F315" s="1026"/>
      <c r="G315" s="1043"/>
      <c r="J315" s="1028"/>
      <c r="K315" s="1028"/>
    </row>
    <row r="316" spans="1:11" s="1044" customFormat="1" ht="13.8">
      <c r="A316" s="1039"/>
      <c r="B316" s="1046" t="s">
        <v>3342</v>
      </c>
      <c r="C316" s="1047" t="s">
        <v>3343</v>
      </c>
      <c r="D316" s="1042">
        <f>+'Alimentazione SP P'!H223+'Alimentazione SP P'!H224+'Alimentazione SP P'!H225</f>
        <v>77</v>
      </c>
      <c r="E316" s="1042">
        <f>+'Alimentazione SP P'!I223+'Alimentazione SP P'!I224+'Alimentazione SP P'!I225</f>
        <v>77</v>
      </c>
      <c r="F316" s="1026"/>
      <c r="G316" s="1043"/>
      <c r="J316" s="1028"/>
      <c r="K316" s="1028"/>
    </row>
    <row r="317" spans="1:11" s="1044" customFormat="1" ht="13.8">
      <c r="A317" s="1039"/>
      <c r="B317" s="1102" t="s">
        <v>3344</v>
      </c>
      <c r="C317" s="1103" t="s">
        <v>3345</v>
      </c>
      <c r="D317" s="1042">
        <f>+D318+D321</f>
        <v>6331593</v>
      </c>
      <c r="E317" s="1042">
        <f>+E318+E321</f>
        <v>4911794</v>
      </c>
      <c r="F317" s="1026"/>
      <c r="G317" s="1043"/>
      <c r="J317" s="1028"/>
      <c r="K317" s="1028"/>
    </row>
    <row r="318" spans="1:11" s="1044" customFormat="1" ht="26.4">
      <c r="A318" s="1039"/>
      <c r="B318" s="1046" t="s">
        <v>3346</v>
      </c>
      <c r="C318" s="1047" t="s">
        <v>3347</v>
      </c>
      <c r="D318" s="1042">
        <f>+D319+D320</f>
        <v>0</v>
      </c>
      <c r="E318" s="1042">
        <f>+E319+E320</f>
        <v>0</v>
      </c>
      <c r="F318" s="1026"/>
      <c r="G318" s="1043"/>
      <c r="J318" s="1028"/>
      <c r="K318" s="1028"/>
    </row>
    <row r="319" spans="1:11" s="1044" customFormat="1" ht="13.8">
      <c r="A319" s="1039"/>
      <c r="B319" s="1121" t="s">
        <v>3348</v>
      </c>
      <c r="C319" s="1134" t="s">
        <v>3349</v>
      </c>
      <c r="D319" s="1042">
        <f>+'Alimentazione SP P'!H229+'Alimentazione SP P'!H230</f>
        <v>0</v>
      </c>
      <c r="E319" s="1042">
        <f>+'Alimentazione SP P'!I229+'Alimentazione SP P'!I230</f>
        <v>0</v>
      </c>
      <c r="F319" s="1026"/>
      <c r="G319" s="1043"/>
      <c r="J319" s="1028"/>
      <c r="K319" s="1028"/>
    </row>
    <row r="320" spans="1:11" s="1044" customFormat="1" ht="13.8">
      <c r="A320" s="1039"/>
      <c r="B320" s="1121" t="s">
        <v>3350</v>
      </c>
      <c r="C320" s="1134" t="s">
        <v>3351</v>
      </c>
      <c r="D320" s="1042">
        <f>+'Alimentazione SP P'!H231</f>
        <v>0</v>
      </c>
      <c r="E320" s="1042">
        <f>+'Alimentazione SP P'!I231</f>
        <v>0</v>
      </c>
      <c r="F320" s="1026"/>
      <c r="G320" s="1043"/>
      <c r="J320" s="1028"/>
      <c r="K320" s="1028"/>
    </row>
    <row r="321" spans="1:11" s="1044" customFormat="1" ht="13.8">
      <c r="A321" s="1039"/>
      <c r="B321" s="1121" t="s">
        <v>3352</v>
      </c>
      <c r="C321" s="1134" t="s">
        <v>3353</v>
      </c>
      <c r="D321" s="1042">
        <f>+D322+D323</f>
        <v>6331593</v>
      </c>
      <c r="E321" s="1042">
        <f>+E322+E323</f>
        <v>4911794</v>
      </c>
      <c r="F321" s="1026"/>
      <c r="G321" s="1043"/>
      <c r="J321" s="1028"/>
      <c r="K321" s="1028"/>
    </row>
    <row r="322" spans="1:11" s="1044" customFormat="1" ht="13.8">
      <c r="A322" s="1039"/>
      <c r="B322" s="1135" t="s">
        <v>3354</v>
      </c>
      <c r="C322" s="1136" t="s">
        <v>3355</v>
      </c>
      <c r="D322" s="1042">
        <f>+'Alimentazione SP P'!H234+'Alimentazione SP P'!H235+'Alimentazione SP P'!H236+'Alimentazione SP P'!H237+'Alimentazione SP P'!H238+'Alimentazione SP P'!H239</f>
        <v>6758565</v>
      </c>
      <c r="E322" s="1042">
        <f>+'Alimentazione SP P'!I234+'Alimentazione SP P'!I235+'Alimentazione SP P'!I236+'Alimentazione SP P'!I237+'Alimentazione SP P'!I238+'Alimentazione SP P'!I239</f>
        <v>5250051</v>
      </c>
      <c r="F322" s="1026"/>
      <c r="G322" s="1043"/>
      <c r="J322" s="1028"/>
      <c r="K322" s="1028"/>
    </row>
    <row r="323" spans="1:11" s="1044" customFormat="1" ht="13.8">
      <c r="A323" s="1039"/>
      <c r="B323" s="1135" t="s">
        <v>3356</v>
      </c>
      <c r="C323" s="1136" t="s">
        <v>3357</v>
      </c>
      <c r="D323" s="1042">
        <f>+'Alimentazione SP P'!H240</f>
        <v>-426972</v>
      </c>
      <c r="E323" s="1042">
        <f>+'Alimentazione SP P'!I240</f>
        <v>-338257</v>
      </c>
      <c r="F323" s="1026"/>
      <c r="G323" s="1043"/>
      <c r="J323" s="1028"/>
      <c r="K323" s="1028"/>
    </row>
    <row r="324" spans="1:11" s="1044" customFormat="1" ht="13.8">
      <c r="A324" s="1039"/>
      <c r="B324" s="1102" t="s">
        <v>3358</v>
      </c>
      <c r="C324" s="1103" t="s">
        <v>3359</v>
      </c>
      <c r="D324" s="1042">
        <f>+'Alimentazione SP P'!H242+'Alimentazione SP P'!H243</f>
        <v>0</v>
      </c>
      <c r="E324" s="1042">
        <f>+'Alimentazione SP P'!I242+'Alimentazione SP P'!I243</f>
        <v>0</v>
      </c>
      <c r="F324" s="1026"/>
      <c r="G324" s="1043"/>
      <c r="J324" s="1028"/>
      <c r="K324" s="1028"/>
    </row>
    <row r="325" spans="1:11" s="1044" customFormat="1" ht="13.8">
      <c r="A325" s="1039"/>
      <c r="B325" s="1102" t="s">
        <v>3360</v>
      </c>
      <c r="C325" s="1103" t="s">
        <v>3361</v>
      </c>
      <c r="D325" s="1042">
        <f>+SUM('Alimentazione SP P'!H245:H253)</f>
        <v>1915937</v>
      </c>
      <c r="E325" s="1042">
        <f>+SUM('Alimentazione SP P'!I245:I253)</f>
        <v>2004759</v>
      </c>
      <c r="F325" s="1026"/>
      <c r="G325" s="1043"/>
      <c r="J325" s="1028"/>
      <c r="K325" s="1028"/>
    </row>
    <row r="326" spans="1:11" s="1044" customFormat="1" ht="26.4">
      <c r="A326" s="1039"/>
      <c r="B326" s="1102" t="s">
        <v>3362</v>
      </c>
      <c r="C326" s="1103" t="s">
        <v>3363</v>
      </c>
      <c r="D326" s="1042">
        <f>+SUM('Alimentazione SP P'!H255:H263)</f>
        <v>1766780</v>
      </c>
      <c r="E326" s="1042">
        <f>+SUM('Alimentazione SP P'!I255:I263)</f>
        <v>1796410</v>
      </c>
      <c r="F326" s="1026"/>
      <c r="G326" s="1043"/>
      <c r="J326" s="1028"/>
      <c r="K326" s="1028"/>
    </row>
    <row r="327" spans="1:11" s="1044" customFormat="1" ht="13.8">
      <c r="A327" s="1039"/>
      <c r="B327" s="1102" t="s">
        <v>3364</v>
      </c>
      <c r="C327" s="1103" t="s">
        <v>3365</v>
      </c>
      <c r="D327" s="1042">
        <f>+D328+D329+D330+D331</f>
        <v>3796644</v>
      </c>
      <c r="E327" s="1042">
        <f>+E328+E329+E330+E331</f>
        <v>4548873</v>
      </c>
      <c r="F327" s="1026"/>
      <c r="G327" s="1043"/>
      <c r="J327" s="1028"/>
      <c r="K327" s="1028"/>
    </row>
    <row r="328" spans="1:11" s="1044" customFormat="1" ht="13.8">
      <c r="A328" s="1039"/>
      <c r="B328" s="1046" t="s">
        <v>3366</v>
      </c>
      <c r="C328" s="1047" t="s">
        <v>3367</v>
      </c>
      <c r="D328" s="1042">
        <f>+'Alimentazione SP P'!H265</f>
        <v>0</v>
      </c>
      <c r="E328" s="1042">
        <f>+'Alimentazione SP P'!I265</f>
        <v>0</v>
      </c>
      <c r="F328" s="1026"/>
      <c r="G328" s="1043"/>
      <c r="J328" s="1028"/>
      <c r="K328" s="1028"/>
    </row>
    <row r="329" spans="1:11" s="1044" customFormat="1" ht="13.8">
      <c r="A329" s="1039"/>
      <c r="B329" s="1046" t="s">
        <v>3368</v>
      </c>
      <c r="C329" s="1047" t="s">
        <v>3369</v>
      </c>
      <c r="D329" s="1042">
        <f>+'Alimentazione SP P'!H267+'Alimentazione SP P'!H268</f>
        <v>2658223</v>
      </c>
      <c r="E329" s="1042">
        <f>+'Alimentazione SP P'!I267+'Alimentazione SP P'!I268</f>
        <v>3600998</v>
      </c>
      <c r="F329" s="1026"/>
      <c r="G329" s="1043"/>
      <c r="J329" s="1028"/>
      <c r="K329" s="1028"/>
    </row>
    <row r="330" spans="1:11" s="1044" customFormat="1" ht="13.8">
      <c r="A330" s="1039"/>
      <c r="B330" s="1046" t="s">
        <v>3370</v>
      </c>
      <c r="C330" s="1047" t="s">
        <v>3371</v>
      </c>
      <c r="D330" s="1042">
        <f>+'Alimentazione SP P'!H270+'Alimentazione SP P'!H271</f>
        <v>0</v>
      </c>
      <c r="E330" s="1042">
        <f>+'Alimentazione SP P'!I270+'Alimentazione SP P'!I271</f>
        <v>0</v>
      </c>
      <c r="F330" s="1026"/>
      <c r="G330" s="1043"/>
      <c r="J330" s="1028"/>
      <c r="K330" s="1028"/>
    </row>
    <row r="331" spans="1:11" s="1044" customFormat="1" ht="14.4" thickBot="1">
      <c r="A331" s="1049"/>
      <c r="B331" s="1086" t="s">
        <v>3372</v>
      </c>
      <c r="C331" s="1087" t="s">
        <v>3373</v>
      </c>
      <c r="D331" s="1042">
        <f>+SUM('Alimentazione SP P'!H273:H292)</f>
        <v>1138421</v>
      </c>
      <c r="E331" s="1042">
        <f>+SUM('Alimentazione SP P'!I273:I292)</f>
        <v>947875</v>
      </c>
      <c r="F331" s="207"/>
      <c r="G331" s="1071"/>
      <c r="J331" s="1028"/>
      <c r="K331" s="1028"/>
    </row>
    <row r="332" spans="1:11" s="1044" customFormat="1" ht="13.8">
      <c r="A332" s="1094"/>
      <c r="B332" s="1023" t="s">
        <v>3374</v>
      </c>
      <c r="C332" s="1024" t="s">
        <v>3375</v>
      </c>
      <c r="D332" s="1056">
        <f>+D333+D336</f>
        <v>9225</v>
      </c>
      <c r="E332" s="1056">
        <f>+E333+E336</f>
        <v>9290</v>
      </c>
      <c r="F332" s="1026"/>
      <c r="G332" s="1043"/>
      <c r="J332" s="1028"/>
      <c r="K332" s="1028"/>
    </row>
    <row r="333" spans="1:11" s="1044" customFormat="1" ht="13.8">
      <c r="A333" s="1039"/>
      <c r="B333" s="1102" t="s">
        <v>3376</v>
      </c>
      <c r="C333" s="1103" t="s">
        <v>3377</v>
      </c>
      <c r="D333" s="1042">
        <f>+D334+D335</f>
        <v>9225</v>
      </c>
      <c r="E333" s="1042">
        <f>+E334+E335</f>
        <v>9279</v>
      </c>
      <c r="F333" s="1026"/>
      <c r="G333" s="1043"/>
      <c r="J333" s="1028"/>
      <c r="K333" s="1028"/>
    </row>
    <row r="334" spans="1:11" s="1044" customFormat="1" ht="13.8">
      <c r="A334" s="1039"/>
      <c r="B334" s="1046" t="s">
        <v>3378</v>
      </c>
      <c r="C334" s="1047" t="s">
        <v>3379</v>
      </c>
      <c r="D334" s="1042">
        <f>+'Alimentazione SP P'!H295</f>
        <v>9196</v>
      </c>
      <c r="E334" s="1042">
        <f>+'Alimentazione SP P'!I295</f>
        <v>9279</v>
      </c>
      <c r="F334" s="1026"/>
      <c r="G334" s="1043"/>
      <c r="J334" s="1028"/>
      <c r="K334" s="1028"/>
    </row>
    <row r="335" spans="1:11" s="1044" customFormat="1" ht="13.8">
      <c r="A335" s="1088" t="s">
        <v>1545</v>
      </c>
      <c r="B335" s="1046" t="s">
        <v>3380</v>
      </c>
      <c r="C335" s="1047" t="s">
        <v>3381</v>
      </c>
      <c r="D335" s="1042">
        <f>+'Alimentazione SP P'!H296</f>
        <v>29</v>
      </c>
      <c r="E335" s="1042">
        <f>+'Alimentazione SP P'!I296</f>
        <v>0</v>
      </c>
      <c r="F335" s="1026"/>
      <c r="G335" s="1043"/>
      <c r="J335" s="1028"/>
      <c r="K335" s="1028"/>
    </row>
    <row r="336" spans="1:11" s="1044" customFormat="1" ht="13.8">
      <c r="A336" s="1039"/>
      <c r="B336" s="1102" t="s">
        <v>3382</v>
      </c>
      <c r="C336" s="1103" t="s">
        <v>3383</v>
      </c>
      <c r="D336" s="1042">
        <f>+D337+D338+D339</f>
        <v>0</v>
      </c>
      <c r="E336" s="1042">
        <f>+E337+E338+E339</f>
        <v>11</v>
      </c>
      <c r="F336" s="1026"/>
      <c r="G336" s="1043"/>
      <c r="J336" s="1028"/>
      <c r="K336" s="1028"/>
    </row>
    <row r="337" spans="1:30" s="1044" customFormat="1" ht="13.8">
      <c r="A337" s="1039"/>
      <c r="B337" s="1046" t="s">
        <v>3384</v>
      </c>
      <c r="C337" s="1047" t="s">
        <v>3385</v>
      </c>
      <c r="D337" s="1042">
        <f>+'Alimentazione SP P'!H298</f>
        <v>0</v>
      </c>
      <c r="E337" s="1042">
        <f>+'Alimentazione SP P'!I298</f>
        <v>0</v>
      </c>
      <c r="F337" s="1026"/>
      <c r="G337" s="1043"/>
      <c r="J337" s="1028"/>
      <c r="K337" s="1028"/>
    </row>
    <row r="338" spans="1:30" s="1044" customFormat="1" ht="13.8">
      <c r="A338" s="1137" t="s">
        <v>1545</v>
      </c>
      <c r="B338" s="1119" t="s">
        <v>3386</v>
      </c>
      <c r="C338" s="1120" t="s">
        <v>3387</v>
      </c>
      <c r="D338" s="1042">
        <f>+'Alimentazione SP P'!H299</f>
        <v>0</v>
      </c>
      <c r="E338" s="1042">
        <f>+'Alimentazione SP P'!I299</f>
        <v>11</v>
      </c>
      <c r="F338" s="1026"/>
      <c r="G338" s="1043"/>
      <c r="J338" s="1028"/>
      <c r="K338" s="1028"/>
    </row>
    <row r="339" spans="1:30" s="1070" customFormat="1" ht="39.6">
      <c r="A339" s="1039"/>
      <c r="B339" s="1046" t="s">
        <v>3388</v>
      </c>
      <c r="C339" s="1047" t="s">
        <v>3389</v>
      </c>
      <c r="D339" s="1042">
        <f>+'Alimentazione SP P'!H300</f>
        <v>0</v>
      </c>
      <c r="E339" s="1042">
        <f>+'Alimentazione SP P'!I300</f>
        <v>0</v>
      </c>
      <c r="F339" s="1026"/>
      <c r="G339" s="1043"/>
      <c r="J339" s="1028"/>
      <c r="K339" s="1028"/>
    </row>
    <row r="340" spans="1:30" s="1044" customFormat="1" ht="14.4" thickBot="1">
      <c r="A340" s="1090"/>
      <c r="B340" s="1138" t="s">
        <v>3390</v>
      </c>
      <c r="C340" s="1139" t="s">
        <v>3391</v>
      </c>
      <c r="D340" s="1140">
        <f>+D332+D275+D271+D238+D214</f>
        <v>90366700</v>
      </c>
      <c r="E340" s="1140">
        <f>+E332+E275+E271+E238+E214</f>
        <v>76968767</v>
      </c>
      <c r="F340" s="1026"/>
      <c r="G340" s="1043"/>
      <c r="J340" s="1028"/>
      <c r="K340" s="1028"/>
    </row>
    <row r="341" spans="1:30" s="1044" customFormat="1" ht="13.8">
      <c r="A341" s="1094"/>
      <c r="B341" s="1023" t="s">
        <v>3392</v>
      </c>
      <c r="C341" s="1095" t="s">
        <v>3393</v>
      </c>
      <c r="D341" s="1096">
        <f>+D342+D343+D344+D345+D346</f>
        <v>2825073</v>
      </c>
      <c r="E341" s="1096">
        <f>+E342+E343+E344+E345+E346</f>
        <v>2782163</v>
      </c>
      <c r="F341" s="1026"/>
      <c r="G341" s="1043"/>
      <c r="J341" s="1028"/>
      <c r="K341" s="1028"/>
    </row>
    <row r="342" spans="1:30" s="1044" customFormat="1" ht="13.8">
      <c r="A342" s="1039"/>
      <c r="B342" s="1097" t="s">
        <v>3394</v>
      </c>
      <c r="C342" s="1098" t="s">
        <v>3395</v>
      </c>
      <c r="D342" s="1042">
        <f>+'Alimentazione SP P'!H307</f>
        <v>42910</v>
      </c>
      <c r="E342" s="1042">
        <f>+'Alimentazione SP P'!I307</f>
        <v>0</v>
      </c>
      <c r="F342" s="1026"/>
      <c r="G342" s="1043"/>
      <c r="J342" s="1028"/>
      <c r="K342" s="1028"/>
    </row>
    <row r="343" spans="1:30" s="1044" customFormat="1" ht="13.8">
      <c r="A343" s="1039"/>
      <c r="B343" s="1097" t="s">
        <v>3396</v>
      </c>
      <c r="C343" s="1098" t="s">
        <v>3397</v>
      </c>
      <c r="D343" s="1042">
        <f>+'Alimentazione SP P'!H308</f>
        <v>0</v>
      </c>
      <c r="E343" s="1042">
        <f>+'Alimentazione SP P'!I308</f>
        <v>0</v>
      </c>
      <c r="F343" s="1026"/>
      <c r="G343" s="1043"/>
      <c r="J343" s="1028"/>
      <c r="K343" s="1028"/>
    </row>
    <row r="344" spans="1:30" s="1044" customFormat="1" ht="13.8">
      <c r="A344" s="1039"/>
      <c r="B344" s="1097" t="s">
        <v>3398</v>
      </c>
      <c r="C344" s="1098" t="s">
        <v>3399</v>
      </c>
      <c r="D344" s="1042">
        <f>+'Alimentazione SP P'!H309</f>
        <v>0</v>
      </c>
      <c r="E344" s="1042">
        <f>+'Alimentazione SP P'!I309</f>
        <v>0</v>
      </c>
      <c r="F344" s="1026"/>
      <c r="G344" s="1043"/>
      <c r="J344" s="1028"/>
      <c r="K344" s="1028"/>
    </row>
    <row r="345" spans="1:30" s="1044" customFormat="1" ht="13.8">
      <c r="A345" s="1099"/>
      <c r="B345" s="1097" t="s">
        <v>3400</v>
      </c>
      <c r="C345" s="1098" t="s">
        <v>3401</v>
      </c>
      <c r="D345" s="1042">
        <f>+'Alimentazione SP P'!H310</f>
        <v>0</v>
      </c>
      <c r="E345" s="1042">
        <f>+'Alimentazione SP P'!I310</f>
        <v>0</v>
      </c>
      <c r="F345" s="1026"/>
      <c r="G345" s="1043"/>
      <c r="J345" s="1028"/>
      <c r="K345" s="1028"/>
    </row>
    <row r="346" spans="1:30" s="1044" customFormat="1" ht="14.4" thickBot="1">
      <c r="A346" s="1049"/>
      <c r="B346" s="1100" t="s">
        <v>3402</v>
      </c>
      <c r="C346" s="1101" t="s">
        <v>3403</v>
      </c>
      <c r="D346" s="1141">
        <f>+'Alimentazione SP P'!H312+'Alimentazione SP P'!H313+'Alimentazione SP P'!H314+'Alimentazione SP P'!H315+'Alimentazione SP P'!H316+'Alimentazione SP P'!H317+'Alimentazione SP P'!H318</f>
        <v>2782163</v>
      </c>
      <c r="E346" s="1141">
        <f>+'Alimentazione SP P'!I312+'Alimentazione SP P'!I313+'Alimentazione SP P'!I314+'Alimentazione SP P'!I315+'Alimentazione SP P'!I316+'Alimentazione SP P'!I317+'Alimentazione SP P'!I318</f>
        <v>2782163</v>
      </c>
      <c r="F346" s="1026"/>
      <c r="G346" s="1043"/>
      <c r="J346" s="1028"/>
      <c r="K346" s="1028"/>
    </row>
    <row r="347" spans="1:30" s="1145" customFormat="1" ht="13.8">
      <c r="A347" s="1142"/>
      <c r="B347" s="1142"/>
      <c r="C347" s="90"/>
      <c r="D347" s="1143"/>
      <c r="E347" s="90"/>
      <c r="F347" s="99"/>
      <c r="G347" s="1144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</row>
    <row r="348" spans="1:30" s="1145" customFormat="1">
      <c r="A348" s="1142"/>
      <c r="B348" s="1146" t="s">
        <v>2113</v>
      </c>
      <c r="C348" s="1146"/>
      <c r="D348" s="1147"/>
      <c r="E348" s="90"/>
      <c r="F348" s="99"/>
      <c r="G348" s="1144"/>
      <c r="H348" s="90"/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</row>
    <row r="349" spans="1:30" s="1145" customFormat="1">
      <c r="A349" s="1146"/>
      <c r="B349" s="1148"/>
      <c r="D349" s="1149"/>
      <c r="E349" s="90"/>
      <c r="F349" s="99"/>
      <c r="G349" s="1144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</row>
    <row r="350" spans="1:30" s="1145" customFormat="1">
      <c r="A350" s="1146"/>
      <c r="B350" s="1146"/>
      <c r="C350" s="1146"/>
      <c r="D350" s="1149"/>
      <c r="E350" s="1146"/>
      <c r="F350" s="1150"/>
      <c r="G350" s="1151"/>
      <c r="H350" s="1146"/>
      <c r="I350" s="1146"/>
      <c r="J350" s="1146"/>
      <c r="K350" s="1146"/>
      <c r="L350" s="1146"/>
      <c r="M350" s="1146"/>
      <c r="N350" s="1146"/>
      <c r="O350" s="1146"/>
      <c r="P350" s="1146"/>
      <c r="Q350" s="1146"/>
      <c r="R350" s="1146"/>
      <c r="S350" s="1146"/>
      <c r="T350" s="1146"/>
      <c r="U350" s="1146"/>
      <c r="V350" s="1146"/>
      <c r="W350" s="1146"/>
      <c r="X350" s="1146"/>
      <c r="Y350" s="1146"/>
      <c r="Z350" s="1146"/>
      <c r="AA350" s="1146"/>
      <c r="AB350" s="1146"/>
      <c r="AC350" s="1146"/>
      <c r="AD350" s="1146"/>
    </row>
    <row r="351" spans="1:30" s="1145" customFormat="1" ht="15" customHeight="1">
      <c r="A351" s="1152"/>
      <c r="B351" s="1152" t="s">
        <v>2114</v>
      </c>
      <c r="C351" s="1153"/>
      <c r="D351" s="1149"/>
      <c r="E351" s="1153"/>
      <c r="F351" s="1020"/>
      <c r="G351" s="1154"/>
      <c r="H351" s="1153"/>
      <c r="I351" s="1153"/>
      <c r="L351" s="1153"/>
      <c r="N351" s="1153"/>
      <c r="O351" s="1153"/>
      <c r="P351" s="1153" t="s">
        <v>2115</v>
      </c>
      <c r="Q351" s="1153"/>
      <c r="R351" s="1153"/>
      <c r="S351" s="1153"/>
      <c r="T351" s="1153"/>
      <c r="U351" s="1153"/>
      <c r="V351" s="1153"/>
      <c r="W351" s="1153"/>
      <c r="X351" s="1153"/>
      <c r="Y351" s="1153"/>
      <c r="Z351" s="1153"/>
      <c r="AA351" s="1153"/>
      <c r="AB351" s="1153"/>
      <c r="AC351" s="1153"/>
      <c r="AD351" s="1155"/>
    </row>
    <row r="352" spans="1:30" s="1145" customFormat="1">
      <c r="A352" s="1142"/>
      <c r="B352" s="1146"/>
      <c r="C352" s="1146"/>
      <c r="D352" s="1149"/>
      <c r="E352" s="1146"/>
      <c r="F352" s="1150"/>
      <c r="G352" s="1151"/>
      <c r="H352" s="1146"/>
      <c r="I352" s="1146"/>
      <c r="J352" s="1146"/>
      <c r="K352" s="1146"/>
      <c r="L352" s="1146"/>
      <c r="M352" s="1146"/>
      <c r="N352" s="1146"/>
      <c r="O352" s="1146"/>
      <c r="P352" s="1146"/>
      <c r="Q352" s="1146"/>
      <c r="R352" s="1146"/>
      <c r="S352" s="1146"/>
      <c r="T352" s="1146"/>
      <c r="U352" s="1146"/>
      <c r="V352" s="1146"/>
      <c r="W352" s="1146"/>
      <c r="X352" s="1146"/>
      <c r="Y352" s="1146"/>
      <c r="Z352" s="1146"/>
      <c r="AA352" s="1146"/>
      <c r="AB352" s="1146"/>
      <c r="AC352" s="1146"/>
      <c r="AD352" s="1146"/>
    </row>
    <row r="353" spans="1:30" s="1145" customFormat="1">
      <c r="A353" s="1142"/>
      <c r="B353" s="1152" t="s">
        <v>2116</v>
      </c>
      <c r="C353" s="90"/>
      <c r="D353" s="1147"/>
      <c r="E353" s="90"/>
      <c r="F353" s="99"/>
      <c r="G353" s="1144"/>
      <c r="H353" s="90"/>
      <c r="I353" s="90"/>
      <c r="L353" s="1153" t="s">
        <v>2116</v>
      </c>
      <c r="M353" s="1153"/>
      <c r="N353" s="1153"/>
      <c r="O353" s="1153"/>
      <c r="P353" s="1153"/>
      <c r="Q353" s="1153"/>
      <c r="R353" s="1153"/>
      <c r="S353" s="1153"/>
      <c r="T353" s="1153"/>
      <c r="U353" s="1153"/>
      <c r="V353" s="1153"/>
      <c r="W353" s="1153"/>
      <c r="X353" s="1153"/>
      <c r="Y353" s="1153"/>
      <c r="Z353" s="1153"/>
      <c r="AA353" s="1153"/>
      <c r="AB353" s="1153"/>
      <c r="AC353" s="1153"/>
      <c r="AD353" s="1155"/>
    </row>
    <row r="354" spans="1:30" s="1145" customFormat="1">
      <c r="A354" s="1142"/>
      <c r="B354" s="1146"/>
      <c r="C354" s="1146"/>
      <c r="D354" s="1149"/>
      <c r="E354" s="1146"/>
      <c r="F354" s="1150"/>
      <c r="G354" s="1151"/>
      <c r="H354" s="1146"/>
      <c r="I354" s="1146"/>
      <c r="J354" s="1146"/>
      <c r="K354" s="1146"/>
      <c r="L354" s="1146"/>
      <c r="M354" s="1146"/>
      <c r="N354" s="1146"/>
      <c r="O354" s="1146"/>
      <c r="P354" s="1146"/>
      <c r="Q354" s="1146"/>
      <c r="R354" s="1146"/>
      <c r="S354" s="1146"/>
      <c r="T354" s="1146"/>
      <c r="U354" s="1146"/>
      <c r="V354" s="1146"/>
      <c r="W354" s="1146"/>
      <c r="X354" s="1146"/>
      <c r="Y354" s="1146"/>
      <c r="Z354" s="1146"/>
      <c r="AA354" s="1146"/>
      <c r="AB354" s="1146"/>
      <c r="AC354" s="1146"/>
      <c r="AD354" s="1146"/>
    </row>
    <row r="355" spans="1:30" s="1145" customFormat="1">
      <c r="A355" s="1142"/>
      <c r="B355" s="1146"/>
      <c r="C355" s="1146"/>
      <c r="D355" s="1149"/>
      <c r="E355" s="1146"/>
      <c r="F355" s="1150"/>
      <c r="G355" s="1151"/>
      <c r="H355" s="1146"/>
      <c r="I355" s="1146"/>
      <c r="J355" s="1146"/>
      <c r="K355" s="1146"/>
      <c r="L355" s="1146"/>
      <c r="M355" s="1146"/>
      <c r="N355" s="1146"/>
      <c r="O355" s="1146"/>
      <c r="P355" s="1146"/>
      <c r="Q355" s="1146"/>
      <c r="R355" s="1146"/>
      <c r="S355" s="1146"/>
      <c r="T355" s="1146"/>
      <c r="U355" s="1146"/>
      <c r="V355" s="1146"/>
      <c r="W355" s="1146"/>
      <c r="X355" s="1146"/>
      <c r="Y355" s="1146"/>
      <c r="Z355" s="1146"/>
      <c r="AA355" s="1146"/>
      <c r="AB355" s="1146"/>
      <c r="AC355" s="1146"/>
      <c r="AD355" s="1146"/>
    </row>
    <row r="356" spans="1:30" s="1145" customFormat="1">
      <c r="A356" s="1142"/>
      <c r="B356" s="1146"/>
      <c r="C356" s="1146"/>
      <c r="D356" s="1149"/>
      <c r="E356" s="1146"/>
      <c r="F356" s="1150"/>
      <c r="G356" s="1151"/>
      <c r="H356" s="1146"/>
      <c r="I356" s="1146"/>
      <c r="J356" s="1146"/>
      <c r="K356" s="1146"/>
      <c r="L356" s="1146"/>
      <c r="M356" s="1146"/>
      <c r="N356" s="1146"/>
      <c r="O356" s="1146"/>
      <c r="P356" s="1146"/>
      <c r="Q356" s="1146"/>
      <c r="R356" s="1146"/>
      <c r="S356" s="1146"/>
      <c r="T356" s="1146"/>
      <c r="U356" s="1146"/>
      <c r="V356" s="1146"/>
      <c r="W356" s="1146"/>
      <c r="X356" s="1146"/>
      <c r="Y356" s="1146"/>
      <c r="Z356" s="1146"/>
      <c r="AA356" s="1146"/>
      <c r="AB356" s="1146"/>
      <c r="AC356" s="1146"/>
      <c r="AD356" s="1146"/>
    </row>
    <row r="357" spans="1:30" s="1145" customFormat="1">
      <c r="A357" s="1146"/>
      <c r="B357" s="1148"/>
      <c r="C357" s="1153"/>
      <c r="D357" s="1149"/>
      <c r="E357" s="1153"/>
      <c r="F357" s="1020"/>
      <c r="G357" s="1154"/>
      <c r="H357" s="1153"/>
      <c r="I357" s="1153"/>
      <c r="L357" s="1153"/>
      <c r="M357" s="1153"/>
      <c r="Q357" s="1153" t="s">
        <v>2117</v>
      </c>
      <c r="R357" s="1153"/>
      <c r="S357" s="1153"/>
      <c r="T357" s="1153"/>
      <c r="U357" s="1153"/>
      <c r="V357" s="1153"/>
      <c r="W357" s="1153"/>
      <c r="X357" s="1153"/>
      <c r="Y357" s="1153"/>
      <c r="Z357" s="1153"/>
      <c r="AA357" s="1153"/>
      <c r="AB357" s="1153"/>
      <c r="AC357" s="1153"/>
      <c r="AD357" s="1155"/>
    </row>
    <row r="358" spans="1:30" s="1145" customFormat="1">
      <c r="A358" s="1146"/>
      <c r="B358" s="1146"/>
      <c r="C358" s="1146"/>
      <c r="D358" s="1149"/>
      <c r="E358" s="1146"/>
      <c r="F358" s="1150"/>
      <c r="G358" s="1151"/>
      <c r="H358" s="1146"/>
      <c r="I358" s="1146"/>
      <c r="J358" s="1146"/>
      <c r="K358" s="1146"/>
      <c r="L358" s="1146"/>
      <c r="M358" s="1146"/>
      <c r="N358" s="1146"/>
      <c r="O358" s="1146"/>
      <c r="P358" s="1146"/>
      <c r="Q358" s="1146"/>
      <c r="R358" s="1146"/>
      <c r="S358" s="1146"/>
      <c r="T358" s="1146"/>
      <c r="U358" s="1146"/>
      <c r="V358" s="1146"/>
      <c r="W358" s="1146"/>
      <c r="X358" s="1146"/>
      <c r="Y358" s="1146"/>
      <c r="Z358" s="1146"/>
      <c r="AA358" s="1146"/>
      <c r="AB358" s="1146"/>
      <c r="AC358" s="1146"/>
      <c r="AD358" s="1146"/>
    </row>
    <row r="359" spans="1:30" s="1153" customFormat="1">
      <c r="A359" s="1146"/>
      <c r="B359" s="1146"/>
      <c r="C359" s="1152"/>
      <c r="D359" s="1149"/>
      <c r="F359" s="1020"/>
      <c r="G359" s="1154"/>
      <c r="L359" s="1153" t="s">
        <v>2116</v>
      </c>
      <c r="AD359" s="1155"/>
    </row>
    <row r="360" spans="1:30" s="1157" customFormat="1">
      <c r="A360" s="42"/>
      <c r="B360" s="42"/>
      <c r="C360" s="40"/>
      <c r="D360" s="974"/>
      <c r="E360" s="40"/>
      <c r="F360" s="975"/>
      <c r="G360" s="1156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</row>
    <row r="361" spans="1:30" s="1157" customFormat="1">
      <c r="A361" s="42"/>
      <c r="B361" s="42"/>
      <c r="C361" s="40"/>
      <c r="D361" s="974"/>
      <c r="E361" s="40"/>
      <c r="F361" s="975"/>
      <c r="G361" s="1156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</row>
    <row r="362" spans="1:30" s="1157" customFormat="1">
      <c r="A362" s="42"/>
      <c r="B362" s="42"/>
      <c r="C362" s="40"/>
      <c r="D362" s="974"/>
      <c r="E362" s="40"/>
      <c r="F362" s="975"/>
      <c r="G362" s="1156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</row>
    <row r="363" spans="1:30" s="1157" customFormat="1">
      <c r="A363" s="42"/>
      <c r="B363" s="42"/>
      <c r="C363" s="40"/>
      <c r="D363" s="974"/>
      <c r="E363" s="40"/>
      <c r="F363" s="975"/>
      <c r="G363" s="1156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</row>
    <row r="364" spans="1:30" s="1157" customFormat="1">
      <c r="A364" s="42"/>
      <c r="B364" s="42"/>
      <c r="C364" s="40"/>
      <c r="D364" s="974"/>
      <c r="E364" s="40"/>
      <c r="F364" s="975"/>
      <c r="G364" s="1156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</row>
    <row r="365" spans="1:30" s="1157" customFormat="1">
      <c r="A365" s="42"/>
      <c r="B365" s="42"/>
      <c r="C365" s="40"/>
      <c r="D365" s="974"/>
      <c r="E365" s="40"/>
      <c r="F365" s="975"/>
      <c r="G365" s="1156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</row>
    <row r="366" spans="1:30" s="1157" customFormat="1">
      <c r="A366" s="42"/>
      <c r="B366" s="42"/>
      <c r="C366" s="40"/>
      <c r="D366" s="974"/>
      <c r="E366" s="40"/>
      <c r="F366" s="975"/>
      <c r="G366" s="1156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</row>
    <row r="367" spans="1:30" s="1157" customFormat="1">
      <c r="A367" s="42"/>
      <c r="B367" s="42"/>
      <c r="C367" s="40"/>
      <c r="D367" s="974"/>
      <c r="E367" s="40"/>
      <c r="F367" s="975"/>
      <c r="G367" s="1156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</row>
    <row r="368" spans="1:30" s="1157" customFormat="1">
      <c r="A368" s="42"/>
      <c r="B368" s="42"/>
      <c r="C368" s="40"/>
      <c r="D368" s="974"/>
      <c r="E368" s="40"/>
      <c r="F368" s="975"/>
      <c r="G368" s="1156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</row>
    <row r="369" spans="1:27" s="1157" customFormat="1">
      <c r="A369" s="42"/>
      <c r="B369" s="42"/>
      <c r="C369" s="40"/>
      <c r="D369" s="974"/>
      <c r="E369" s="40"/>
      <c r="F369" s="975"/>
      <c r="G369" s="1156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</row>
    <row r="370" spans="1:27" s="1157" customFormat="1">
      <c r="A370" s="42"/>
      <c r="B370" s="42"/>
      <c r="C370" s="40"/>
      <c r="D370" s="974"/>
      <c r="E370" s="40"/>
      <c r="F370" s="975"/>
      <c r="G370" s="1156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</row>
    <row r="371" spans="1:27" s="1157" customFormat="1">
      <c r="A371" s="42"/>
      <c r="B371" s="42"/>
      <c r="C371" s="40"/>
      <c r="D371" s="974"/>
      <c r="E371" s="40"/>
      <c r="F371" s="975"/>
      <c r="G371" s="1156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</row>
    <row r="372" spans="1:27" s="1157" customFormat="1">
      <c r="A372" s="42"/>
      <c r="B372" s="42"/>
      <c r="C372" s="40"/>
      <c r="D372" s="974"/>
      <c r="E372" s="40"/>
      <c r="F372" s="975"/>
      <c r="G372" s="1156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</row>
    <row r="373" spans="1:27" s="1157" customFormat="1">
      <c r="A373" s="42"/>
      <c r="B373" s="42"/>
      <c r="C373" s="40"/>
      <c r="D373" s="974"/>
      <c r="E373" s="40"/>
      <c r="F373" s="975"/>
      <c r="G373" s="1156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</row>
    <row r="374" spans="1:27" s="1157" customFormat="1">
      <c r="A374" s="42"/>
      <c r="B374" s="42"/>
      <c r="C374" s="40"/>
      <c r="D374" s="974"/>
      <c r="E374" s="40"/>
      <c r="F374" s="975"/>
      <c r="G374" s="1156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</row>
    <row r="375" spans="1:27" s="1157" customFormat="1">
      <c r="A375" s="42"/>
      <c r="B375" s="42"/>
      <c r="C375" s="40"/>
      <c r="D375" s="974"/>
      <c r="E375" s="40"/>
      <c r="F375" s="975"/>
      <c r="G375" s="1156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</row>
    <row r="376" spans="1:27" s="1157" customFormat="1">
      <c r="A376" s="42"/>
      <c r="B376" s="42"/>
      <c r="C376" s="40"/>
      <c r="D376" s="974"/>
      <c r="E376" s="40"/>
      <c r="F376" s="975"/>
      <c r="G376" s="1156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</row>
    <row r="377" spans="1:27" s="1157" customFormat="1">
      <c r="A377" s="42"/>
      <c r="B377" s="42"/>
      <c r="C377" s="40"/>
      <c r="D377" s="974"/>
      <c r="E377" s="40"/>
      <c r="F377" s="975"/>
      <c r="G377" s="1156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</row>
    <row r="378" spans="1:27" s="1157" customFormat="1">
      <c r="A378" s="42"/>
      <c r="B378" s="42"/>
      <c r="C378" s="40"/>
      <c r="D378" s="974"/>
      <c r="E378" s="40"/>
      <c r="F378" s="975"/>
      <c r="G378" s="1156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</row>
    <row r="379" spans="1:27" s="1157" customFormat="1">
      <c r="A379" s="42"/>
      <c r="B379" s="42"/>
      <c r="C379" s="40"/>
      <c r="D379" s="974"/>
      <c r="E379" s="40"/>
      <c r="F379" s="975"/>
      <c r="G379" s="1156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</row>
    <row r="380" spans="1:27" s="1157" customFormat="1">
      <c r="A380" s="42"/>
      <c r="B380" s="42"/>
      <c r="C380" s="40"/>
      <c r="D380" s="974"/>
      <c r="E380" s="40"/>
      <c r="F380" s="975"/>
      <c r="G380" s="1156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</row>
    <row r="381" spans="1:27" s="1157" customFormat="1">
      <c r="A381" s="42"/>
      <c r="B381" s="42"/>
      <c r="C381" s="40"/>
      <c r="D381" s="974"/>
      <c r="E381" s="40"/>
      <c r="F381" s="975"/>
      <c r="G381" s="1156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</row>
    <row r="382" spans="1:27" s="1157" customFormat="1">
      <c r="A382" s="42"/>
      <c r="B382" s="42"/>
      <c r="C382" s="40"/>
      <c r="D382" s="974"/>
      <c r="E382" s="40"/>
      <c r="F382" s="975"/>
      <c r="G382" s="1156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</row>
    <row r="383" spans="1:27" s="1157" customFormat="1">
      <c r="A383" s="42"/>
      <c r="B383" s="42"/>
      <c r="C383" s="40"/>
      <c r="D383" s="974"/>
      <c r="E383" s="40"/>
      <c r="F383" s="975"/>
      <c r="G383" s="1156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</row>
    <row r="384" spans="1:27" s="1157" customFormat="1">
      <c r="A384" s="42"/>
      <c r="B384" s="42"/>
      <c r="C384" s="40"/>
      <c r="D384" s="974"/>
      <c r="E384" s="40"/>
      <c r="F384" s="975"/>
      <c r="G384" s="1156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</row>
    <row r="385" spans="1:27" s="1157" customFormat="1">
      <c r="A385" s="42"/>
      <c r="B385" s="42"/>
      <c r="C385" s="40"/>
      <c r="D385" s="974"/>
      <c r="E385" s="40"/>
      <c r="F385" s="975"/>
      <c r="G385" s="1156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</row>
    <row r="386" spans="1:27" s="1157" customFormat="1">
      <c r="A386" s="42"/>
      <c r="B386" s="42"/>
      <c r="C386" s="40"/>
      <c r="D386" s="974"/>
      <c r="E386" s="40"/>
      <c r="F386" s="975"/>
      <c r="G386" s="1156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</row>
    <row r="387" spans="1:27" s="1157" customFormat="1">
      <c r="A387" s="42"/>
      <c r="B387" s="42"/>
      <c r="C387" s="40"/>
      <c r="D387" s="974"/>
      <c r="E387" s="40"/>
      <c r="F387" s="975"/>
      <c r="G387" s="1156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</row>
    <row r="388" spans="1:27" s="1157" customFormat="1">
      <c r="A388" s="42"/>
      <c r="B388" s="42"/>
      <c r="C388" s="40"/>
      <c r="D388" s="974"/>
      <c r="E388" s="40"/>
      <c r="F388" s="975"/>
      <c r="G388" s="1156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</row>
    <row r="389" spans="1:27" s="1157" customFormat="1">
      <c r="A389" s="42"/>
      <c r="B389" s="42"/>
      <c r="C389" s="40"/>
      <c r="D389" s="974"/>
      <c r="E389" s="40"/>
      <c r="F389" s="975"/>
      <c r="G389" s="1156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</row>
    <row r="390" spans="1:27" s="1157" customFormat="1">
      <c r="A390" s="42"/>
      <c r="B390" s="42"/>
      <c r="C390" s="40"/>
      <c r="D390" s="974"/>
      <c r="E390" s="40"/>
      <c r="F390" s="975"/>
      <c r="G390" s="1156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</row>
    <row r="391" spans="1:27" s="1157" customFormat="1">
      <c r="A391" s="42"/>
      <c r="B391" s="42"/>
      <c r="C391" s="40"/>
      <c r="D391" s="974"/>
      <c r="E391" s="40"/>
      <c r="F391" s="975"/>
      <c r="G391" s="1156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</row>
    <row r="392" spans="1:27" s="1157" customFormat="1">
      <c r="A392" s="42"/>
      <c r="B392" s="42"/>
      <c r="C392" s="40"/>
      <c r="D392" s="974"/>
      <c r="E392" s="40"/>
      <c r="F392" s="975"/>
      <c r="G392" s="1156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</row>
    <row r="393" spans="1:27" s="1157" customFormat="1">
      <c r="A393" s="42"/>
      <c r="B393" s="42"/>
      <c r="C393" s="40"/>
      <c r="D393" s="974"/>
      <c r="E393" s="40"/>
      <c r="F393" s="975"/>
      <c r="G393" s="1156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</row>
    <row r="394" spans="1:27" s="1157" customFormat="1">
      <c r="A394" s="42"/>
      <c r="B394" s="42"/>
      <c r="C394" s="40"/>
      <c r="D394" s="974"/>
      <c r="E394" s="40"/>
      <c r="F394" s="975"/>
      <c r="G394" s="1156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</row>
    <row r="395" spans="1:27" s="1157" customFormat="1">
      <c r="A395" s="42"/>
      <c r="B395" s="42"/>
      <c r="C395" s="40"/>
      <c r="D395" s="974"/>
      <c r="E395" s="40"/>
      <c r="F395" s="975"/>
      <c r="G395" s="1156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</row>
    <row r="396" spans="1:27" s="1157" customFormat="1">
      <c r="A396" s="42"/>
      <c r="B396" s="42"/>
      <c r="C396" s="40"/>
      <c r="D396" s="974"/>
      <c r="E396" s="40"/>
      <c r="F396" s="975"/>
      <c r="G396" s="1156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</row>
    <row r="397" spans="1:27" s="1157" customFormat="1">
      <c r="A397" s="42"/>
      <c r="B397" s="42"/>
      <c r="C397" s="40"/>
      <c r="D397" s="974"/>
      <c r="E397" s="40"/>
      <c r="F397" s="975"/>
      <c r="G397" s="1156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</row>
    <row r="398" spans="1:27" s="1157" customFormat="1">
      <c r="A398" s="42"/>
      <c r="B398" s="42"/>
      <c r="C398" s="40"/>
      <c r="D398" s="974"/>
      <c r="E398" s="40"/>
      <c r="F398" s="975"/>
      <c r="G398" s="1156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</row>
    <row r="399" spans="1:27" s="1157" customFormat="1">
      <c r="A399" s="42"/>
      <c r="B399" s="42"/>
      <c r="C399" s="40"/>
      <c r="D399" s="974"/>
      <c r="E399" s="40"/>
      <c r="F399" s="975"/>
      <c r="G399" s="1156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</row>
    <row r="400" spans="1:27" s="1157" customFormat="1">
      <c r="A400" s="42"/>
      <c r="B400" s="42"/>
      <c r="C400" s="40"/>
      <c r="D400" s="974"/>
      <c r="E400" s="40"/>
      <c r="F400" s="975"/>
      <c r="G400" s="1156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</row>
    <row r="401" spans="1:27" s="1157" customFormat="1">
      <c r="A401" s="42"/>
      <c r="B401" s="42"/>
      <c r="C401" s="40"/>
      <c r="D401" s="974"/>
      <c r="E401" s="40"/>
      <c r="F401" s="975"/>
      <c r="G401" s="1156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</row>
    <row r="402" spans="1:27" s="1157" customFormat="1">
      <c r="A402" s="42"/>
      <c r="B402" s="42"/>
      <c r="C402" s="40"/>
      <c r="D402" s="974"/>
      <c r="E402" s="40"/>
      <c r="F402" s="975"/>
      <c r="G402" s="1156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</row>
    <row r="403" spans="1:27" s="1157" customFormat="1">
      <c r="A403" s="42"/>
      <c r="B403" s="42"/>
      <c r="C403" s="40"/>
      <c r="D403" s="974"/>
      <c r="E403" s="40"/>
      <c r="F403" s="975"/>
      <c r="G403" s="1156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</row>
    <row r="404" spans="1:27" s="1157" customFormat="1">
      <c r="A404" s="42"/>
      <c r="B404" s="42"/>
      <c r="C404" s="40"/>
      <c r="D404" s="974"/>
      <c r="E404" s="40"/>
      <c r="F404" s="975"/>
      <c r="G404" s="1156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</row>
    <row r="405" spans="1:27" s="1157" customFormat="1">
      <c r="A405" s="42"/>
      <c r="B405" s="42"/>
      <c r="C405" s="40"/>
      <c r="D405" s="974"/>
      <c r="E405" s="40"/>
      <c r="F405" s="975"/>
      <c r="G405" s="1156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</row>
    <row r="406" spans="1:27" s="1157" customFormat="1">
      <c r="A406" s="42"/>
      <c r="B406" s="42"/>
      <c r="C406" s="40"/>
      <c r="D406" s="974"/>
      <c r="E406" s="40"/>
      <c r="F406" s="975"/>
      <c r="G406" s="1156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</row>
    <row r="407" spans="1:27" s="1157" customFormat="1">
      <c r="A407" s="42"/>
      <c r="B407" s="42"/>
      <c r="C407" s="40"/>
      <c r="D407" s="974"/>
      <c r="E407" s="40"/>
      <c r="F407" s="975"/>
      <c r="G407" s="1156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</row>
    <row r="408" spans="1:27" s="1157" customFormat="1">
      <c r="A408" s="42"/>
      <c r="B408" s="42"/>
      <c r="C408" s="40"/>
      <c r="D408" s="974"/>
      <c r="E408" s="40"/>
      <c r="F408" s="975"/>
      <c r="G408" s="1156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</row>
    <row r="409" spans="1:27" s="1157" customFormat="1">
      <c r="A409" s="42"/>
      <c r="B409" s="42"/>
      <c r="C409" s="40"/>
      <c r="D409" s="974"/>
      <c r="E409" s="40"/>
      <c r="F409" s="975"/>
      <c r="G409" s="1156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</row>
    <row r="410" spans="1:27" s="1157" customFormat="1">
      <c r="A410" s="42"/>
      <c r="B410" s="42"/>
      <c r="C410" s="40"/>
      <c r="D410" s="974"/>
      <c r="E410" s="40"/>
      <c r="F410" s="975"/>
      <c r="G410" s="1156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</row>
    <row r="411" spans="1:27" s="1157" customFormat="1">
      <c r="A411" s="42"/>
      <c r="B411" s="42"/>
      <c r="C411" s="40"/>
      <c r="D411" s="974"/>
      <c r="E411" s="40"/>
      <c r="F411" s="975"/>
      <c r="G411" s="1156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</row>
    <row r="412" spans="1:27" s="1157" customFormat="1">
      <c r="A412" s="42"/>
      <c r="B412" s="42"/>
      <c r="C412" s="40"/>
      <c r="D412" s="974"/>
      <c r="E412" s="40"/>
      <c r="F412" s="975"/>
      <c r="G412" s="1156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</row>
    <row r="413" spans="1:27" s="1157" customFormat="1">
      <c r="A413" s="42"/>
      <c r="B413" s="42"/>
      <c r="C413" s="40"/>
      <c r="D413" s="974"/>
      <c r="E413" s="40"/>
      <c r="F413" s="975"/>
      <c r="G413" s="1156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</row>
    <row r="414" spans="1:27" s="1157" customFormat="1">
      <c r="A414" s="42"/>
      <c r="B414" s="42"/>
      <c r="C414" s="40"/>
      <c r="D414" s="974"/>
      <c r="E414" s="40"/>
      <c r="F414" s="975"/>
      <c r="G414" s="1156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</row>
    <row r="415" spans="1:27" s="1157" customFormat="1">
      <c r="A415" s="42"/>
      <c r="B415" s="42"/>
      <c r="C415" s="40"/>
      <c r="D415" s="974"/>
      <c r="E415" s="40"/>
      <c r="F415" s="975"/>
      <c r="G415" s="1156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</row>
    <row r="416" spans="1:27" s="1157" customFormat="1">
      <c r="A416" s="42"/>
      <c r="B416" s="42"/>
      <c r="C416" s="40"/>
      <c r="D416" s="974"/>
      <c r="E416" s="40"/>
      <c r="F416" s="975"/>
      <c r="G416" s="1156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</row>
    <row r="417" spans="1:27" s="1157" customFormat="1">
      <c r="A417" s="42"/>
      <c r="B417" s="42"/>
      <c r="C417" s="40"/>
      <c r="D417" s="974"/>
      <c r="E417" s="40"/>
      <c r="F417" s="975"/>
      <c r="G417" s="1156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  <c r="AA417" s="40"/>
    </row>
    <row r="418" spans="1:27" s="1157" customFormat="1">
      <c r="A418" s="42"/>
      <c r="B418" s="42"/>
      <c r="C418" s="40"/>
      <c r="D418" s="974"/>
      <c r="E418" s="40"/>
      <c r="F418" s="975"/>
      <c r="G418" s="1156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</row>
    <row r="419" spans="1:27" s="1157" customFormat="1">
      <c r="A419" s="42"/>
      <c r="B419" s="42"/>
      <c r="C419" s="40"/>
      <c r="D419" s="974"/>
      <c r="E419" s="40"/>
      <c r="F419" s="975"/>
      <c r="G419" s="1156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</row>
    <row r="420" spans="1:27" s="1157" customFormat="1">
      <c r="A420" s="42"/>
      <c r="B420" s="42"/>
      <c r="C420" s="40"/>
      <c r="D420" s="974"/>
      <c r="E420" s="40"/>
      <c r="F420" s="975"/>
      <c r="G420" s="1156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</row>
    <row r="421" spans="1:27" s="1157" customFormat="1">
      <c r="A421" s="42"/>
      <c r="B421" s="42"/>
      <c r="C421" s="40"/>
      <c r="D421" s="974"/>
      <c r="E421" s="40"/>
      <c r="F421" s="975"/>
      <c r="G421" s="1156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</row>
    <row r="422" spans="1:27" s="1157" customFormat="1">
      <c r="A422" s="42"/>
      <c r="B422" s="42"/>
      <c r="C422" s="40"/>
      <c r="D422" s="974"/>
      <c r="E422" s="40"/>
      <c r="F422" s="975"/>
      <c r="G422" s="1156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</row>
    <row r="423" spans="1:27" s="1157" customFormat="1">
      <c r="A423" s="42"/>
      <c r="B423" s="42"/>
      <c r="C423" s="40"/>
      <c r="D423" s="974"/>
      <c r="E423" s="40"/>
      <c r="F423" s="975"/>
      <c r="G423" s="1156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</row>
    <row r="424" spans="1:27" s="1157" customFormat="1">
      <c r="A424" s="42"/>
      <c r="B424" s="42"/>
      <c r="C424" s="40"/>
      <c r="D424" s="974"/>
      <c r="E424" s="40"/>
      <c r="F424" s="975"/>
      <c r="G424" s="1156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</row>
    <row r="425" spans="1:27" s="1157" customFormat="1">
      <c r="A425" s="42"/>
      <c r="B425" s="42"/>
      <c r="C425" s="40"/>
      <c r="D425" s="974"/>
      <c r="E425" s="40"/>
      <c r="F425" s="975"/>
      <c r="G425" s="1156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</row>
    <row r="426" spans="1:27" s="1157" customFormat="1">
      <c r="A426" s="42"/>
      <c r="B426" s="42"/>
      <c r="C426" s="40"/>
      <c r="D426" s="974"/>
      <c r="E426" s="40"/>
      <c r="F426" s="975"/>
      <c r="G426" s="1156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  <c r="AA426" s="40"/>
    </row>
    <row r="427" spans="1:27" s="1157" customFormat="1">
      <c r="A427" s="42"/>
      <c r="B427" s="42"/>
      <c r="C427" s="40"/>
      <c r="D427" s="974"/>
      <c r="E427" s="40"/>
      <c r="F427" s="975"/>
      <c r="G427" s="1156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  <c r="AA427" s="40"/>
    </row>
    <row r="428" spans="1:27" s="1157" customFormat="1">
      <c r="A428" s="42"/>
      <c r="B428" s="42"/>
      <c r="C428" s="40"/>
      <c r="D428" s="974"/>
      <c r="E428" s="40"/>
      <c r="F428" s="975"/>
      <c r="G428" s="1156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  <c r="AA428" s="40"/>
    </row>
    <row r="429" spans="1:27" s="1157" customFormat="1">
      <c r="A429" s="42"/>
      <c r="B429" s="42"/>
      <c r="C429" s="40"/>
      <c r="D429" s="974"/>
      <c r="E429" s="40"/>
      <c r="F429" s="975"/>
      <c r="G429" s="1156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  <c r="AA429" s="40"/>
    </row>
    <row r="430" spans="1:27" s="1157" customFormat="1">
      <c r="A430" s="42"/>
      <c r="B430" s="42"/>
      <c r="C430" s="40"/>
      <c r="D430" s="974"/>
      <c r="E430" s="40"/>
      <c r="F430" s="975"/>
      <c r="G430" s="1156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</row>
    <row r="431" spans="1:27" s="1157" customFormat="1">
      <c r="A431" s="42"/>
      <c r="B431" s="42"/>
      <c r="C431" s="40"/>
      <c r="D431" s="974"/>
      <c r="E431" s="40"/>
      <c r="F431" s="975"/>
      <c r="G431" s="1156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</row>
    <row r="432" spans="1:27" s="1157" customFormat="1">
      <c r="A432" s="42"/>
      <c r="B432" s="42"/>
      <c r="C432" s="40"/>
      <c r="D432" s="974"/>
      <c r="E432" s="40"/>
      <c r="F432" s="975"/>
      <c r="G432" s="1156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</row>
    <row r="433" spans="1:27" s="1157" customFormat="1">
      <c r="A433" s="42"/>
      <c r="B433" s="42"/>
      <c r="C433" s="40"/>
      <c r="D433" s="974"/>
      <c r="E433" s="40"/>
      <c r="F433" s="975"/>
      <c r="G433" s="1156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  <c r="AA433" s="40"/>
    </row>
    <row r="434" spans="1:27" s="1157" customFormat="1">
      <c r="A434" s="42"/>
      <c r="B434" s="42"/>
      <c r="C434" s="40"/>
      <c r="D434" s="974"/>
      <c r="E434" s="40"/>
      <c r="F434" s="975"/>
      <c r="G434" s="1156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  <c r="AA434" s="40"/>
    </row>
    <row r="435" spans="1:27" s="1157" customFormat="1">
      <c r="A435" s="42"/>
      <c r="B435" s="42"/>
      <c r="C435" s="40"/>
      <c r="D435" s="974"/>
      <c r="E435" s="40"/>
      <c r="F435" s="975"/>
      <c r="G435" s="1156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  <c r="AA435" s="40"/>
    </row>
    <row r="436" spans="1:27" s="1157" customFormat="1">
      <c r="A436" s="42"/>
      <c r="B436" s="42"/>
      <c r="C436" s="40"/>
      <c r="D436" s="974"/>
      <c r="E436" s="40"/>
      <c r="F436" s="975"/>
      <c r="G436" s="1156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  <c r="AA436" s="40"/>
    </row>
    <row r="437" spans="1:27" s="1157" customFormat="1">
      <c r="A437" s="42"/>
      <c r="B437" s="42"/>
      <c r="C437" s="40"/>
      <c r="D437" s="974"/>
      <c r="E437" s="40"/>
      <c r="F437" s="975"/>
      <c r="G437" s="1156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</row>
    <row r="438" spans="1:27" s="1157" customFormat="1">
      <c r="A438" s="42"/>
      <c r="B438" s="42"/>
      <c r="C438" s="40"/>
      <c r="D438" s="974"/>
      <c r="E438" s="40"/>
      <c r="F438" s="975"/>
      <c r="G438" s="1156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</row>
    <row r="439" spans="1:27" s="1157" customFormat="1">
      <c r="A439" s="42"/>
      <c r="B439" s="42"/>
      <c r="C439" s="40"/>
      <c r="D439" s="974"/>
      <c r="E439" s="40"/>
      <c r="F439" s="975"/>
      <c r="G439" s="1156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</row>
    <row r="440" spans="1:27" s="1157" customFormat="1">
      <c r="A440" s="42"/>
      <c r="B440" s="42"/>
      <c r="C440" s="40"/>
      <c r="D440" s="974"/>
      <c r="E440" s="40"/>
      <c r="F440" s="975"/>
      <c r="G440" s="1156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</row>
    <row r="441" spans="1:27" s="1157" customFormat="1">
      <c r="A441" s="42"/>
      <c r="B441" s="42"/>
      <c r="C441" s="40"/>
      <c r="D441" s="974"/>
      <c r="E441" s="40"/>
      <c r="F441" s="975"/>
      <c r="G441" s="1156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</row>
    <row r="442" spans="1:27" s="1157" customFormat="1">
      <c r="A442" s="42"/>
      <c r="B442" s="42"/>
      <c r="C442" s="40"/>
      <c r="D442" s="974"/>
      <c r="E442" s="40"/>
      <c r="F442" s="975"/>
      <c r="G442" s="1156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</row>
    <row r="443" spans="1:27" s="1157" customFormat="1">
      <c r="A443" s="42"/>
      <c r="B443" s="42"/>
      <c r="C443" s="40"/>
      <c r="D443" s="974"/>
      <c r="E443" s="40"/>
      <c r="F443" s="975"/>
      <c r="G443" s="1156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</row>
    <row r="444" spans="1:27" s="1157" customFormat="1">
      <c r="A444" s="42"/>
      <c r="B444" s="42"/>
      <c r="C444" s="40"/>
      <c r="D444" s="974"/>
      <c r="E444" s="40"/>
      <c r="F444" s="975"/>
      <c r="G444" s="1156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</row>
    <row r="445" spans="1:27" s="1157" customFormat="1">
      <c r="A445" s="42"/>
      <c r="B445" s="42"/>
      <c r="C445" s="40"/>
      <c r="D445" s="974"/>
      <c r="E445" s="40"/>
      <c r="F445" s="975"/>
      <c r="G445" s="1156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</row>
    <row r="446" spans="1:27" s="1157" customFormat="1">
      <c r="A446" s="42"/>
      <c r="B446" s="42"/>
      <c r="C446" s="40"/>
      <c r="D446" s="974"/>
      <c r="E446" s="40"/>
      <c r="F446" s="975"/>
      <c r="G446" s="1156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  <c r="AA446" s="40"/>
    </row>
    <row r="447" spans="1:27" s="1157" customFormat="1">
      <c r="A447" s="42"/>
      <c r="B447" s="42"/>
      <c r="C447" s="40"/>
      <c r="D447" s="974"/>
      <c r="E447" s="40"/>
      <c r="F447" s="975"/>
      <c r="G447" s="1156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  <c r="AA447" s="40"/>
    </row>
    <row r="448" spans="1:27" s="1157" customFormat="1">
      <c r="A448" s="42"/>
      <c r="B448" s="42"/>
      <c r="C448" s="40"/>
      <c r="D448" s="974"/>
      <c r="E448" s="40"/>
      <c r="F448" s="975"/>
      <c r="G448" s="1156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  <c r="AA448" s="40"/>
    </row>
    <row r="449" spans="1:27" s="1157" customFormat="1">
      <c r="A449" s="42"/>
      <c r="B449" s="42"/>
      <c r="C449" s="40"/>
      <c r="D449" s="974"/>
      <c r="E449" s="40"/>
      <c r="F449" s="975"/>
      <c r="G449" s="1156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</row>
    <row r="450" spans="1:27" s="1157" customFormat="1">
      <c r="A450" s="42"/>
      <c r="B450" s="42"/>
      <c r="C450" s="40"/>
      <c r="D450" s="974"/>
      <c r="E450" s="40"/>
      <c r="F450" s="975"/>
      <c r="G450" s="1156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</row>
    <row r="451" spans="1:27" s="1157" customFormat="1">
      <c r="A451" s="42"/>
      <c r="B451" s="42"/>
      <c r="C451" s="40"/>
      <c r="D451" s="974"/>
      <c r="E451" s="40"/>
      <c r="F451" s="975"/>
      <c r="G451" s="1156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</row>
    <row r="452" spans="1:27" s="1157" customFormat="1">
      <c r="A452" s="42"/>
      <c r="B452" s="42"/>
      <c r="C452" s="40"/>
      <c r="D452" s="974"/>
      <c r="E452" s="40"/>
      <c r="F452" s="975"/>
      <c r="G452" s="1156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</row>
    <row r="453" spans="1:27" s="1157" customFormat="1">
      <c r="A453" s="42"/>
      <c r="B453" s="42"/>
      <c r="C453" s="40"/>
      <c r="D453" s="974"/>
      <c r="E453" s="40"/>
      <c r="F453" s="975"/>
      <c r="G453" s="1156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</row>
    <row r="454" spans="1:27" s="1157" customFormat="1">
      <c r="A454" s="42"/>
      <c r="B454" s="42"/>
      <c r="C454" s="40"/>
      <c r="D454" s="974"/>
      <c r="E454" s="40"/>
      <c r="F454" s="975"/>
      <c r="G454" s="1156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</row>
    <row r="455" spans="1:27" s="1157" customFormat="1">
      <c r="A455" s="42"/>
      <c r="B455" s="42"/>
      <c r="C455" s="40"/>
      <c r="D455" s="974"/>
      <c r="E455" s="40"/>
      <c r="F455" s="975"/>
      <c r="G455" s="1156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</row>
    <row r="456" spans="1:27" s="1157" customFormat="1">
      <c r="A456" s="42"/>
      <c r="B456" s="42"/>
      <c r="C456" s="40"/>
      <c r="D456" s="974"/>
      <c r="E456" s="40"/>
      <c r="F456" s="975"/>
      <c r="G456" s="1156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</row>
    <row r="457" spans="1:27" s="1157" customFormat="1">
      <c r="A457" s="42"/>
      <c r="B457" s="42"/>
      <c r="C457" s="40"/>
      <c r="D457" s="974"/>
      <c r="E457" s="40"/>
      <c r="F457" s="975"/>
      <c r="G457" s="1156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  <c r="AA457" s="40"/>
    </row>
    <row r="458" spans="1:27" s="1157" customFormat="1">
      <c r="A458" s="42"/>
      <c r="B458" s="42"/>
      <c r="C458" s="40"/>
      <c r="D458" s="974"/>
      <c r="E458" s="40"/>
      <c r="F458" s="975"/>
      <c r="G458" s="1156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  <c r="AA458" s="40"/>
    </row>
    <row r="459" spans="1:27" s="1157" customFormat="1">
      <c r="A459" s="42"/>
      <c r="B459" s="42"/>
      <c r="C459" s="40"/>
      <c r="D459" s="974"/>
      <c r="E459" s="40"/>
      <c r="F459" s="975"/>
      <c r="G459" s="1156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  <c r="AA459" s="40"/>
    </row>
    <row r="460" spans="1:27" s="1157" customFormat="1">
      <c r="A460" s="42"/>
      <c r="B460" s="42"/>
      <c r="C460" s="40"/>
      <c r="D460" s="974"/>
      <c r="E460" s="40"/>
      <c r="F460" s="975"/>
      <c r="G460" s="1156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  <c r="AA460" s="40"/>
    </row>
    <row r="461" spans="1:27" s="1157" customFormat="1">
      <c r="A461" s="42"/>
      <c r="B461" s="42"/>
      <c r="C461" s="40"/>
      <c r="D461" s="974"/>
      <c r="E461" s="40"/>
      <c r="F461" s="975"/>
      <c r="G461" s="1156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</row>
    <row r="462" spans="1:27" s="1157" customFormat="1">
      <c r="A462" s="42"/>
      <c r="B462" s="42"/>
      <c r="C462" s="40"/>
      <c r="D462" s="974"/>
      <c r="E462" s="40"/>
      <c r="F462" s="975"/>
      <c r="G462" s="1156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</row>
    <row r="463" spans="1:27" s="1157" customFormat="1">
      <c r="A463" s="42"/>
      <c r="B463" s="42"/>
      <c r="C463" s="40"/>
      <c r="D463" s="974"/>
      <c r="E463" s="40"/>
      <c r="F463" s="975"/>
      <c r="G463" s="1156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</row>
    <row r="464" spans="1:27" s="1157" customFormat="1">
      <c r="A464" s="42"/>
      <c r="B464" s="42"/>
      <c r="C464" s="40"/>
      <c r="D464" s="974"/>
      <c r="E464" s="40"/>
      <c r="F464" s="975"/>
      <c r="G464" s="1156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  <c r="AA464" s="40"/>
    </row>
    <row r="465" spans="1:27" s="1157" customFormat="1">
      <c r="A465" s="42"/>
      <c r="B465" s="42"/>
      <c r="C465" s="40"/>
      <c r="D465" s="974"/>
      <c r="E465" s="40"/>
      <c r="F465" s="975"/>
      <c r="G465" s="1156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  <c r="AA465" s="40"/>
    </row>
    <row r="466" spans="1:27" s="1157" customFormat="1">
      <c r="A466" s="42"/>
      <c r="B466" s="42"/>
      <c r="C466" s="40"/>
      <c r="D466" s="974"/>
      <c r="E466" s="40"/>
      <c r="F466" s="975"/>
      <c r="G466" s="1156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  <c r="AA466" s="40"/>
    </row>
    <row r="467" spans="1:27" s="1157" customFormat="1">
      <c r="A467" s="42"/>
      <c r="B467" s="42"/>
      <c r="C467" s="40"/>
      <c r="D467" s="974"/>
      <c r="E467" s="40"/>
      <c r="F467" s="975"/>
      <c r="G467" s="1156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  <c r="AA467" s="40"/>
    </row>
    <row r="468" spans="1:27" s="1157" customFormat="1">
      <c r="A468" s="42"/>
      <c r="B468" s="42"/>
      <c r="C468" s="40"/>
      <c r="D468" s="974"/>
      <c r="E468" s="40"/>
      <c r="F468" s="975"/>
      <c r="G468" s="1156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  <c r="AA468" s="40"/>
    </row>
    <row r="469" spans="1:27" s="1157" customFormat="1">
      <c r="A469" s="42"/>
      <c r="B469" s="42"/>
      <c r="C469" s="40"/>
      <c r="D469" s="974"/>
      <c r="E469" s="40"/>
      <c r="F469" s="975"/>
      <c r="G469" s="1156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  <c r="AA469" s="40"/>
    </row>
    <row r="470" spans="1:27" s="1157" customFormat="1">
      <c r="A470" s="42"/>
      <c r="B470" s="42"/>
      <c r="C470" s="40"/>
      <c r="D470" s="974"/>
      <c r="E470" s="40"/>
      <c r="F470" s="975"/>
      <c r="G470" s="1156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  <c r="AA470" s="40"/>
    </row>
    <row r="471" spans="1:27" s="1157" customFormat="1">
      <c r="A471" s="42"/>
      <c r="B471" s="42"/>
      <c r="C471" s="40"/>
      <c r="D471" s="974"/>
      <c r="E471" s="40"/>
      <c r="F471" s="975"/>
      <c r="G471" s="1156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  <c r="AA471" s="40"/>
    </row>
    <row r="472" spans="1:27" s="1157" customFormat="1">
      <c r="A472" s="42"/>
      <c r="B472" s="42"/>
      <c r="C472" s="40"/>
      <c r="D472" s="974"/>
      <c r="E472" s="40"/>
      <c r="F472" s="975"/>
      <c r="G472" s="1156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  <c r="AA472" s="40"/>
    </row>
    <row r="473" spans="1:27" s="1157" customFormat="1">
      <c r="A473" s="42"/>
      <c r="B473" s="42"/>
      <c r="C473" s="40"/>
      <c r="D473" s="974"/>
      <c r="E473" s="40"/>
      <c r="F473" s="975"/>
      <c r="G473" s="1156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  <c r="AA473" s="40"/>
    </row>
    <row r="474" spans="1:27" s="1157" customFormat="1">
      <c r="A474" s="42"/>
      <c r="B474" s="42"/>
      <c r="C474" s="40"/>
      <c r="D474" s="974"/>
      <c r="E474" s="40"/>
      <c r="F474" s="975"/>
      <c r="G474" s="1156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  <c r="AA474" s="40"/>
    </row>
    <row r="475" spans="1:27" s="1157" customFormat="1">
      <c r="A475" s="42"/>
      <c r="B475" s="42"/>
      <c r="C475" s="40"/>
      <c r="D475" s="974"/>
      <c r="E475" s="40"/>
      <c r="F475" s="975"/>
      <c r="G475" s="1156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</row>
    <row r="476" spans="1:27" s="1157" customFormat="1">
      <c r="A476" s="42"/>
      <c r="B476" s="42"/>
      <c r="C476" s="40"/>
      <c r="D476" s="974"/>
      <c r="E476" s="40"/>
      <c r="F476" s="975"/>
      <c r="G476" s="1156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</row>
    <row r="477" spans="1:27" s="1157" customFormat="1">
      <c r="A477" s="42"/>
      <c r="B477" s="42"/>
      <c r="C477" s="40"/>
      <c r="D477" s="974"/>
      <c r="E477" s="40"/>
      <c r="F477" s="975"/>
      <c r="G477" s="1156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</row>
    <row r="478" spans="1:27" s="1157" customFormat="1">
      <c r="A478" s="42"/>
      <c r="B478" s="42"/>
      <c r="C478" s="40"/>
      <c r="D478" s="974"/>
      <c r="E478" s="40"/>
      <c r="F478" s="975"/>
      <c r="G478" s="1156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</row>
    <row r="479" spans="1:27" s="1157" customFormat="1">
      <c r="A479" s="42"/>
      <c r="B479" s="42"/>
      <c r="C479" s="40"/>
      <c r="D479" s="974"/>
      <c r="E479" s="40"/>
      <c r="F479" s="975"/>
      <c r="G479" s="1156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</row>
    <row r="480" spans="1:27" s="1157" customFormat="1">
      <c r="A480" s="42"/>
      <c r="B480" s="42"/>
      <c r="C480" s="40"/>
      <c r="D480" s="974"/>
      <c r="E480" s="40"/>
      <c r="F480" s="975"/>
      <c r="G480" s="1156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</row>
    <row r="481" spans="1:27" s="1157" customFormat="1">
      <c r="A481" s="42"/>
      <c r="B481" s="42"/>
      <c r="C481" s="40"/>
      <c r="D481" s="974"/>
      <c r="E481" s="40"/>
      <c r="F481" s="975"/>
      <c r="G481" s="1156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</row>
    <row r="482" spans="1:27" s="1157" customFormat="1">
      <c r="A482" s="42"/>
      <c r="B482" s="42"/>
      <c r="C482" s="40"/>
      <c r="D482" s="974"/>
      <c r="E482" s="40"/>
      <c r="F482" s="975"/>
      <c r="G482" s="1156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</row>
    <row r="483" spans="1:27" s="1157" customFormat="1">
      <c r="A483" s="42"/>
      <c r="B483" s="42"/>
      <c r="C483" s="40"/>
      <c r="D483" s="974"/>
      <c r="E483" s="40"/>
      <c r="F483" s="975"/>
      <c r="G483" s="1156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</row>
    <row r="484" spans="1:27" s="1157" customFormat="1">
      <c r="A484" s="42"/>
      <c r="B484" s="42"/>
      <c r="C484" s="40"/>
      <c r="D484" s="974"/>
      <c r="E484" s="40"/>
      <c r="F484" s="975"/>
      <c r="G484" s="1156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</row>
    <row r="485" spans="1:27" s="1157" customFormat="1">
      <c r="A485" s="42"/>
      <c r="B485" s="42"/>
      <c r="C485" s="40"/>
      <c r="D485" s="974"/>
      <c r="E485" s="40"/>
      <c r="F485" s="975"/>
      <c r="G485" s="1156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</row>
    <row r="486" spans="1:27" s="1157" customFormat="1">
      <c r="A486" s="42"/>
      <c r="B486" s="42"/>
      <c r="C486" s="40"/>
      <c r="D486" s="974"/>
      <c r="E486" s="40"/>
      <c r="F486" s="975"/>
      <c r="G486" s="1156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</row>
    <row r="487" spans="1:27" s="1157" customFormat="1">
      <c r="A487" s="42"/>
      <c r="B487" s="42"/>
      <c r="C487" s="40"/>
      <c r="D487" s="974"/>
      <c r="E487" s="40"/>
      <c r="F487" s="975"/>
      <c r="G487" s="1156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</row>
    <row r="488" spans="1:27" s="1157" customFormat="1">
      <c r="A488" s="42"/>
      <c r="B488" s="42"/>
      <c r="C488" s="40"/>
      <c r="D488" s="974"/>
      <c r="E488" s="40"/>
      <c r="F488" s="975"/>
      <c r="G488" s="1156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</row>
    <row r="489" spans="1:27" s="1157" customFormat="1">
      <c r="A489" s="42"/>
      <c r="B489" s="42"/>
      <c r="C489" s="40"/>
      <c r="D489" s="974"/>
      <c r="E489" s="40"/>
      <c r="F489" s="975"/>
      <c r="G489" s="1156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</row>
    <row r="490" spans="1:27" s="1157" customFormat="1">
      <c r="A490" s="42"/>
      <c r="B490" s="42"/>
      <c r="C490" s="40"/>
      <c r="D490" s="974"/>
      <c r="E490" s="40"/>
      <c r="F490" s="975"/>
      <c r="G490" s="1156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</row>
    <row r="491" spans="1:27" s="1157" customFormat="1">
      <c r="A491" s="42"/>
      <c r="B491" s="42"/>
      <c r="C491" s="40"/>
      <c r="D491" s="974"/>
      <c r="E491" s="40"/>
      <c r="F491" s="975"/>
      <c r="G491" s="1156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</row>
    <row r="492" spans="1:27" s="1157" customFormat="1">
      <c r="A492" s="42"/>
      <c r="B492" s="42"/>
      <c r="C492" s="40"/>
      <c r="D492" s="974"/>
      <c r="E492" s="40"/>
      <c r="F492" s="975"/>
      <c r="G492" s="1156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</row>
    <row r="493" spans="1:27" s="1157" customFormat="1">
      <c r="A493" s="42"/>
      <c r="B493" s="42"/>
      <c r="C493" s="40"/>
      <c r="D493" s="974"/>
      <c r="E493" s="40"/>
      <c r="F493" s="975"/>
      <c r="G493" s="1156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</row>
    <row r="494" spans="1:27" s="1157" customFormat="1">
      <c r="A494" s="42"/>
      <c r="B494" s="42"/>
      <c r="C494" s="40"/>
      <c r="D494" s="974"/>
      <c r="E494" s="40"/>
      <c r="F494" s="975"/>
      <c r="G494" s="1156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</row>
    <row r="495" spans="1:27" s="1157" customFormat="1">
      <c r="A495" s="42"/>
      <c r="B495" s="42"/>
      <c r="C495" s="40"/>
      <c r="D495" s="974"/>
      <c r="E495" s="40"/>
      <c r="F495" s="975"/>
      <c r="G495" s="1156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</row>
    <row r="496" spans="1:27" s="1157" customFormat="1">
      <c r="A496" s="42"/>
      <c r="B496" s="42"/>
      <c r="C496" s="40"/>
      <c r="D496" s="974"/>
      <c r="E496" s="40"/>
      <c r="F496" s="975"/>
      <c r="G496" s="1156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</row>
    <row r="497" spans="1:27" s="1157" customFormat="1">
      <c r="A497" s="42"/>
      <c r="B497" s="42"/>
      <c r="C497" s="40"/>
      <c r="D497" s="974"/>
      <c r="E497" s="40"/>
      <c r="F497" s="975"/>
      <c r="G497" s="1156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</row>
    <row r="498" spans="1:27" s="1157" customFormat="1">
      <c r="A498" s="42"/>
      <c r="B498" s="42"/>
      <c r="C498" s="40"/>
      <c r="D498" s="974"/>
      <c r="E498" s="40"/>
      <c r="F498" s="975"/>
      <c r="G498" s="1156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</row>
    <row r="499" spans="1:27" s="1157" customFormat="1">
      <c r="A499" s="42"/>
      <c r="B499" s="42"/>
      <c r="C499" s="40"/>
      <c r="D499" s="974"/>
      <c r="E499" s="40"/>
      <c r="F499" s="975"/>
      <c r="G499" s="1156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</row>
    <row r="500" spans="1:27" s="1157" customFormat="1">
      <c r="A500" s="42"/>
      <c r="B500" s="42"/>
      <c r="C500" s="40"/>
      <c r="D500" s="974"/>
      <c r="E500" s="40"/>
      <c r="F500" s="975"/>
      <c r="G500" s="1156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</row>
    <row r="501" spans="1:27" s="1157" customFormat="1">
      <c r="A501" s="42"/>
      <c r="B501" s="42"/>
      <c r="C501" s="40"/>
      <c r="D501" s="974"/>
      <c r="E501" s="40"/>
      <c r="F501" s="975"/>
      <c r="G501" s="1156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</row>
    <row r="502" spans="1:27" s="1157" customFormat="1">
      <c r="A502" s="42"/>
      <c r="B502" s="42"/>
      <c r="C502" s="40"/>
      <c r="D502" s="974"/>
      <c r="E502" s="40"/>
      <c r="F502" s="975"/>
      <c r="G502" s="1156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</row>
    <row r="503" spans="1:27" s="1157" customFormat="1">
      <c r="A503" s="42"/>
      <c r="B503" s="42"/>
      <c r="C503" s="40"/>
      <c r="D503" s="974"/>
      <c r="E503" s="40"/>
      <c r="F503" s="975"/>
      <c r="G503" s="1156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</row>
    <row r="504" spans="1:27" s="1157" customFormat="1">
      <c r="A504" s="42"/>
      <c r="B504" s="42"/>
      <c r="C504" s="40"/>
      <c r="D504" s="974"/>
      <c r="E504" s="40"/>
      <c r="F504" s="975"/>
      <c r="G504" s="1156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</row>
    <row r="505" spans="1:27" s="1157" customFormat="1">
      <c r="A505" s="42"/>
      <c r="B505" s="42"/>
      <c r="C505" s="40"/>
      <c r="D505" s="974"/>
      <c r="E505" s="40"/>
      <c r="F505" s="975"/>
      <c r="G505" s="1156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</row>
    <row r="506" spans="1:27" s="1157" customFormat="1">
      <c r="A506" s="42"/>
      <c r="B506" s="42"/>
      <c r="C506" s="40"/>
      <c r="D506" s="974"/>
      <c r="E506" s="40"/>
      <c r="F506" s="975"/>
      <c r="G506" s="1156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</row>
    <row r="507" spans="1:27" s="1157" customFormat="1">
      <c r="A507" s="42"/>
      <c r="B507" s="42"/>
      <c r="C507" s="40"/>
      <c r="D507" s="974"/>
      <c r="E507" s="40"/>
      <c r="F507" s="975"/>
      <c r="G507" s="1156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</row>
    <row r="508" spans="1:27" s="1157" customFormat="1">
      <c r="A508" s="42"/>
      <c r="B508" s="42"/>
      <c r="C508" s="40"/>
      <c r="D508" s="974"/>
      <c r="E508" s="40"/>
      <c r="F508" s="975"/>
      <c r="G508" s="1156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</row>
    <row r="509" spans="1:27" s="1157" customFormat="1">
      <c r="A509" s="42"/>
      <c r="B509" s="42"/>
      <c r="C509" s="40"/>
      <c r="D509" s="974"/>
      <c r="E509" s="40"/>
      <c r="F509" s="975"/>
      <c r="G509" s="1156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</row>
    <row r="510" spans="1:27" s="1157" customFormat="1">
      <c r="A510" s="42"/>
      <c r="B510" s="42"/>
      <c r="C510" s="40"/>
      <c r="D510" s="974"/>
      <c r="E510" s="40"/>
      <c r="F510" s="975"/>
      <c r="G510" s="1156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</row>
    <row r="511" spans="1:27" s="1157" customFormat="1">
      <c r="A511" s="42"/>
      <c r="B511" s="42"/>
      <c r="C511" s="40"/>
      <c r="D511" s="974"/>
      <c r="E511" s="40"/>
      <c r="F511" s="975"/>
      <c r="G511" s="1156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</row>
    <row r="512" spans="1:27" s="1157" customFormat="1">
      <c r="A512" s="42"/>
      <c r="B512" s="42"/>
      <c r="C512" s="40"/>
      <c r="D512" s="974"/>
      <c r="E512" s="40"/>
      <c r="F512" s="975"/>
      <c r="G512" s="1156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</row>
    <row r="513" spans="1:27" s="1157" customFormat="1">
      <c r="A513" s="42"/>
      <c r="B513" s="42"/>
      <c r="C513" s="40"/>
      <c r="D513" s="974"/>
      <c r="E513" s="40"/>
      <c r="F513" s="975"/>
      <c r="G513" s="1156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</row>
    <row r="514" spans="1:27" s="1157" customFormat="1">
      <c r="A514" s="42"/>
      <c r="B514" s="42"/>
      <c r="C514" s="40"/>
      <c r="D514" s="974"/>
      <c r="E514" s="40"/>
      <c r="F514" s="975"/>
      <c r="G514" s="1156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</row>
    <row r="515" spans="1:27" s="1157" customFormat="1">
      <c r="A515" s="42"/>
      <c r="B515" s="42"/>
      <c r="C515" s="40"/>
      <c r="D515" s="974"/>
      <c r="E515" s="40"/>
      <c r="F515" s="975"/>
      <c r="G515" s="1156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</row>
    <row r="516" spans="1:27" s="1157" customFormat="1">
      <c r="A516" s="42"/>
      <c r="B516" s="42"/>
      <c r="C516" s="40"/>
      <c r="D516" s="974"/>
      <c r="E516" s="40"/>
      <c r="F516" s="975"/>
      <c r="G516" s="1156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</row>
    <row r="517" spans="1:27" s="1157" customFormat="1">
      <c r="A517" s="42"/>
      <c r="B517" s="42"/>
      <c r="C517" s="40"/>
      <c r="D517" s="974"/>
      <c r="E517" s="40"/>
      <c r="F517" s="975"/>
      <c r="G517" s="1156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</row>
    <row r="518" spans="1:27" s="1157" customFormat="1">
      <c r="A518" s="42"/>
      <c r="B518" s="42"/>
      <c r="C518" s="40"/>
      <c r="D518" s="974"/>
      <c r="E518" s="40"/>
      <c r="F518" s="975"/>
      <c r="G518" s="1156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</row>
    <row r="519" spans="1:27" s="1157" customFormat="1">
      <c r="A519" s="42"/>
      <c r="B519" s="42"/>
      <c r="C519" s="40"/>
      <c r="D519" s="974"/>
      <c r="E519" s="40"/>
      <c r="F519" s="975"/>
      <c r="G519" s="1156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</row>
    <row r="520" spans="1:27" s="1157" customFormat="1">
      <c r="A520" s="42"/>
      <c r="B520" s="42"/>
      <c r="C520" s="40"/>
      <c r="D520" s="974"/>
      <c r="E520" s="40"/>
      <c r="F520" s="975"/>
      <c r="G520" s="1156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</row>
    <row r="521" spans="1:27" s="1157" customFormat="1">
      <c r="A521" s="42"/>
      <c r="B521" s="42"/>
      <c r="C521" s="40"/>
      <c r="D521" s="974"/>
      <c r="E521" s="40"/>
      <c r="F521" s="975"/>
      <c r="G521" s="1156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</row>
    <row r="522" spans="1:27" s="1157" customFormat="1">
      <c r="A522" s="42"/>
      <c r="B522" s="42"/>
      <c r="C522" s="40"/>
      <c r="D522" s="974"/>
      <c r="E522" s="40"/>
      <c r="F522" s="975"/>
      <c r="G522" s="1156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</row>
    <row r="523" spans="1:27" s="1157" customFormat="1">
      <c r="A523" s="42"/>
      <c r="B523" s="42"/>
      <c r="C523" s="40"/>
      <c r="D523" s="974"/>
      <c r="E523" s="40"/>
      <c r="F523" s="975"/>
      <c r="G523" s="1156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</row>
    <row r="524" spans="1:27" s="1157" customFormat="1">
      <c r="A524" s="42"/>
      <c r="B524" s="42"/>
      <c r="C524" s="40"/>
      <c r="D524" s="974"/>
      <c r="E524" s="40"/>
      <c r="F524" s="975"/>
      <c r="G524" s="1156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</row>
    <row r="525" spans="1:27" s="1157" customFormat="1">
      <c r="A525" s="42"/>
      <c r="B525" s="42"/>
      <c r="C525" s="40"/>
      <c r="D525" s="974"/>
      <c r="E525" s="40"/>
      <c r="F525" s="975"/>
      <c r="G525" s="1156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</row>
    <row r="526" spans="1:27" s="1157" customFormat="1">
      <c r="A526" s="42"/>
      <c r="B526" s="42"/>
      <c r="C526" s="40"/>
      <c r="D526" s="974"/>
      <c r="E526" s="40"/>
      <c r="F526" s="975"/>
      <c r="G526" s="1156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</row>
    <row r="527" spans="1:27" s="1157" customFormat="1">
      <c r="A527" s="42"/>
      <c r="B527" s="42"/>
      <c r="C527" s="40"/>
      <c r="D527" s="974"/>
      <c r="E527" s="40"/>
      <c r="F527" s="975"/>
      <c r="G527" s="1156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</row>
    <row r="528" spans="1:27" s="1157" customFormat="1">
      <c r="A528" s="42"/>
      <c r="B528" s="42"/>
      <c r="C528" s="40"/>
      <c r="D528" s="974"/>
      <c r="E528" s="40"/>
      <c r="F528" s="975"/>
      <c r="G528" s="1156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</row>
    <row r="529" spans="1:27" s="1157" customFormat="1">
      <c r="A529" s="42"/>
      <c r="B529" s="42"/>
      <c r="C529" s="40"/>
      <c r="D529" s="974"/>
      <c r="E529" s="40"/>
      <c r="F529" s="975"/>
      <c r="G529" s="1156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</row>
    <row r="530" spans="1:27" s="1157" customFormat="1">
      <c r="A530" s="42"/>
      <c r="B530" s="42"/>
      <c r="C530" s="40"/>
      <c r="D530" s="974"/>
      <c r="E530" s="40"/>
      <c r="F530" s="975"/>
      <c r="G530" s="1156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</row>
    <row r="531" spans="1:27" s="1157" customFormat="1">
      <c r="A531" s="42"/>
      <c r="B531" s="42"/>
      <c r="C531" s="40"/>
      <c r="D531" s="974"/>
      <c r="E531" s="40"/>
      <c r="F531" s="975"/>
      <c r="G531" s="1156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</row>
    <row r="532" spans="1:27" s="1157" customFormat="1">
      <c r="A532" s="42"/>
      <c r="B532" s="42"/>
      <c r="C532" s="40"/>
      <c r="D532" s="974"/>
      <c r="E532" s="40"/>
      <c r="F532" s="975"/>
      <c r="G532" s="1156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</row>
    <row r="533" spans="1:27" s="1157" customFormat="1">
      <c r="A533" s="42"/>
      <c r="B533" s="42"/>
      <c r="C533" s="40"/>
      <c r="D533" s="974"/>
      <c r="E533" s="40"/>
      <c r="F533" s="975"/>
      <c r="G533" s="1156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</row>
    <row r="534" spans="1:27" s="1157" customFormat="1">
      <c r="A534" s="42"/>
      <c r="B534" s="42"/>
      <c r="C534" s="40"/>
      <c r="D534" s="974"/>
      <c r="E534" s="40"/>
      <c r="F534" s="975"/>
      <c r="G534" s="1156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</row>
    <row r="535" spans="1:27" s="1157" customFormat="1">
      <c r="A535" s="42"/>
      <c r="B535" s="42"/>
      <c r="C535" s="40"/>
      <c r="D535" s="974"/>
      <c r="E535" s="40"/>
      <c r="F535" s="975"/>
      <c r="G535" s="1156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</row>
    <row r="536" spans="1:27" s="1157" customFormat="1">
      <c r="A536" s="42"/>
      <c r="B536" s="42"/>
      <c r="C536" s="40"/>
      <c r="D536" s="974"/>
      <c r="E536" s="40"/>
      <c r="F536" s="975"/>
      <c r="G536" s="1156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</row>
    <row r="537" spans="1:27" s="1157" customFormat="1">
      <c r="A537" s="42"/>
      <c r="B537" s="42"/>
      <c r="C537" s="40"/>
      <c r="D537" s="974"/>
      <c r="E537" s="40"/>
      <c r="F537" s="975"/>
      <c r="G537" s="1156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</row>
    <row r="538" spans="1:27" s="1157" customFormat="1">
      <c r="A538" s="42"/>
      <c r="B538" s="42"/>
      <c r="C538" s="40"/>
      <c r="D538" s="974"/>
      <c r="E538" s="40"/>
      <c r="F538" s="975"/>
      <c r="G538" s="1156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</row>
    <row r="539" spans="1:27" s="1157" customFormat="1">
      <c r="A539" s="42"/>
      <c r="B539" s="42"/>
      <c r="C539" s="40"/>
      <c r="D539" s="974"/>
      <c r="E539" s="40"/>
      <c r="F539" s="975"/>
      <c r="G539" s="1156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</row>
    <row r="540" spans="1:27" s="1157" customFormat="1">
      <c r="A540" s="42"/>
      <c r="B540" s="42"/>
      <c r="C540" s="40"/>
      <c r="D540" s="974"/>
      <c r="E540" s="40"/>
      <c r="F540" s="975"/>
      <c r="G540" s="1156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</row>
    <row r="541" spans="1:27" s="1157" customFormat="1">
      <c r="A541" s="42"/>
      <c r="B541" s="42"/>
      <c r="C541" s="40"/>
      <c r="D541" s="974"/>
      <c r="E541" s="40"/>
      <c r="F541" s="975"/>
      <c r="G541" s="1156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</row>
    <row r="542" spans="1:27" s="1157" customFormat="1">
      <c r="A542" s="42"/>
      <c r="B542" s="42"/>
      <c r="C542" s="40"/>
      <c r="D542" s="974"/>
      <c r="E542" s="40"/>
      <c r="F542" s="975"/>
      <c r="G542" s="1156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</row>
    <row r="543" spans="1:27" s="1157" customFormat="1">
      <c r="A543" s="42"/>
      <c r="B543" s="42"/>
      <c r="C543" s="40"/>
      <c r="D543" s="974"/>
      <c r="E543" s="40"/>
      <c r="F543" s="975"/>
      <c r="G543" s="1156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</row>
    <row r="544" spans="1:27" s="1157" customFormat="1">
      <c r="A544" s="42"/>
      <c r="B544" s="42"/>
      <c r="C544" s="40"/>
      <c r="D544" s="974"/>
      <c r="E544" s="40"/>
      <c r="F544" s="975"/>
      <c r="G544" s="1156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</row>
    <row r="545" spans="1:27" s="1157" customFormat="1">
      <c r="A545" s="42"/>
      <c r="B545" s="42"/>
      <c r="C545" s="40"/>
      <c r="D545" s="974"/>
      <c r="E545" s="40"/>
      <c r="F545" s="975"/>
      <c r="G545" s="1156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</row>
    <row r="546" spans="1:27" s="1157" customFormat="1">
      <c r="A546" s="42"/>
      <c r="B546" s="42"/>
      <c r="C546" s="40"/>
      <c r="D546" s="974"/>
      <c r="E546" s="40"/>
      <c r="F546" s="975"/>
      <c r="G546" s="1156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</row>
    <row r="547" spans="1:27" s="1157" customFormat="1">
      <c r="A547" s="42"/>
      <c r="B547" s="42"/>
      <c r="C547" s="40"/>
      <c r="D547" s="974"/>
      <c r="E547" s="40"/>
      <c r="F547" s="975"/>
      <c r="G547" s="1156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</row>
    <row r="548" spans="1:27" s="1157" customFormat="1">
      <c r="A548" s="42"/>
      <c r="B548" s="42"/>
      <c r="C548" s="40"/>
      <c r="D548" s="974"/>
      <c r="E548" s="40"/>
      <c r="F548" s="975"/>
      <c r="G548" s="1156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</row>
    <row r="549" spans="1:27" s="1157" customFormat="1">
      <c r="A549" s="42"/>
      <c r="B549" s="42"/>
      <c r="C549" s="40"/>
      <c r="D549" s="974"/>
      <c r="E549" s="40"/>
      <c r="F549" s="975"/>
      <c r="G549" s="1156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</row>
    <row r="550" spans="1:27" s="1157" customFormat="1">
      <c r="A550" s="42"/>
      <c r="B550" s="42"/>
      <c r="C550" s="40"/>
      <c r="D550" s="974"/>
      <c r="E550" s="40"/>
      <c r="F550" s="975"/>
      <c r="G550" s="1156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</row>
    <row r="551" spans="1:27" s="1157" customFormat="1">
      <c r="A551" s="42"/>
      <c r="B551" s="42"/>
      <c r="C551" s="40"/>
      <c r="D551" s="974"/>
      <c r="E551" s="40"/>
      <c r="F551" s="975"/>
      <c r="G551" s="1156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  <c r="AA551" s="40"/>
    </row>
    <row r="552" spans="1:27" s="1157" customFormat="1">
      <c r="A552" s="42"/>
      <c r="B552" s="42"/>
      <c r="C552" s="40"/>
      <c r="D552" s="974"/>
      <c r="E552" s="40"/>
      <c r="F552" s="975"/>
      <c r="G552" s="1156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  <c r="AA552" s="40"/>
    </row>
    <row r="553" spans="1:27" s="1157" customFormat="1">
      <c r="A553" s="42"/>
      <c r="B553" s="42"/>
      <c r="C553" s="40"/>
      <c r="D553" s="974"/>
      <c r="E553" s="40"/>
      <c r="F553" s="975"/>
      <c r="G553" s="1156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</row>
    <row r="554" spans="1:27" s="1157" customFormat="1">
      <c r="A554" s="42"/>
      <c r="B554" s="42"/>
      <c r="C554" s="40"/>
      <c r="D554" s="974"/>
      <c r="E554" s="40"/>
      <c r="F554" s="975"/>
      <c r="G554" s="1156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</row>
    <row r="555" spans="1:27" s="1157" customFormat="1">
      <c r="A555" s="42"/>
      <c r="B555" s="42"/>
      <c r="C555" s="40"/>
      <c r="D555" s="974"/>
      <c r="E555" s="40"/>
      <c r="F555" s="975"/>
      <c r="G555" s="1156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</row>
    <row r="556" spans="1:27" s="1157" customFormat="1">
      <c r="A556" s="42"/>
      <c r="B556" s="42"/>
      <c r="C556" s="40"/>
      <c r="D556" s="974"/>
      <c r="E556" s="40"/>
      <c r="F556" s="975"/>
      <c r="G556" s="1156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</row>
    <row r="557" spans="1:27" s="1157" customFormat="1">
      <c r="A557" s="42"/>
      <c r="B557" s="42"/>
      <c r="C557" s="40"/>
      <c r="D557" s="974"/>
      <c r="E557" s="40"/>
      <c r="F557" s="975"/>
      <c r="G557" s="1156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</row>
    <row r="558" spans="1:27" s="1157" customFormat="1">
      <c r="A558" s="42"/>
      <c r="B558" s="42"/>
      <c r="C558" s="40"/>
      <c r="D558" s="974"/>
      <c r="E558" s="40"/>
      <c r="F558" s="975"/>
      <c r="G558" s="1156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</row>
    <row r="559" spans="1:27" s="1157" customFormat="1">
      <c r="A559" s="42"/>
      <c r="B559" s="42"/>
      <c r="C559" s="40"/>
      <c r="D559" s="974"/>
      <c r="E559" s="40"/>
      <c r="F559" s="975"/>
      <c r="G559" s="1156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</row>
    <row r="560" spans="1:27" s="1157" customFormat="1">
      <c r="A560" s="42"/>
      <c r="B560" s="42"/>
      <c r="C560" s="40"/>
      <c r="D560" s="974"/>
      <c r="E560" s="40"/>
      <c r="F560" s="975"/>
      <c r="G560" s="1156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</row>
    <row r="561" spans="1:27" s="1157" customFormat="1">
      <c r="A561" s="42"/>
      <c r="B561" s="42"/>
      <c r="C561" s="40"/>
      <c r="D561" s="974"/>
      <c r="E561" s="40"/>
      <c r="F561" s="975"/>
      <c r="G561" s="1156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</row>
    <row r="562" spans="1:27" s="1157" customFormat="1">
      <c r="A562" s="42"/>
      <c r="B562" s="42"/>
      <c r="C562" s="40"/>
      <c r="D562" s="974"/>
      <c r="E562" s="40"/>
      <c r="F562" s="975"/>
      <c r="G562" s="1156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  <c r="AA562" s="40"/>
    </row>
    <row r="563" spans="1:27" s="1157" customFormat="1">
      <c r="A563" s="42"/>
      <c r="B563" s="42"/>
      <c r="C563" s="40"/>
      <c r="D563" s="974"/>
      <c r="E563" s="40"/>
      <c r="F563" s="975"/>
      <c r="G563" s="1156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  <c r="AA563" s="40"/>
    </row>
    <row r="564" spans="1:27" s="1157" customFormat="1">
      <c r="A564" s="42"/>
      <c r="B564" s="42"/>
      <c r="C564" s="40"/>
      <c r="D564" s="974"/>
      <c r="E564" s="40"/>
      <c r="F564" s="975"/>
      <c r="G564" s="1156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  <c r="AA564" s="40"/>
    </row>
    <row r="565" spans="1:27" s="1157" customFormat="1">
      <c r="A565" s="42"/>
      <c r="B565" s="42"/>
      <c r="C565" s="40"/>
      <c r="D565" s="974"/>
      <c r="E565" s="40"/>
      <c r="F565" s="975"/>
      <c r="G565" s="1156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  <c r="AA565" s="40"/>
    </row>
    <row r="566" spans="1:27" s="1157" customFormat="1">
      <c r="A566" s="42"/>
      <c r="B566" s="42"/>
      <c r="C566" s="40"/>
      <c r="D566" s="974"/>
      <c r="E566" s="40"/>
      <c r="F566" s="975"/>
      <c r="G566" s="1156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  <c r="AA566" s="40"/>
    </row>
    <row r="567" spans="1:27" s="1157" customFormat="1">
      <c r="A567" s="42"/>
      <c r="B567" s="42"/>
      <c r="C567" s="40"/>
      <c r="D567" s="974"/>
      <c r="E567" s="40"/>
      <c r="F567" s="975"/>
      <c r="G567" s="1156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  <c r="AA567" s="40"/>
    </row>
    <row r="568" spans="1:27" s="1157" customFormat="1">
      <c r="A568" s="42"/>
      <c r="B568" s="42"/>
      <c r="C568" s="40"/>
      <c r="D568" s="974"/>
      <c r="E568" s="40"/>
      <c r="F568" s="975"/>
      <c r="G568" s="1156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  <c r="AA568" s="40"/>
    </row>
    <row r="569" spans="1:27" s="1157" customFormat="1">
      <c r="A569" s="42"/>
      <c r="B569" s="42"/>
      <c r="C569" s="40"/>
      <c r="D569" s="974"/>
      <c r="E569" s="40"/>
      <c r="F569" s="975"/>
      <c r="G569" s="1156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  <c r="AA569" s="40"/>
    </row>
    <row r="570" spans="1:27" s="1157" customFormat="1">
      <c r="A570" s="42"/>
      <c r="B570" s="42"/>
      <c r="C570" s="40"/>
      <c r="D570" s="974"/>
      <c r="E570" s="40"/>
      <c r="F570" s="975"/>
      <c r="G570" s="1156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  <c r="AA570" s="40"/>
    </row>
    <row r="571" spans="1:27" s="1157" customFormat="1">
      <c r="A571" s="42"/>
      <c r="B571" s="42"/>
      <c r="C571" s="40"/>
      <c r="D571" s="974"/>
      <c r="E571" s="40"/>
      <c r="F571" s="975"/>
      <c r="G571" s="1156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  <c r="AA571" s="40"/>
    </row>
    <row r="572" spans="1:27" s="1157" customFormat="1">
      <c r="A572" s="42"/>
      <c r="B572" s="42"/>
      <c r="C572" s="40"/>
      <c r="D572" s="974"/>
      <c r="E572" s="40"/>
      <c r="F572" s="975"/>
      <c r="G572" s="1156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  <c r="AA572" s="40"/>
    </row>
    <row r="573" spans="1:27" s="1157" customFormat="1">
      <c r="A573" s="42"/>
      <c r="B573" s="42"/>
      <c r="C573" s="40"/>
      <c r="D573" s="974"/>
      <c r="E573" s="40"/>
      <c r="F573" s="975"/>
      <c r="G573" s="1156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  <c r="AA573" s="40"/>
    </row>
    <row r="574" spans="1:27" s="1157" customFormat="1">
      <c r="A574" s="42"/>
      <c r="B574" s="42"/>
      <c r="C574" s="40"/>
      <c r="D574" s="974"/>
      <c r="E574" s="40"/>
      <c r="F574" s="975"/>
      <c r="G574" s="1156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  <c r="AA574" s="40"/>
    </row>
    <row r="575" spans="1:27" s="1157" customFormat="1">
      <c r="A575" s="42"/>
      <c r="B575" s="42"/>
      <c r="C575" s="40"/>
      <c r="D575" s="974"/>
      <c r="E575" s="40"/>
      <c r="F575" s="975"/>
      <c r="G575" s="1156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  <c r="AA575" s="40"/>
    </row>
    <row r="576" spans="1:27" s="1157" customFormat="1">
      <c r="A576" s="42"/>
      <c r="B576" s="42"/>
      <c r="C576" s="40"/>
      <c r="D576" s="974"/>
      <c r="E576" s="40"/>
      <c r="F576" s="975"/>
      <c r="G576" s="1156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  <c r="AA576" s="40"/>
    </row>
    <row r="577" spans="1:27" s="1157" customFormat="1">
      <c r="A577" s="42"/>
      <c r="B577" s="42"/>
      <c r="C577" s="40"/>
      <c r="D577" s="974"/>
      <c r="E577" s="40"/>
      <c r="F577" s="975"/>
      <c r="G577" s="1156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  <c r="AA577" s="40"/>
    </row>
    <row r="578" spans="1:27" s="1157" customFormat="1">
      <c r="A578" s="42"/>
      <c r="B578" s="42"/>
      <c r="C578" s="40"/>
      <c r="D578" s="974"/>
      <c r="E578" s="40"/>
      <c r="F578" s="975"/>
      <c r="G578" s="1156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  <c r="AA578" s="40"/>
    </row>
    <row r="579" spans="1:27" s="1157" customFormat="1">
      <c r="A579" s="42"/>
      <c r="B579" s="42"/>
      <c r="C579" s="40"/>
      <c r="D579" s="974"/>
      <c r="E579" s="40"/>
      <c r="F579" s="975"/>
      <c r="G579" s="1156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  <c r="AA579" s="40"/>
    </row>
    <row r="580" spans="1:27" s="1157" customFormat="1">
      <c r="A580" s="42"/>
      <c r="B580" s="42"/>
      <c r="C580" s="40"/>
      <c r="D580" s="974"/>
      <c r="E580" s="40"/>
      <c r="F580" s="975"/>
      <c r="G580" s="1156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  <c r="AA580" s="40"/>
    </row>
    <row r="581" spans="1:27" s="1157" customFormat="1">
      <c r="A581" s="42"/>
      <c r="B581" s="42"/>
      <c r="C581" s="40"/>
      <c r="D581" s="974"/>
      <c r="E581" s="40"/>
      <c r="F581" s="975"/>
      <c r="G581" s="1156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  <c r="AA581" s="40"/>
    </row>
    <row r="582" spans="1:27" s="1157" customFormat="1">
      <c r="A582" s="42"/>
      <c r="B582" s="42"/>
      <c r="C582" s="40"/>
      <c r="D582" s="974"/>
      <c r="E582" s="40"/>
      <c r="F582" s="975"/>
      <c r="G582" s="1156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  <c r="AA582" s="40"/>
    </row>
    <row r="583" spans="1:27" s="1157" customFormat="1">
      <c r="A583" s="42"/>
      <c r="B583" s="42"/>
      <c r="C583" s="40"/>
      <c r="D583" s="974"/>
      <c r="E583" s="40"/>
      <c r="F583" s="975"/>
      <c r="G583" s="1156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  <c r="AA583" s="40"/>
    </row>
    <row r="584" spans="1:27" s="1157" customFormat="1">
      <c r="A584" s="42"/>
      <c r="B584" s="42"/>
      <c r="C584" s="40"/>
      <c r="D584" s="974"/>
      <c r="E584" s="40"/>
      <c r="F584" s="975"/>
      <c r="G584" s="1156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  <c r="AA584" s="40"/>
    </row>
    <row r="585" spans="1:27" s="1157" customFormat="1">
      <c r="A585" s="42"/>
      <c r="B585" s="42"/>
      <c r="C585" s="40"/>
      <c r="D585" s="974"/>
      <c r="E585" s="40"/>
      <c r="F585" s="975"/>
      <c r="G585" s="1156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  <c r="AA585" s="40"/>
    </row>
    <row r="586" spans="1:27" s="1157" customFormat="1">
      <c r="A586" s="42"/>
      <c r="B586" s="42"/>
      <c r="C586" s="40"/>
      <c r="D586" s="974"/>
      <c r="E586" s="40"/>
      <c r="F586" s="975"/>
      <c r="G586" s="1156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  <c r="AA586" s="40"/>
    </row>
    <row r="587" spans="1:27" s="1157" customFormat="1">
      <c r="A587" s="42"/>
      <c r="B587" s="42"/>
      <c r="C587" s="40"/>
      <c r="D587" s="974"/>
      <c r="E587" s="40"/>
      <c r="F587" s="975"/>
      <c r="G587" s="1156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  <c r="AA587" s="40"/>
    </row>
    <row r="588" spans="1:27" s="1157" customFormat="1">
      <c r="A588" s="42"/>
      <c r="B588" s="42"/>
      <c r="C588" s="40"/>
      <c r="D588" s="974"/>
      <c r="E588" s="40"/>
      <c r="F588" s="975"/>
      <c r="G588" s="1156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  <c r="AA588" s="40"/>
    </row>
    <row r="589" spans="1:27" s="1157" customFormat="1">
      <c r="A589" s="42"/>
      <c r="B589" s="42"/>
      <c r="C589" s="40"/>
      <c r="D589" s="974"/>
      <c r="E589" s="40"/>
      <c r="F589" s="975"/>
      <c r="G589" s="1156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  <c r="AA589" s="40"/>
    </row>
    <row r="590" spans="1:27" s="1157" customFormat="1">
      <c r="A590" s="42"/>
      <c r="B590" s="42"/>
      <c r="C590" s="40"/>
      <c r="D590" s="974"/>
      <c r="E590" s="40"/>
      <c r="F590" s="975"/>
      <c r="G590" s="1156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  <c r="AA590" s="40"/>
    </row>
    <row r="591" spans="1:27" s="1157" customFormat="1">
      <c r="A591" s="42"/>
      <c r="B591" s="42"/>
      <c r="C591" s="40"/>
      <c r="D591" s="974"/>
      <c r="E591" s="40"/>
      <c r="F591" s="975"/>
      <c r="G591" s="1156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  <c r="AA591" s="40"/>
    </row>
    <row r="592" spans="1:27" s="1157" customFormat="1">
      <c r="A592" s="42"/>
      <c r="B592" s="42"/>
      <c r="C592" s="40"/>
      <c r="D592" s="974"/>
      <c r="E592" s="40"/>
      <c r="F592" s="975"/>
      <c r="G592" s="1156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  <c r="AA592" s="40"/>
    </row>
    <row r="593" spans="1:27" s="1157" customFormat="1">
      <c r="A593" s="42"/>
      <c r="B593" s="42"/>
      <c r="C593" s="40"/>
      <c r="D593" s="974"/>
      <c r="E593" s="40"/>
      <c r="F593" s="975"/>
      <c r="G593" s="1156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  <c r="AA593" s="40"/>
    </row>
    <row r="594" spans="1:27" s="1157" customFormat="1">
      <c r="A594" s="42"/>
      <c r="B594" s="42"/>
      <c r="C594" s="40"/>
      <c r="D594" s="974"/>
      <c r="E594" s="40"/>
      <c r="F594" s="975"/>
      <c r="G594" s="1156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  <c r="AA594" s="40"/>
    </row>
    <row r="595" spans="1:27" s="1157" customFormat="1">
      <c r="A595" s="42"/>
      <c r="B595" s="42"/>
      <c r="C595" s="40"/>
      <c r="D595" s="974"/>
      <c r="E595" s="40"/>
      <c r="F595" s="975"/>
      <c r="G595" s="1156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  <c r="AA595" s="40"/>
    </row>
    <row r="596" spans="1:27" s="1157" customFormat="1">
      <c r="A596" s="42"/>
      <c r="B596" s="42"/>
      <c r="C596" s="40"/>
      <c r="D596" s="974"/>
      <c r="E596" s="40"/>
      <c r="F596" s="975"/>
      <c r="G596" s="1156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  <c r="AA596" s="40"/>
    </row>
    <row r="597" spans="1:27" s="1157" customFormat="1">
      <c r="A597" s="42"/>
      <c r="B597" s="42"/>
      <c r="C597" s="40"/>
      <c r="D597" s="974"/>
      <c r="E597" s="40"/>
      <c r="F597" s="975"/>
      <c r="G597" s="1156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  <c r="AA597" s="40"/>
    </row>
    <row r="598" spans="1:27" s="1157" customFormat="1">
      <c r="A598" s="42"/>
      <c r="B598" s="42"/>
      <c r="C598" s="40"/>
      <c r="D598" s="974"/>
      <c r="E598" s="40"/>
      <c r="F598" s="975"/>
      <c r="G598" s="1156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  <c r="AA598" s="40"/>
    </row>
    <row r="599" spans="1:27" s="1157" customFormat="1">
      <c r="A599" s="42"/>
      <c r="B599" s="42"/>
      <c r="C599" s="40"/>
      <c r="D599" s="974"/>
      <c r="E599" s="40"/>
      <c r="F599" s="975"/>
      <c r="G599" s="1156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  <c r="AA599" s="40"/>
    </row>
    <row r="600" spans="1:27" s="1157" customFormat="1">
      <c r="A600" s="42"/>
      <c r="B600" s="42"/>
      <c r="C600" s="40"/>
      <c r="D600" s="974"/>
      <c r="E600" s="40"/>
      <c r="F600" s="975"/>
      <c r="G600" s="1156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  <c r="AA600" s="40"/>
    </row>
    <row r="601" spans="1:27" s="1157" customFormat="1">
      <c r="A601" s="42"/>
      <c r="B601" s="42"/>
      <c r="C601" s="40"/>
      <c r="D601" s="974"/>
      <c r="E601" s="40"/>
      <c r="F601" s="975"/>
      <c r="G601" s="1156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  <c r="AA601" s="40"/>
    </row>
    <row r="602" spans="1:27" s="1157" customFormat="1">
      <c r="A602" s="42"/>
      <c r="B602" s="42"/>
      <c r="C602" s="40"/>
      <c r="D602" s="974"/>
      <c r="E602" s="40"/>
      <c r="F602" s="975"/>
      <c r="G602" s="1156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  <c r="AA602" s="40"/>
    </row>
    <row r="603" spans="1:27" s="1157" customFormat="1">
      <c r="A603" s="42"/>
      <c r="B603" s="42"/>
      <c r="C603" s="40"/>
      <c r="D603" s="974"/>
      <c r="E603" s="40"/>
      <c r="F603" s="975"/>
      <c r="G603" s="1156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  <c r="AA603" s="40"/>
    </row>
    <row r="604" spans="1:27" s="1157" customFormat="1">
      <c r="A604" s="42"/>
      <c r="B604" s="42"/>
      <c r="C604" s="40"/>
      <c r="D604" s="974"/>
      <c r="E604" s="40"/>
      <c r="F604" s="975"/>
      <c r="G604" s="1156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  <c r="AA604" s="40"/>
    </row>
    <row r="605" spans="1:27" s="1157" customFormat="1">
      <c r="A605" s="42"/>
      <c r="B605" s="42"/>
      <c r="C605" s="40"/>
      <c r="D605" s="974"/>
      <c r="E605" s="40"/>
      <c r="F605" s="975"/>
      <c r="G605" s="1156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  <c r="AA605" s="40"/>
    </row>
    <row r="606" spans="1:27" s="1157" customFormat="1">
      <c r="A606" s="42"/>
      <c r="B606" s="42"/>
      <c r="C606" s="40"/>
      <c r="D606" s="974"/>
      <c r="E606" s="40"/>
      <c r="F606" s="975"/>
      <c r="G606" s="1156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  <c r="AA606" s="40"/>
    </row>
    <row r="607" spans="1:27" s="1157" customFormat="1">
      <c r="A607" s="42"/>
      <c r="B607" s="42"/>
      <c r="C607" s="40"/>
      <c r="D607" s="974"/>
      <c r="E607" s="40"/>
      <c r="F607" s="975"/>
      <c r="G607" s="1156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  <c r="AA607" s="40"/>
    </row>
    <row r="608" spans="1:27" s="1157" customFormat="1">
      <c r="A608" s="42"/>
      <c r="B608" s="42"/>
      <c r="C608" s="40"/>
      <c r="D608" s="974"/>
      <c r="E608" s="40"/>
      <c r="F608" s="975"/>
      <c r="G608" s="1156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  <c r="AA608" s="40"/>
    </row>
    <row r="609" spans="1:27" s="1157" customFormat="1">
      <c r="A609" s="42"/>
      <c r="B609" s="42"/>
      <c r="C609" s="40"/>
      <c r="D609" s="974"/>
      <c r="E609" s="40"/>
      <c r="F609" s="975"/>
      <c r="G609" s="1156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  <c r="AA609" s="40"/>
    </row>
    <row r="610" spans="1:27" s="1157" customFormat="1">
      <c r="A610" s="42"/>
      <c r="B610" s="42"/>
      <c r="C610" s="40"/>
      <c r="D610" s="974"/>
      <c r="E610" s="40"/>
      <c r="F610" s="975"/>
      <c r="G610" s="1156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  <c r="AA610" s="40"/>
    </row>
    <row r="611" spans="1:27" s="1157" customFormat="1">
      <c r="A611" s="42"/>
      <c r="B611" s="42"/>
      <c r="C611" s="40"/>
      <c r="D611" s="974"/>
      <c r="E611" s="40"/>
      <c r="F611" s="975"/>
      <c r="G611" s="1156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  <c r="AA611" s="40"/>
    </row>
    <row r="612" spans="1:27" s="1157" customFormat="1">
      <c r="A612" s="42"/>
      <c r="B612" s="42"/>
      <c r="C612" s="40"/>
      <c r="D612" s="974"/>
      <c r="E612" s="40"/>
      <c r="F612" s="975"/>
      <c r="G612" s="1156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  <c r="AA612" s="40"/>
    </row>
    <row r="613" spans="1:27" s="1157" customFormat="1">
      <c r="A613" s="42"/>
      <c r="B613" s="42"/>
      <c r="C613" s="40"/>
      <c r="D613" s="974"/>
      <c r="E613" s="40"/>
      <c r="F613" s="975"/>
      <c r="G613" s="1156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  <c r="AA613" s="40"/>
    </row>
    <row r="614" spans="1:27" s="1157" customFormat="1">
      <c r="A614" s="42"/>
      <c r="B614" s="42"/>
      <c r="C614" s="40"/>
      <c r="D614" s="974"/>
      <c r="E614" s="40"/>
      <c r="F614" s="975"/>
      <c r="G614" s="1156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  <c r="AA614" s="40"/>
    </row>
    <row r="615" spans="1:27" s="1157" customFormat="1">
      <c r="A615" s="42"/>
      <c r="B615" s="42"/>
      <c r="C615" s="40"/>
      <c r="D615" s="974"/>
      <c r="E615" s="40"/>
      <c r="F615" s="975"/>
      <c r="G615" s="1156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  <c r="AA615" s="40"/>
    </row>
    <row r="616" spans="1:27" s="1157" customFormat="1">
      <c r="A616" s="42"/>
      <c r="B616" s="42"/>
      <c r="C616" s="40"/>
      <c r="D616" s="974"/>
      <c r="E616" s="40"/>
      <c r="F616" s="975"/>
      <c r="G616" s="1156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  <c r="AA616" s="40"/>
    </row>
    <row r="617" spans="1:27" s="1157" customFormat="1">
      <c r="A617" s="42"/>
      <c r="B617" s="42"/>
      <c r="C617" s="40"/>
      <c r="D617" s="974"/>
      <c r="E617" s="40"/>
      <c r="F617" s="975"/>
      <c r="G617" s="1156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  <c r="AA617" s="40"/>
    </row>
    <row r="618" spans="1:27" s="1157" customFormat="1">
      <c r="A618" s="42"/>
      <c r="B618" s="42"/>
      <c r="C618" s="40"/>
      <c r="D618" s="974"/>
      <c r="E618" s="40"/>
      <c r="F618" s="975"/>
      <c r="G618" s="1156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  <c r="AA618" s="40"/>
    </row>
    <row r="619" spans="1:27" s="1157" customFormat="1">
      <c r="A619" s="42"/>
      <c r="B619" s="42"/>
      <c r="C619" s="40"/>
      <c r="D619" s="974"/>
      <c r="E619" s="40"/>
      <c r="F619" s="975"/>
      <c r="G619" s="1156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  <c r="AA619" s="40"/>
    </row>
    <row r="620" spans="1:27" s="1157" customFormat="1">
      <c r="A620" s="42"/>
      <c r="B620" s="42"/>
      <c r="C620" s="40"/>
      <c r="D620" s="974"/>
      <c r="E620" s="40"/>
      <c r="F620" s="975"/>
      <c r="G620" s="1156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  <c r="AA620" s="40"/>
    </row>
    <row r="621" spans="1:27" s="1157" customFormat="1">
      <c r="A621" s="42"/>
      <c r="B621" s="42"/>
      <c r="C621" s="40"/>
      <c r="D621" s="974"/>
      <c r="E621" s="40"/>
      <c r="F621" s="975"/>
      <c r="G621" s="1156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  <c r="AA621" s="40"/>
    </row>
    <row r="622" spans="1:27" s="1157" customFormat="1">
      <c r="A622" s="42"/>
      <c r="B622" s="42"/>
      <c r="C622" s="40"/>
      <c r="D622" s="974"/>
      <c r="E622" s="40"/>
      <c r="F622" s="975"/>
      <c r="G622" s="1156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  <c r="AA622" s="40"/>
    </row>
    <row r="623" spans="1:27" s="1157" customFormat="1">
      <c r="A623" s="42"/>
      <c r="B623" s="42"/>
      <c r="C623" s="40"/>
      <c r="D623" s="974"/>
      <c r="E623" s="40"/>
      <c r="F623" s="975"/>
      <c r="G623" s="1156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  <c r="AA623" s="40"/>
    </row>
    <row r="624" spans="1:27" s="1157" customFormat="1">
      <c r="A624" s="42"/>
      <c r="B624" s="42"/>
      <c r="C624" s="40"/>
      <c r="D624" s="974"/>
      <c r="E624" s="40"/>
      <c r="F624" s="975"/>
      <c r="G624" s="1156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  <c r="AA624" s="40"/>
    </row>
    <row r="625" spans="1:27" s="1157" customFormat="1">
      <c r="A625" s="42"/>
      <c r="B625" s="42"/>
      <c r="C625" s="40"/>
      <c r="D625" s="974"/>
      <c r="E625" s="40"/>
      <c r="F625" s="975"/>
      <c r="G625" s="1156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  <c r="AA625" s="40"/>
    </row>
    <row r="626" spans="1:27" s="1157" customFormat="1">
      <c r="A626" s="42"/>
      <c r="B626" s="42"/>
      <c r="C626" s="40"/>
      <c r="D626" s="974"/>
      <c r="E626" s="40"/>
      <c r="F626" s="975"/>
      <c r="G626" s="1156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  <c r="AA626" s="40"/>
    </row>
    <row r="627" spans="1:27" s="1157" customFormat="1">
      <c r="A627" s="42"/>
      <c r="B627" s="42"/>
      <c r="C627" s="40"/>
      <c r="D627" s="974"/>
      <c r="E627" s="40"/>
      <c r="F627" s="975"/>
      <c r="G627" s="1156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  <c r="AA627" s="40"/>
    </row>
    <row r="628" spans="1:27" s="1157" customFormat="1">
      <c r="A628" s="42"/>
      <c r="B628" s="42"/>
      <c r="C628" s="40"/>
      <c r="D628" s="974"/>
      <c r="E628" s="40"/>
      <c r="F628" s="975"/>
      <c r="G628" s="1156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  <c r="AA628" s="40"/>
    </row>
    <row r="629" spans="1:27" s="1157" customFormat="1">
      <c r="A629" s="42"/>
      <c r="B629" s="42"/>
      <c r="C629" s="40"/>
      <c r="D629" s="974"/>
      <c r="E629" s="40"/>
      <c r="F629" s="975"/>
      <c r="G629" s="1156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  <c r="AA629" s="40"/>
    </row>
    <row r="630" spans="1:27" s="1157" customFormat="1">
      <c r="A630" s="42"/>
      <c r="B630" s="42"/>
      <c r="C630" s="40"/>
      <c r="D630" s="974"/>
      <c r="E630" s="40"/>
      <c r="F630" s="975"/>
      <c r="G630" s="1156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  <c r="AA630" s="40"/>
    </row>
    <row r="631" spans="1:27" s="1157" customFormat="1">
      <c r="A631" s="42"/>
      <c r="B631" s="42"/>
      <c r="C631" s="40"/>
      <c r="D631" s="974"/>
      <c r="E631" s="40"/>
      <c r="F631" s="975"/>
      <c r="G631" s="1156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  <c r="AA631" s="40"/>
    </row>
    <row r="632" spans="1:27" s="1157" customFormat="1">
      <c r="A632" s="42"/>
      <c r="B632" s="42"/>
      <c r="C632" s="40"/>
      <c r="D632" s="974"/>
      <c r="E632" s="40"/>
      <c r="F632" s="975"/>
      <c r="G632" s="1156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  <c r="AA632" s="40"/>
    </row>
    <row r="633" spans="1:27" s="1157" customFormat="1">
      <c r="A633" s="42"/>
      <c r="B633" s="42"/>
      <c r="C633" s="40"/>
      <c r="D633" s="974"/>
      <c r="E633" s="40"/>
      <c r="F633" s="975"/>
      <c r="G633" s="1156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  <c r="AA633" s="40"/>
    </row>
    <row r="634" spans="1:27" s="1157" customFormat="1">
      <c r="A634" s="42"/>
      <c r="B634" s="42"/>
      <c r="C634" s="40"/>
      <c r="D634" s="974"/>
      <c r="E634" s="40"/>
      <c r="F634" s="975"/>
      <c r="G634" s="1156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  <c r="AA634" s="40"/>
    </row>
    <row r="635" spans="1:27" s="1157" customFormat="1">
      <c r="A635" s="42"/>
      <c r="B635" s="42"/>
      <c r="C635" s="40"/>
      <c r="D635" s="974"/>
      <c r="E635" s="40"/>
      <c r="F635" s="975"/>
      <c r="G635" s="1156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  <c r="AA635" s="40"/>
    </row>
    <row r="636" spans="1:27" s="1157" customFormat="1">
      <c r="A636" s="42"/>
      <c r="B636" s="42"/>
      <c r="C636" s="40"/>
      <c r="D636" s="974"/>
      <c r="E636" s="40"/>
      <c r="F636" s="975"/>
      <c r="G636" s="1156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  <c r="AA636" s="40"/>
    </row>
    <row r="637" spans="1:27" s="1157" customFormat="1">
      <c r="A637" s="42"/>
      <c r="B637" s="42"/>
      <c r="C637" s="40"/>
      <c r="D637" s="974"/>
      <c r="E637" s="40"/>
      <c r="F637" s="975"/>
      <c r="G637" s="1156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  <c r="AA637" s="40"/>
    </row>
    <row r="638" spans="1:27" s="1157" customFormat="1">
      <c r="A638" s="42"/>
      <c r="B638" s="42"/>
      <c r="C638" s="40"/>
      <c r="D638" s="974"/>
      <c r="E638" s="40"/>
      <c r="F638" s="975"/>
      <c r="G638" s="1156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  <c r="AA638" s="40"/>
    </row>
    <row r="639" spans="1:27" s="1157" customFormat="1">
      <c r="A639" s="42"/>
      <c r="B639" s="42"/>
      <c r="C639" s="40"/>
      <c r="D639" s="974"/>
      <c r="E639" s="40"/>
      <c r="F639" s="975"/>
      <c r="G639" s="1156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  <c r="AA639" s="40"/>
    </row>
    <row r="640" spans="1:27" s="1157" customFormat="1">
      <c r="A640" s="42"/>
      <c r="B640" s="42"/>
      <c r="C640" s="40"/>
      <c r="D640" s="974"/>
      <c r="E640" s="40"/>
      <c r="F640" s="975"/>
      <c r="G640" s="1156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  <c r="AA640" s="40"/>
    </row>
    <row r="641" spans="1:27" s="1157" customFormat="1">
      <c r="A641" s="42"/>
      <c r="B641" s="42"/>
      <c r="C641" s="40"/>
      <c r="D641" s="974"/>
      <c r="E641" s="40"/>
      <c r="F641" s="975"/>
      <c r="G641" s="1156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  <c r="AA641" s="40"/>
    </row>
    <row r="642" spans="1:27" s="1157" customFormat="1">
      <c r="A642" s="42"/>
      <c r="B642" s="42"/>
      <c r="C642" s="40"/>
      <c r="D642" s="974"/>
      <c r="E642" s="40"/>
      <c r="F642" s="975"/>
      <c r="G642" s="1156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  <c r="AA642" s="40"/>
    </row>
    <row r="643" spans="1:27" s="1157" customFormat="1">
      <c r="A643" s="42"/>
      <c r="B643" s="42"/>
      <c r="C643" s="40"/>
      <c r="D643" s="974"/>
      <c r="E643" s="40"/>
      <c r="F643" s="975"/>
      <c r="G643" s="1156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  <c r="AA643" s="40"/>
    </row>
    <row r="644" spans="1:27" s="1157" customFormat="1">
      <c r="A644" s="42"/>
      <c r="B644" s="42"/>
      <c r="C644" s="40"/>
      <c r="D644" s="974"/>
      <c r="E644" s="40"/>
      <c r="F644" s="975"/>
      <c r="G644" s="1156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  <c r="AA644" s="40"/>
    </row>
    <row r="645" spans="1:27" s="1157" customFormat="1">
      <c r="A645" s="42"/>
      <c r="B645" s="42"/>
      <c r="C645" s="40"/>
      <c r="D645" s="974"/>
      <c r="E645" s="40"/>
      <c r="F645" s="975"/>
      <c r="G645" s="1156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  <c r="AA645" s="40"/>
    </row>
    <row r="646" spans="1:27" s="1157" customFormat="1">
      <c r="A646" s="42"/>
      <c r="B646" s="42"/>
      <c r="C646" s="40"/>
      <c r="D646" s="974"/>
      <c r="E646" s="40"/>
      <c r="F646" s="975"/>
      <c r="G646" s="1156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  <c r="AA646" s="40"/>
    </row>
    <row r="647" spans="1:27" s="1157" customFormat="1">
      <c r="A647" s="42"/>
      <c r="B647" s="42"/>
      <c r="C647" s="40"/>
      <c r="D647" s="974"/>
      <c r="E647" s="40"/>
      <c r="F647" s="975"/>
      <c r="G647" s="1156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  <c r="AA647" s="40"/>
    </row>
    <row r="648" spans="1:27" s="1157" customFormat="1">
      <c r="A648" s="42"/>
      <c r="B648" s="42"/>
      <c r="C648" s="40"/>
      <c r="D648" s="974"/>
      <c r="E648" s="40"/>
      <c r="F648" s="975"/>
      <c r="G648" s="1156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  <c r="AA648" s="40"/>
    </row>
    <row r="649" spans="1:27" s="1157" customFormat="1">
      <c r="A649" s="42"/>
      <c r="B649" s="42"/>
      <c r="C649" s="40"/>
      <c r="D649" s="974"/>
      <c r="E649" s="40"/>
      <c r="F649" s="975"/>
      <c r="G649" s="1156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  <c r="AA649" s="40"/>
    </row>
    <row r="650" spans="1:27" s="1157" customFormat="1">
      <c r="A650" s="42"/>
      <c r="B650" s="42"/>
      <c r="C650" s="40"/>
      <c r="D650" s="974"/>
      <c r="E650" s="40"/>
      <c r="F650" s="975"/>
      <c r="G650" s="1156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  <c r="AA650" s="40"/>
    </row>
    <row r="651" spans="1:27" s="1157" customFormat="1">
      <c r="A651" s="42"/>
      <c r="B651" s="42"/>
      <c r="C651" s="40"/>
      <c r="D651" s="974"/>
      <c r="E651" s="40"/>
      <c r="F651" s="975"/>
      <c r="G651" s="1156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  <c r="AA651" s="40"/>
    </row>
    <row r="652" spans="1:27" s="1157" customFormat="1">
      <c r="A652" s="42"/>
      <c r="B652" s="42"/>
      <c r="C652" s="40"/>
      <c r="D652" s="974"/>
      <c r="E652" s="40"/>
      <c r="F652" s="975"/>
      <c r="G652" s="1156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  <c r="AA652" s="40"/>
    </row>
    <row r="653" spans="1:27" s="1157" customFormat="1">
      <c r="A653" s="42"/>
      <c r="B653" s="42"/>
      <c r="C653" s="40"/>
      <c r="D653" s="974"/>
      <c r="E653" s="40"/>
      <c r="F653" s="975"/>
      <c r="G653" s="1156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  <c r="AA653" s="40"/>
    </row>
    <row r="654" spans="1:27" s="1157" customFormat="1">
      <c r="A654" s="42"/>
      <c r="B654" s="42"/>
      <c r="C654" s="40"/>
      <c r="D654" s="974"/>
      <c r="E654" s="40"/>
      <c r="F654" s="975"/>
      <c r="G654" s="1156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  <c r="AA654" s="40"/>
    </row>
    <row r="655" spans="1:27" s="1157" customFormat="1">
      <c r="A655" s="42"/>
      <c r="B655" s="42"/>
      <c r="C655" s="40"/>
      <c r="D655" s="974"/>
      <c r="E655" s="40"/>
      <c r="F655" s="975"/>
      <c r="G655" s="1156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  <c r="AA655" s="40"/>
    </row>
    <row r="656" spans="1:27" s="1157" customFormat="1">
      <c r="A656" s="42"/>
      <c r="B656" s="42"/>
      <c r="C656" s="40"/>
      <c r="D656" s="974"/>
      <c r="E656" s="40"/>
      <c r="F656" s="975"/>
      <c r="G656" s="1156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  <c r="AA656" s="40"/>
    </row>
    <row r="657" spans="1:27" s="1157" customFormat="1">
      <c r="A657" s="42"/>
      <c r="B657" s="42"/>
      <c r="C657" s="40"/>
      <c r="D657" s="974"/>
      <c r="E657" s="40"/>
      <c r="F657" s="975"/>
      <c r="G657" s="1156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  <c r="AA657" s="40"/>
    </row>
    <row r="658" spans="1:27" s="1157" customFormat="1">
      <c r="A658" s="42"/>
      <c r="B658" s="42"/>
      <c r="C658" s="40"/>
      <c r="D658" s="974"/>
      <c r="E658" s="40"/>
      <c r="F658" s="975"/>
      <c r="G658" s="1156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  <c r="AA658" s="40"/>
    </row>
    <row r="659" spans="1:27" s="1157" customFormat="1">
      <c r="A659" s="42"/>
      <c r="B659" s="42"/>
      <c r="C659" s="40"/>
      <c r="D659" s="974"/>
      <c r="E659" s="40"/>
      <c r="F659" s="975"/>
      <c r="G659" s="1156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  <c r="AA659" s="40"/>
    </row>
    <row r="660" spans="1:27" s="1157" customFormat="1">
      <c r="A660" s="42"/>
      <c r="B660" s="42"/>
      <c r="C660" s="40"/>
      <c r="D660" s="974"/>
      <c r="E660" s="40"/>
      <c r="F660" s="975"/>
      <c r="G660" s="1156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  <c r="AA660" s="40"/>
    </row>
    <row r="661" spans="1:27" s="1157" customFormat="1">
      <c r="A661" s="42"/>
      <c r="B661" s="42"/>
      <c r="C661" s="40"/>
      <c r="D661" s="974"/>
      <c r="E661" s="40"/>
      <c r="F661" s="975"/>
      <c r="G661" s="1156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  <c r="AA661" s="40"/>
    </row>
    <row r="662" spans="1:27" s="1157" customFormat="1">
      <c r="A662" s="42"/>
      <c r="B662" s="42"/>
      <c r="C662" s="40"/>
      <c r="D662" s="974"/>
      <c r="E662" s="40"/>
      <c r="F662" s="975"/>
      <c r="G662" s="1156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  <c r="AA662" s="40"/>
    </row>
    <row r="663" spans="1:27" s="1157" customFormat="1">
      <c r="A663" s="42"/>
      <c r="B663" s="42"/>
      <c r="C663" s="40"/>
      <c r="D663" s="974"/>
      <c r="E663" s="40"/>
      <c r="F663" s="975"/>
      <c r="G663" s="1156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  <c r="AA663" s="40"/>
    </row>
    <row r="664" spans="1:27" s="1157" customFormat="1">
      <c r="A664" s="42"/>
      <c r="B664" s="42"/>
      <c r="C664" s="40"/>
      <c r="D664" s="974"/>
      <c r="E664" s="40"/>
      <c r="F664" s="975"/>
      <c r="G664" s="1156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  <c r="AA664" s="40"/>
    </row>
    <row r="665" spans="1:27" s="1157" customFormat="1">
      <c r="A665" s="42"/>
      <c r="B665" s="42"/>
      <c r="C665" s="40"/>
      <c r="D665" s="974"/>
      <c r="E665" s="40"/>
      <c r="F665" s="975"/>
      <c r="G665" s="1156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  <c r="AA665" s="40"/>
    </row>
    <row r="666" spans="1:27" s="1157" customFormat="1">
      <c r="A666" s="42"/>
      <c r="B666" s="42"/>
      <c r="C666" s="40"/>
      <c r="D666" s="974"/>
      <c r="E666" s="40"/>
      <c r="F666" s="975"/>
      <c r="G666" s="1156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  <c r="AA666" s="40"/>
    </row>
    <row r="667" spans="1:27" s="1157" customFormat="1">
      <c r="A667" s="42"/>
      <c r="B667" s="42"/>
      <c r="C667" s="40"/>
      <c r="D667" s="974"/>
      <c r="E667" s="40"/>
      <c r="F667" s="975"/>
      <c r="G667" s="1156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  <c r="AA667" s="40"/>
    </row>
    <row r="668" spans="1:27" s="1157" customFormat="1">
      <c r="A668" s="42"/>
      <c r="B668" s="42"/>
      <c r="C668" s="40"/>
      <c r="D668" s="974"/>
      <c r="E668" s="40"/>
      <c r="F668" s="975"/>
      <c r="G668" s="1156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  <c r="AA668" s="40"/>
    </row>
    <row r="669" spans="1:27" s="1157" customFormat="1">
      <c r="A669" s="42"/>
      <c r="B669" s="42"/>
      <c r="C669" s="40"/>
      <c r="D669" s="974"/>
      <c r="E669" s="40"/>
      <c r="F669" s="975"/>
      <c r="G669" s="1156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  <c r="AA669" s="40"/>
    </row>
    <row r="670" spans="1:27" s="1157" customFormat="1">
      <c r="A670" s="42"/>
      <c r="B670" s="42"/>
      <c r="C670" s="40"/>
      <c r="D670" s="974"/>
      <c r="E670" s="40"/>
      <c r="F670" s="975"/>
      <c r="G670" s="1156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  <c r="AA670" s="40"/>
    </row>
    <row r="671" spans="1:27" s="1157" customFormat="1">
      <c r="A671" s="42"/>
      <c r="B671" s="42"/>
      <c r="C671" s="40"/>
      <c r="D671" s="974"/>
      <c r="E671" s="40"/>
      <c r="F671" s="975"/>
      <c r="G671" s="1156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  <c r="AA671" s="40"/>
    </row>
    <row r="672" spans="1:27" s="1157" customFormat="1">
      <c r="A672" s="42"/>
      <c r="B672" s="42"/>
      <c r="C672" s="40"/>
      <c r="D672" s="974"/>
      <c r="E672" s="40"/>
      <c r="F672" s="975"/>
      <c r="G672" s="1156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  <c r="AA672" s="40"/>
    </row>
    <row r="673" spans="1:27" s="1157" customFormat="1">
      <c r="A673" s="42"/>
      <c r="B673" s="42"/>
      <c r="C673" s="40"/>
      <c r="D673" s="974"/>
      <c r="E673" s="40"/>
      <c r="F673" s="975"/>
      <c r="G673" s="1156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  <c r="AA673" s="40"/>
    </row>
    <row r="674" spans="1:27" s="1157" customFormat="1">
      <c r="A674" s="42"/>
      <c r="B674" s="42"/>
      <c r="C674" s="40"/>
      <c r="D674" s="974"/>
      <c r="E674" s="40"/>
      <c r="F674" s="975"/>
      <c r="G674" s="1156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  <c r="AA674" s="40"/>
    </row>
    <row r="675" spans="1:27" s="1157" customFormat="1">
      <c r="A675" s="42"/>
      <c r="B675" s="42"/>
      <c r="C675" s="40"/>
      <c r="D675" s="974"/>
      <c r="E675" s="40"/>
      <c r="F675" s="975"/>
      <c r="G675" s="1156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  <c r="AA675" s="40"/>
    </row>
    <row r="676" spans="1:27" s="1157" customFormat="1">
      <c r="A676" s="42"/>
      <c r="B676" s="42"/>
      <c r="C676" s="40"/>
      <c r="D676" s="974"/>
      <c r="E676" s="40"/>
      <c r="F676" s="975"/>
      <c r="G676" s="1156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  <c r="AA676" s="40"/>
    </row>
    <row r="677" spans="1:27" s="1157" customFormat="1">
      <c r="A677" s="42"/>
      <c r="B677" s="42"/>
      <c r="C677" s="40"/>
      <c r="D677" s="974"/>
      <c r="E677" s="40"/>
      <c r="F677" s="975"/>
      <c r="G677" s="1156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  <c r="AA677" s="40"/>
    </row>
    <row r="678" spans="1:27" s="1157" customFormat="1">
      <c r="A678" s="42"/>
      <c r="B678" s="42"/>
      <c r="C678" s="40"/>
      <c r="D678" s="974"/>
      <c r="E678" s="40"/>
      <c r="F678" s="975"/>
      <c r="G678" s="1156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  <c r="AA678" s="40"/>
    </row>
  </sheetData>
  <mergeCells count="2">
    <mergeCell ref="A8:I8"/>
    <mergeCell ref="A20:AB20"/>
  </mergeCells>
  <printOptions horizontalCentered="1"/>
  <pageMargins left="0.59055118110236227" right="0.39370078740157483" top="0.59055118110236227" bottom="0.59055118110236227" header="0.19685039370078741" footer="0.19685039370078741"/>
  <pageSetup paperSize="8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topLeftCell="A19" workbookViewId="0">
      <selection activeCell="H21" sqref="H21"/>
    </sheetView>
  </sheetViews>
  <sheetFormatPr defaultColWidth="9.109375" defaultRowHeight="15.6"/>
  <cols>
    <col min="1" max="1" width="42.44140625" style="472" customWidth="1"/>
    <col min="2" max="2" width="20.109375" style="472" customWidth="1"/>
    <col min="3" max="3" width="17" style="472" customWidth="1"/>
    <col min="4" max="4" width="2.6640625" style="472" hidden="1" customWidth="1"/>
    <col min="5" max="5" width="3.6640625" style="472" customWidth="1"/>
    <col min="6" max="6" width="17.88671875" style="473" customWidth="1"/>
    <col min="7" max="7" width="23" style="472" customWidth="1"/>
    <col min="8" max="8" width="16.88671875" style="472" customWidth="1"/>
    <col min="9" max="9" width="11.33203125" style="472" bestFit="1" customWidth="1"/>
    <col min="10" max="10" width="12.109375" style="472" bestFit="1" customWidth="1"/>
    <col min="11" max="11" width="13.5546875" style="473" bestFit="1" customWidth="1"/>
    <col min="12" max="12" width="16.5546875" style="472" customWidth="1"/>
    <col min="13" max="13" width="13.44140625" style="472" bestFit="1" customWidth="1"/>
    <col min="14" max="14" width="10.44140625" style="472" customWidth="1"/>
    <col min="15" max="16384" width="9.109375" style="472"/>
  </cols>
  <sheetData>
    <row r="1" spans="1:12">
      <c r="A1" s="508" t="s">
        <v>2307</v>
      </c>
      <c r="F1" s="472"/>
    </row>
    <row r="2" spans="1:12">
      <c r="F2" s="472"/>
    </row>
    <row r="3" spans="1:12">
      <c r="F3" s="472"/>
    </row>
    <row r="4" spans="1:12" s="506" customFormat="1" ht="24.75" customHeight="1" thickBot="1">
      <c r="A4" s="491" t="s">
        <v>2306</v>
      </c>
      <c r="B4" s="491" t="s">
        <v>2287</v>
      </c>
      <c r="C4" s="491" t="s">
        <v>2286</v>
      </c>
      <c r="D4" s="490"/>
      <c r="K4" s="507"/>
    </row>
    <row r="5" spans="1:12" s="480" customFormat="1" ht="22.5" customHeight="1">
      <c r="A5" s="494" t="s">
        <v>2305</v>
      </c>
      <c r="B5" s="485">
        <f>10337650-B6</f>
        <v>9862803</v>
      </c>
      <c r="C5" s="493">
        <v>600100100100</v>
      </c>
      <c r="D5" s="498"/>
      <c r="F5" s="1422" t="s">
        <v>2119</v>
      </c>
      <c r="G5" s="504">
        <v>10337650</v>
      </c>
      <c r="H5" s="502"/>
      <c r="I5" s="489">
        <f>SUM(B5:B8)</f>
        <v>11008013</v>
      </c>
      <c r="J5" s="489"/>
      <c r="K5" s="845">
        <v>741491.19799999986</v>
      </c>
      <c r="L5" s="846" t="s">
        <v>2593</v>
      </c>
    </row>
    <row r="6" spans="1:12" s="480" customFormat="1" ht="22.5" customHeight="1">
      <c r="A6" s="494" t="s">
        <v>2304</v>
      </c>
      <c r="B6" s="485">
        <v>474847</v>
      </c>
      <c r="C6" s="493">
        <v>600100100100</v>
      </c>
      <c r="D6" s="498"/>
      <c r="F6" s="1422" t="s">
        <v>134</v>
      </c>
      <c r="G6" s="504">
        <v>9604889</v>
      </c>
      <c r="H6" s="502"/>
      <c r="I6" s="489"/>
      <c r="J6" s="489"/>
      <c r="K6" s="847">
        <v>266644.31</v>
      </c>
      <c r="L6" s="848" t="s">
        <v>2595</v>
      </c>
    </row>
    <row r="7" spans="1:12" s="480" customFormat="1" ht="25.95" customHeight="1" thickBot="1">
      <c r="A7" s="494" t="s">
        <v>2567</v>
      </c>
      <c r="B7" s="485">
        <v>188781</v>
      </c>
      <c r="C7" s="493">
        <v>600100100100</v>
      </c>
      <c r="D7" s="498"/>
      <c r="F7" s="1422"/>
      <c r="G7" s="504"/>
      <c r="H7" s="502"/>
      <c r="I7" s="489"/>
      <c r="J7" s="489"/>
      <c r="K7" s="849">
        <v>474846.88799999986</v>
      </c>
      <c r="L7" s="850" t="s">
        <v>2594</v>
      </c>
    </row>
    <row r="8" spans="1:12" s="480" customFormat="1" ht="25.95" customHeight="1">
      <c r="A8" s="494" t="s">
        <v>2568</v>
      </c>
      <c r="B8" s="485">
        <v>481582</v>
      </c>
      <c r="C8" s="493">
        <v>600100100100</v>
      </c>
      <c r="D8" s="498"/>
      <c r="F8" s="1422"/>
      <c r="G8" s="504"/>
      <c r="H8" s="502"/>
      <c r="I8" s="489"/>
      <c r="J8" s="489"/>
      <c r="K8" s="489"/>
    </row>
    <row r="9" spans="1:12" s="480" customFormat="1" ht="22.5" customHeight="1">
      <c r="A9" s="494" t="s">
        <v>2303</v>
      </c>
      <c r="B9" s="485">
        <v>9297000</v>
      </c>
      <c r="C9" s="493">
        <v>600100100200</v>
      </c>
      <c r="D9" s="498"/>
      <c r="F9" s="1422" t="s">
        <v>2120</v>
      </c>
      <c r="G9" s="505">
        <v>0</v>
      </c>
      <c r="I9" s="498">
        <f>+B9+B26+B33</f>
        <v>16550908.863975</v>
      </c>
      <c r="J9" s="498">
        <f>+'Alimentazione Rag'!R900-'1 Contr.'!I9</f>
        <v>0.32602499984204769</v>
      </c>
      <c r="K9" s="489"/>
    </row>
    <row r="10" spans="1:12" s="480" customFormat="1" ht="27.6" customHeight="1">
      <c r="A10" s="494" t="s">
        <v>2302</v>
      </c>
      <c r="B10" s="485">
        <v>2328685</v>
      </c>
      <c r="C10" s="493" t="s">
        <v>2301</v>
      </c>
      <c r="D10" s="498"/>
      <c r="F10" s="1422" t="s">
        <v>137</v>
      </c>
      <c r="G10" s="504">
        <v>2328685</v>
      </c>
      <c r="K10" s="489"/>
    </row>
    <row r="11" spans="1:12" s="480" customFormat="1" ht="32.25" customHeight="1">
      <c r="A11" s="494" t="s">
        <v>2300</v>
      </c>
      <c r="B11" s="485">
        <v>2296463</v>
      </c>
      <c r="C11" s="493" t="s">
        <v>2297</v>
      </c>
      <c r="D11" s="498"/>
      <c r="F11" s="1422" t="s">
        <v>139</v>
      </c>
      <c r="G11" s="504">
        <v>5100973</v>
      </c>
      <c r="K11" s="489"/>
    </row>
    <row r="12" spans="1:12" s="480" customFormat="1" ht="36" customHeight="1">
      <c r="A12" s="494" t="s">
        <v>2299</v>
      </c>
      <c r="B12" s="485">
        <v>1604510</v>
      </c>
      <c r="C12" s="493" t="s">
        <v>2297</v>
      </c>
      <c r="D12" s="498"/>
      <c r="G12" s="503">
        <f>SUM(G5:G11)</f>
        <v>27372197</v>
      </c>
      <c r="K12" s="489"/>
    </row>
    <row r="13" spans="1:12" s="480" customFormat="1" ht="27.6" customHeight="1">
      <c r="A13" s="494" t="s">
        <v>2298</v>
      </c>
      <c r="B13" s="485">
        <v>1200000</v>
      </c>
      <c r="C13" s="493" t="s">
        <v>2297</v>
      </c>
      <c r="D13" s="498">
        <v>1200000</v>
      </c>
      <c r="K13" s="489"/>
    </row>
    <row r="14" spans="1:12" s="480" customFormat="1" ht="27.6" customHeight="1">
      <c r="A14" s="494"/>
      <c r="B14" s="485"/>
      <c r="C14" s="493"/>
      <c r="D14" s="498"/>
      <c r="F14" s="502"/>
      <c r="G14" s="502"/>
      <c r="K14" s="489"/>
    </row>
    <row r="15" spans="1:12" s="480" customFormat="1" ht="22.5" customHeight="1">
      <c r="A15" s="483" t="s">
        <v>2283</v>
      </c>
      <c r="B15" s="482">
        <f>SUM(B5:B14)</f>
        <v>27734671</v>
      </c>
      <c r="C15" s="501"/>
      <c r="D15" s="498"/>
      <c r="K15" s="489"/>
    </row>
    <row r="16" spans="1:12" s="480" customFormat="1" ht="22.5" customHeight="1">
      <c r="A16" s="491" t="s">
        <v>2296</v>
      </c>
      <c r="B16" s="491" t="s">
        <v>2287</v>
      </c>
      <c r="C16" s="491" t="s">
        <v>2286</v>
      </c>
      <c r="D16" s="490"/>
      <c r="F16" s="498"/>
      <c r="G16" s="498" t="s">
        <v>2578</v>
      </c>
      <c r="H16" s="480" t="s">
        <v>2579</v>
      </c>
      <c r="K16" s="489"/>
    </row>
    <row r="17" spans="1:14" s="480" customFormat="1" ht="28.5" customHeight="1">
      <c r="A17" s="500" t="s">
        <v>2295</v>
      </c>
      <c r="B17" s="822">
        <v>204589.44397499997</v>
      </c>
      <c r="C17" s="499">
        <v>600100200200</v>
      </c>
      <c r="D17" s="486"/>
      <c r="F17" s="822">
        <v>191373.94</v>
      </c>
      <c r="G17" s="500" t="s">
        <v>2295</v>
      </c>
      <c r="H17" s="498">
        <f>+B17-F17</f>
        <v>13215.503974999971</v>
      </c>
      <c r="K17" s="315" t="s">
        <v>2119</v>
      </c>
      <c r="L17" s="504">
        <v>10337650</v>
      </c>
    </row>
    <row r="18" spans="1:14" s="480" customFormat="1" ht="30" customHeight="1">
      <c r="A18" s="494" t="s">
        <v>2294</v>
      </c>
      <c r="B18" s="822">
        <v>30000</v>
      </c>
      <c r="C18" s="499">
        <v>600100200200</v>
      </c>
      <c r="D18" s="486"/>
      <c r="F18" s="822">
        <v>30000</v>
      </c>
      <c r="G18" s="494" t="s">
        <v>2294</v>
      </c>
      <c r="H18" s="498">
        <f>+B18-F18</f>
        <v>0</v>
      </c>
      <c r="K18" s="315" t="s">
        <v>134</v>
      </c>
      <c r="L18" s="504">
        <v>9604889</v>
      </c>
    </row>
    <row r="19" spans="1:14" s="480" customFormat="1" ht="22.5" customHeight="1">
      <c r="A19" s="494" t="s">
        <v>2293</v>
      </c>
      <c r="B19" s="822">
        <v>127843</v>
      </c>
      <c r="C19" s="499">
        <v>600100200200</v>
      </c>
      <c r="D19" s="486"/>
      <c r="F19" s="485">
        <v>127843</v>
      </c>
      <c r="G19" s="494" t="s">
        <v>2293</v>
      </c>
      <c r="H19" s="498">
        <f>+B19-F19</f>
        <v>0</v>
      </c>
      <c r="I19" s="489"/>
      <c r="J19" s="489"/>
      <c r="K19" s="315" t="s">
        <v>2120</v>
      </c>
      <c r="L19" s="505">
        <v>0</v>
      </c>
    </row>
    <row r="20" spans="1:14" s="480" customFormat="1" ht="36" customHeight="1">
      <c r="A20" s="494" t="s">
        <v>2569</v>
      </c>
      <c r="B20" s="822">
        <v>138801.31</v>
      </c>
      <c r="C20" s="499">
        <v>600100200200</v>
      </c>
      <c r="D20" s="486"/>
      <c r="F20" s="498"/>
      <c r="H20" s="498">
        <f>+B20-F20</f>
        <v>138801.31</v>
      </c>
      <c r="K20" s="315" t="s">
        <v>137</v>
      </c>
      <c r="L20" s="504">
        <v>2328685</v>
      </c>
    </row>
    <row r="21" spans="1:14" s="480" customFormat="1" ht="34.950000000000003" customHeight="1">
      <c r="A21" s="494" t="s">
        <v>2570</v>
      </c>
      <c r="B21" s="822">
        <v>1232537.8999999999</v>
      </c>
      <c r="C21" s="499">
        <v>600100200200</v>
      </c>
      <c r="D21" s="486"/>
      <c r="F21" s="822">
        <v>466266.43</v>
      </c>
      <c r="G21" s="494" t="s">
        <v>2575</v>
      </c>
      <c r="H21" s="498">
        <f>+B21-F21-F22-F23</f>
        <v>-69902.320000000065</v>
      </c>
      <c r="K21" s="315" t="s">
        <v>139</v>
      </c>
      <c r="L21" s="504">
        <v>5100973</v>
      </c>
    </row>
    <row r="22" spans="1:14" s="480" customFormat="1" ht="32.25" customHeight="1">
      <c r="A22" s="494" t="s">
        <v>2571</v>
      </c>
      <c r="B22" s="822"/>
      <c r="C22" s="499">
        <v>600100100200</v>
      </c>
      <c r="D22" s="486"/>
      <c r="F22" s="822">
        <v>42461.15</v>
      </c>
      <c r="G22" s="494" t="s">
        <v>2576</v>
      </c>
      <c r="L22" s="503">
        <f>SUM(L17:L21)</f>
        <v>27372197</v>
      </c>
    </row>
    <row r="23" spans="1:14" s="480" customFormat="1" ht="22.5" customHeight="1">
      <c r="A23" s="494" t="s">
        <v>2292</v>
      </c>
      <c r="B23" s="822">
        <v>1219680</v>
      </c>
      <c r="C23" s="499">
        <v>600100200200</v>
      </c>
      <c r="D23" s="486"/>
      <c r="F23" s="822">
        <v>793712.64000000001</v>
      </c>
      <c r="G23" s="494" t="s">
        <v>2577</v>
      </c>
      <c r="H23" s="498">
        <f>+B23-F26</f>
        <v>-780320</v>
      </c>
      <c r="K23" s="489"/>
    </row>
    <row r="24" spans="1:14" s="480" customFormat="1" ht="22.5" customHeight="1">
      <c r="A24" s="488" t="s">
        <v>2584</v>
      </c>
      <c r="B24" s="822">
        <v>1546273.64</v>
      </c>
      <c r="C24" s="499">
        <v>600100200200</v>
      </c>
      <c r="D24" s="486"/>
      <c r="F24" s="822"/>
      <c r="G24" s="494"/>
      <c r="H24" s="498"/>
      <c r="K24" s="489"/>
    </row>
    <row r="25" spans="1:14" s="480" customFormat="1" ht="22.5" customHeight="1">
      <c r="A25" s="488" t="s">
        <v>2584</v>
      </c>
      <c r="B25" s="822">
        <v>935155.02</v>
      </c>
      <c r="C25" s="499">
        <v>600100200200</v>
      </c>
      <c r="D25" s="486"/>
      <c r="F25" s="822"/>
      <c r="G25" s="494"/>
      <c r="H25" s="498"/>
      <c r="K25" s="489"/>
    </row>
    <row r="26" spans="1:14" s="480" customFormat="1" ht="22.5" customHeight="1">
      <c r="A26" s="483" t="s">
        <v>2283</v>
      </c>
      <c r="B26" s="823">
        <f>SUM(B17:B25)</f>
        <v>5434880.3139749989</v>
      </c>
      <c r="C26" s="487"/>
      <c r="D26" s="486"/>
      <c r="F26" s="822">
        <v>2000000</v>
      </c>
      <c r="G26" s="494" t="s">
        <v>2292</v>
      </c>
      <c r="H26" s="498">
        <f>SUM(H17:H23)</f>
        <v>-698205.50602500013</v>
      </c>
      <c r="I26" s="827">
        <v>-698205.50602500141</v>
      </c>
      <c r="J26" s="498">
        <f>+H26-I26</f>
        <v>1.280568540096283E-9</v>
      </c>
      <c r="K26" s="489"/>
      <c r="L26" s="1567"/>
      <c r="M26" s="1567"/>
    </row>
    <row r="27" spans="1:14" s="480" customFormat="1" ht="22.5" customHeight="1">
      <c r="A27" s="491" t="s">
        <v>2572</v>
      </c>
      <c r="B27" s="491" t="s">
        <v>2287</v>
      </c>
      <c r="C27" s="491" t="s">
        <v>2286</v>
      </c>
      <c r="D27" s="486"/>
      <c r="F27" s="498">
        <f>SUM(F17:F26)</f>
        <v>3651657.16</v>
      </c>
      <c r="G27" s="498">
        <f>+B26-F27</f>
        <v>1783223.1539749987</v>
      </c>
      <c r="K27" s="489"/>
      <c r="L27" s="511"/>
      <c r="M27" s="511"/>
    </row>
    <row r="28" spans="1:14" s="480" customFormat="1" ht="22.5" customHeight="1">
      <c r="A28" s="497" t="s">
        <v>2564</v>
      </c>
      <c r="B28" s="822">
        <v>1062166.1100000001</v>
      </c>
      <c r="C28" s="493">
        <v>600100100200</v>
      </c>
      <c r="D28" s="490"/>
      <c r="K28" s="489"/>
      <c r="L28" s="511"/>
      <c r="M28" s="511"/>
    </row>
    <row r="29" spans="1:14" s="480" customFormat="1" ht="22.5" customHeight="1">
      <c r="A29" s="497" t="s">
        <v>2565</v>
      </c>
      <c r="B29" s="822">
        <v>180157.67</v>
      </c>
      <c r="C29" s="493">
        <v>600100100200</v>
      </c>
      <c r="D29" s="490"/>
      <c r="J29" s="827"/>
      <c r="K29" s="489"/>
    </row>
    <row r="30" spans="1:14" s="480" customFormat="1" ht="22.5" customHeight="1">
      <c r="A30" s="497" t="s">
        <v>2566</v>
      </c>
      <c r="B30" s="822">
        <v>137093.26999999999</v>
      </c>
      <c r="C30" s="493">
        <v>600100100200</v>
      </c>
      <c r="D30" s="490"/>
      <c r="G30" s="830" t="s">
        <v>2580</v>
      </c>
      <c r="H30" s="489">
        <f>+B22+B33</f>
        <v>1819028.55</v>
      </c>
      <c r="J30" s="827"/>
      <c r="K30" s="489"/>
    </row>
    <row r="31" spans="1:14" s="480" customFormat="1" ht="22.5" customHeight="1">
      <c r="A31" s="497" t="s">
        <v>2573</v>
      </c>
      <c r="B31" s="822">
        <v>162698.5</v>
      </c>
      <c r="C31" s="493">
        <v>600100100200</v>
      </c>
      <c r="D31" s="490"/>
      <c r="G31" s="830" t="s">
        <v>2581</v>
      </c>
      <c r="H31" s="489">
        <f>+'Alimentazione Rag'!R825</f>
        <v>606847.74</v>
      </c>
      <c r="J31" s="827"/>
      <c r="K31" s="489"/>
      <c r="M31" s="495"/>
      <c r="N31" s="492"/>
    </row>
    <row r="32" spans="1:14" s="480" customFormat="1" ht="22.5" customHeight="1">
      <c r="A32" s="496" t="s">
        <v>2574</v>
      </c>
      <c r="B32" s="824">
        <v>276913</v>
      </c>
      <c r="C32" s="493">
        <v>600100100200</v>
      </c>
      <c r="D32" s="486"/>
      <c r="G32" s="830" t="s">
        <v>2582</v>
      </c>
      <c r="H32" s="489" t="e">
        <f>+'Schema CE'!#REF!+'Schema CE'!#REF!</f>
        <v>#REF!</v>
      </c>
      <c r="J32" s="827"/>
      <c r="K32" s="489"/>
      <c r="M32" s="495"/>
      <c r="N32" s="492"/>
    </row>
    <row r="33" spans="1:14" s="480" customFormat="1" ht="22.5" customHeight="1">
      <c r="A33" s="483" t="s">
        <v>2283</v>
      </c>
      <c r="B33" s="482">
        <f>SUM(B28:B32)</f>
        <v>1819028.55</v>
      </c>
      <c r="C33" s="825"/>
      <c r="D33" s="486"/>
      <c r="G33" s="486" t="s">
        <v>2583</v>
      </c>
      <c r="H33" s="489">
        <v>83378</v>
      </c>
      <c r="J33" s="827"/>
      <c r="K33" s="489"/>
      <c r="M33" s="495"/>
      <c r="N33" s="492"/>
    </row>
    <row r="34" spans="1:14" s="480" customFormat="1" ht="22.5" customHeight="1">
      <c r="A34" s="491" t="s">
        <v>2291</v>
      </c>
      <c r="B34" s="491" t="s">
        <v>2287</v>
      </c>
      <c r="C34" s="491" t="s">
        <v>2286</v>
      </c>
      <c r="D34" s="486"/>
      <c r="H34" s="489" t="e">
        <f>+H30-H31-H32-H33</f>
        <v>#REF!</v>
      </c>
      <c r="J34" s="827"/>
      <c r="K34" s="489"/>
      <c r="M34" s="495"/>
      <c r="N34" s="492"/>
    </row>
    <row r="35" spans="1:14" s="480" customFormat="1" ht="22.5" customHeight="1">
      <c r="A35" s="494" t="s">
        <v>2290</v>
      </c>
      <c r="B35" s="485"/>
      <c r="C35" s="493">
        <v>600200100400</v>
      </c>
      <c r="D35" s="490"/>
      <c r="F35" s="491" t="s">
        <v>2289</v>
      </c>
      <c r="H35" s="475"/>
      <c r="K35" s="475"/>
      <c r="M35" s="479"/>
      <c r="N35" s="492"/>
    </row>
    <row r="36" spans="1:14" s="480" customFormat="1" ht="22.5" customHeight="1">
      <c r="A36" s="483" t="s">
        <v>2283</v>
      </c>
      <c r="B36" s="482">
        <f>SUM(B35:B35)</f>
        <v>0</v>
      </c>
      <c r="C36" s="487"/>
      <c r="D36" s="490"/>
      <c r="F36" s="487"/>
      <c r="H36" s="475"/>
      <c r="I36" s="475"/>
      <c r="J36" s="829"/>
      <c r="K36" s="479"/>
      <c r="M36" s="479"/>
      <c r="N36" s="492"/>
    </row>
    <row r="37" spans="1:14" s="480" customFormat="1" ht="22.5" customHeight="1">
      <c r="A37" s="491" t="s">
        <v>2288</v>
      </c>
      <c r="B37" s="491" t="s">
        <v>2287</v>
      </c>
      <c r="C37" s="491" t="s">
        <v>2286</v>
      </c>
      <c r="D37" s="490"/>
      <c r="F37" s="487"/>
      <c r="H37" s="489"/>
      <c r="K37" s="489"/>
    </row>
    <row r="38" spans="1:14" s="480" customFormat="1" ht="22.5" customHeight="1">
      <c r="A38" s="488" t="s">
        <v>1092</v>
      </c>
      <c r="B38" s="485">
        <v>0</v>
      </c>
      <c r="C38" s="487" t="s">
        <v>2284</v>
      </c>
      <c r="D38" s="486"/>
      <c r="F38" s="481"/>
      <c r="G38" s="472"/>
      <c r="H38" s="489"/>
      <c r="K38" s="489"/>
    </row>
    <row r="39" spans="1:14">
      <c r="A39" s="485" t="s">
        <v>2285</v>
      </c>
      <c r="B39" s="485"/>
      <c r="C39" s="484" t="s">
        <v>2284</v>
      </c>
      <c r="D39" s="480"/>
      <c r="E39" s="480"/>
      <c r="F39" s="476"/>
      <c r="H39" s="480"/>
      <c r="I39" s="475"/>
    </row>
    <row r="40" spans="1:14">
      <c r="A40" s="483" t="s">
        <v>2283</v>
      </c>
      <c r="B40" s="482">
        <f>SUM(B38:B39)</f>
        <v>0</v>
      </c>
      <c r="C40" s="481"/>
      <c r="F40" s="472"/>
      <c r="H40" s="480"/>
      <c r="I40" s="475"/>
    </row>
    <row r="41" spans="1:14">
      <c r="A41" s="478" t="s">
        <v>2282</v>
      </c>
      <c r="B41" s="477">
        <f>+B40+B26+B15+B36</f>
        <v>33169551.313974999</v>
      </c>
      <c r="C41" s="476"/>
      <c r="F41" s="472"/>
      <c r="H41" s="480"/>
      <c r="I41" s="479">
        <v>69902</v>
      </c>
    </row>
    <row r="42" spans="1:14">
      <c r="A42" s="478" t="s">
        <v>2282</v>
      </c>
      <c r="B42" s="477">
        <f>+B15+B26+B33</f>
        <v>34988579.863974996</v>
      </c>
      <c r="C42" s="476"/>
      <c r="H42" s="473"/>
      <c r="I42" s="475">
        <v>41695.879999999997</v>
      </c>
    </row>
    <row r="43" spans="1:14">
      <c r="H43" s="473"/>
    </row>
    <row r="44" spans="1:14">
      <c r="H44" s="473"/>
      <c r="I44" s="1421">
        <f>+I41-I42</f>
        <v>28206.120000000003</v>
      </c>
    </row>
    <row r="47" spans="1:14">
      <c r="B47" s="474"/>
    </row>
    <row r="48" spans="1:14">
      <c r="B48" s="474"/>
    </row>
  </sheetData>
  <mergeCells count="1">
    <mergeCell ref="L26:M26"/>
  </mergeCells>
  <printOptions horizontalCentered="1"/>
  <pageMargins left="0.31496062992125984" right="0.19685039370078741" top="0.69" bottom="0.98425196850393704" header="0.42" footer="0.51181102362204722"/>
  <pageSetup paperSize="9" scale="46" orientation="portrait" r:id="rId1"/>
  <headerFooter alignWithMargins="0">
    <oddHeader>&amp;LI.R.C.C.S BURLO GAROFOLO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zoomScale="90" zoomScaleNormal="90" workbookViewId="0">
      <selection activeCell="M7" sqref="M7"/>
    </sheetView>
  </sheetViews>
  <sheetFormatPr defaultColWidth="9.109375" defaultRowHeight="13.8"/>
  <cols>
    <col min="1" max="1" width="16.44140625" style="753" customWidth="1"/>
    <col min="2" max="2" width="9.109375" style="753"/>
    <col min="3" max="3" width="104.5546875" style="753" bestFit="1" customWidth="1"/>
    <col min="4" max="4" width="29.6640625" style="756" bestFit="1" customWidth="1"/>
    <col min="5" max="5" width="17.109375" style="756" customWidth="1"/>
    <col min="6" max="6" width="18.44140625" style="753" customWidth="1"/>
    <col min="7" max="7" width="12" style="753" bestFit="1" customWidth="1"/>
    <col min="8" max="8" width="10.5546875" style="753" customWidth="1"/>
    <col min="9" max="9" width="12.109375" style="753" customWidth="1"/>
    <col min="10" max="10" width="14.109375" style="753" customWidth="1"/>
    <col min="11" max="11" width="11.5546875" style="753" customWidth="1"/>
    <col min="12" max="12" width="14.44140625" style="753" customWidth="1"/>
    <col min="13" max="13" width="13.5546875" style="753" customWidth="1"/>
    <col min="14" max="14" width="10.5546875" style="753" customWidth="1"/>
    <col min="15" max="16384" width="9.109375" style="753"/>
  </cols>
  <sheetData>
    <row r="1" spans="1:5" s="751" customFormat="1" ht="21.75" customHeight="1">
      <c r="A1" s="750" t="s">
        <v>2429</v>
      </c>
      <c r="D1" s="752"/>
      <c r="E1" s="752"/>
    </row>
    <row r="3" spans="1:5">
      <c r="C3" s="754" t="s">
        <v>2430</v>
      </c>
      <c r="D3" s="755" t="s">
        <v>2431</v>
      </c>
    </row>
    <row r="4" spans="1:5">
      <c r="A4" s="757" t="s">
        <v>2432</v>
      </c>
      <c r="B4" s="758" t="s">
        <v>1899</v>
      </c>
      <c r="C4" s="758" t="s">
        <v>1900</v>
      </c>
      <c r="D4" s="759">
        <v>35988711</v>
      </c>
    </row>
    <row r="5" spans="1:5" ht="15" customHeight="1">
      <c r="A5" s="1575" t="s">
        <v>2433</v>
      </c>
      <c r="B5" s="758" t="s">
        <v>900</v>
      </c>
      <c r="C5" s="758" t="s">
        <v>2434</v>
      </c>
      <c r="D5" s="759">
        <v>1406748</v>
      </c>
    </row>
    <row r="6" spans="1:5">
      <c r="A6" s="1576"/>
      <c r="B6" s="758" t="s">
        <v>1030</v>
      </c>
      <c r="C6" s="758" t="s">
        <v>1868</v>
      </c>
      <c r="D6" s="759"/>
    </row>
    <row r="7" spans="1:5">
      <c r="A7" s="1576"/>
      <c r="B7" s="758" t="s">
        <v>895</v>
      </c>
      <c r="C7" s="758" t="s">
        <v>1824</v>
      </c>
      <c r="D7" s="759">
        <v>105556</v>
      </c>
    </row>
    <row r="8" spans="1:5">
      <c r="A8" s="1576"/>
      <c r="B8" s="758" t="s">
        <v>909</v>
      </c>
      <c r="C8" s="758" t="s">
        <v>1827</v>
      </c>
      <c r="D8" s="759">
        <v>59862</v>
      </c>
    </row>
    <row r="9" spans="1:5">
      <c r="A9" s="1577"/>
      <c r="B9" s="758" t="s">
        <v>1034</v>
      </c>
      <c r="C9" s="758" t="s">
        <v>1870</v>
      </c>
      <c r="D9" s="759">
        <v>307834</v>
      </c>
    </row>
    <row r="10" spans="1:5">
      <c r="A10" s="1575" t="s">
        <v>2435</v>
      </c>
      <c r="B10" s="758" t="s">
        <v>906</v>
      </c>
      <c r="C10" s="758" t="s">
        <v>1826</v>
      </c>
      <c r="D10" s="759">
        <v>606967</v>
      </c>
    </row>
    <row r="11" spans="1:5">
      <c r="A11" s="1577"/>
      <c r="B11" s="758" t="s">
        <v>1032</v>
      </c>
      <c r="C11" s="758" t="s">
        <v>1869</v>
      </c>
      <c r="D11" s="759"/>
    </row>
    <row r="12" spans="1:5">
      <c r="A12" s="1578" t="s">
        <v>110</v>
      </c>
      <c r="B12" s="758" t="s">
        <v>1496</v>
      </c>
      <c r="C12" s="758" t="s">
        <v>2101</v>
      </c>
      <c r="D12" s="759">
        <v>2368974</v>
      </c>
    </row>
    <row r="13" spans="1:5">
      <c r="A13" s="1578"/>
      <c r="B13" s="758" t="s">
        <v>1498</v>
      </c>
      <c r="C13" s="758" t="s">
        <v>2102</v>
      </c>
      <c r="D13" s="759">
        <v>142063</v>
      </c>
    </row>
    <row r="14" spans="1:5">
      <c r="B14" s="760"/>
      <c r="C14" s="761" t="s">
        <v>2436</v>
      </c>
      <c r="D14" s="762">
        <f>SUM(D4:D13)</f>
        <v>40986715</v>
      </c>
    </row>
    <row r="15" spans="1:5">
      <c r="A15" s="1569" t="s">
        <v>2437</v>
      </c>
      <c r="B15" s="1570"/>
      <c r="C15" s="763" t="s">
        <v>2438</v>
      </c>
      <c r="D15" s="759">
        <v>456967.59</v>
      </c>
    </row>
    <row r="16" spans="1:5">
      <c r="A16" s="1571"/>
      <c r="B16" s="1572"/>
      <c r="C16" s="763" t="s">
        <v>2439</v>
      </c>
      <c r="D16" s="759">
        <v>526515</v>
      </c>
    </row>
    <row r="17" spans="1:6">
      <c r="A17" s="1571"/>
      <c r="B17" s="1572"/>
      <c r="C17" s="763" t="s">
        <v>2440</v>
      </c>
      <c r="D17" s="759"/>
    </row>
    <row r="18" spans="1:6">
      <c r="A18" s="1571"/>
      <c r="B18" s="1572"/>
      <c r="C18" s="763" t="s">
        <v>2441</v>
      </c>
      <c r="D18" s="759">
        <v>5570680.8399999999</v>
      </c>
    </row>
    <row r="19" spans="1:6">
      <c r="A19" s="1571"/>
      <c r="B19" s="1572"/>
      <c r="C19" s="763" t="s">
        <v>2442</v>
      </c>
      <c r="D19" s="759">
        <v>673278.28</v>
      </c>
    </row>
    <row r="20" spans="1:6">
      <c r="A20" s="1571"/>
      <c r="B20" s="1572"/>
      <c r="C20" s="763" t="s">
        <v>2443</v>
      </c>
      <c r="D20" s="759">
        <v>235615.13</v>
      </c>
    </row>
    <row r="21" spans="1:6">
      <c r="A21" s="1573"/>
      <c r="B21" s="1574"/>
      <c r="C21" s="761" t="s">
        <v>2444</v>
      </c>
      <c r="D21" s="762">
        <f>SUM(D15:D20)</f>
        <v>7463056.8399999999</v>
      </c>
      <c r="F21" s="756"/>
    </row>
    <row r="22" spans="1:6">
      <c r="C22" s="761" t="s">
        <v>2445</v>
      </c>
      <c r="D22" s="762">
        <f>D14-D21</f>
        <v>33523658.16</v>
      </c>
    </row>
    <row r="24" spans="1:6">
      <c r="C24" s="764" t="s">
        <v>2446</v>
      </c>
      <c r="D24" s="765" t="s">
        <v>2447</v>
      </c>
      <c r="E24" s="765" t="s">
        <v>2448</v>
      </c>
    </row>
    <row r="25" spans="1:6">
      <c r="A25" s="766" t="s">
        <v>2432</v>
      </c>
      <c r="B25" s="758" t="s">
        <v>1899</v>
      </c>
      <c r="C25" s="758" t="s">
        <v>1900</v>
      </c>
      <c r="D25" s="759">
        <v>38547154.18</v>
      </c>
      <c r="E25" s="759">
        <f>565036.11+45000</f>
        <v>610036.11</v>
      </c>
    </row>
    <row r="26" spans="1:6">
      <c r="A26" s="1579" t="s">
        <v>2433</v>
      </c>
      <c r="B26" s="758" t="s">
        <v>900</v>
      </c>
      <c r="C26" s="758" t="s">
        <v>2434</v>
      </c>
      <c r="D26" s="759">
        <f>936991.86</f>
        <v>936991.86</v>
      </c>
      <c r="E26" s="759">
        <f>72538.81</f>
        <v>72538.81</v>
      </c>
      <c r="F26" s="756"/>
    </row>
    <row r="27" spans="1:6">
      <c r="A27" s="1579"/>
      <c r="B27" s="758" t="s">
        <v>1030</v>
      </c>
      <c r="C27" s="758" t="s">
        <v>1868</v>
      </c>
      <c r="D27" s="759"/>
      <c r="E27" s="759"/>
    </row>
    <row r="28" spans="1:6">
      <c r="A28" s="1579"/>
      <c r="B28" s="758" t="s">
        <v>895</v>
      </c>
      <c r="C28" s="758" t="s">
        <v>1824</v>
      </c>
      <c r="D28" s="759">
        <f>90000</f>
        <v>90000</v>
      </c>
      <c r="E28" s="759"/>
    </row>
    <row r="29" spans="1:6">
      <c r="A29" s="1579"/>
      <c r="B29" s="758" t="s">
        <v>909</v>
      </c>
      <c r="C29" s="758" t="s">
        <v>1827</v>
      </c>
      <c r="D29" s="759">
        <v>653514.54</v>
      </c>
      <c r="E29" s="759">
        <v>121578.08</v>
      </c>
    </row>
    <row r="30" spans="1:6">
      <c r="A30" s="1579"/>
      <c r="B30" s="758" t="s">
        <v>1034</v>
      </c>
      <c r="C30" s="758" t="s">
        <v>1870</v>
      </c>
      <c r="D30" s="759">
        <f>553075.19</f>
        <v>553075.18999999994</v>
      </c>
      <c r="E30" s="759"/>
    </row>
    <row r="31" spans="1:6">
      <c r="A31" s="1579" t="s">
        <v>2449</v>
      </c>
      <c r="B31" s="758" t="s">
        <v>906</v>
      </c>
      <c r="C31" s="758" t="s">
        <v>1826</v>
      </c>
      <c r="D31" s="759">
        <v>610000</v>
      </c>
      <c r="E31" s="759"/>
    </row>
    <row r="32" spans="1:6">
      <c r="A32" s="1579"/>
      <c r="B32" s="758" t="s">
        <v>1032</v>
      </c>
      <c r="C32" s="758" t="s">
        <v>1869</v>
      </c>
      <c r="D32" s="759"/>
      <c r="E32" s="759"/>
    </row>
    <row r="33" spans="1:7">
      <c r="A33" s="1568" t="s">
        <v>110</v>
      </c>
      <c r="B33" s="758" t="s">
        <v>1496</v>
      </c>
      <c r="C33" s="758" t="s">
        <v>2101</v>
      </c>
      <c r="D33" s="759">
        <v>2561454.3199999998</v>
      </c>
      <c r="E33" s="759">
        <f>39875.17+10009.94</f>
        <v>49885.11</v>
      </c>
      <c r="G33" s="756"/>
    </row>
    <row r="34" spans="1:7">
      <c r="A34" s="1568"/>
      <c r="B34" s="758" t="s">
        <v>1498</v>
      </c>
      <c r="C34" s="758" t="s">
        <v>2450</v>
      </c>
      <c r="D34" s="759">
        <v>137019</v>
      </c>
      <c r="E34" s="759">
        <f>2425.63</f>
        <v>2425.63</v>
      </c>
    </row>
    <row r="35" spans="1:7">
      <c r="C35" s="767" t="s">
        <v>2451</v>
      </c>
      <c r="D35" s="768">
        <f>SUM(D25:D34)</f>
        <v>44089209.089999996</v>
      </c>
      <c r="E35" s="768">
        <f>SUM(E25:E34)</f>
        <v>856463.73999999987</v>
      </c>
      <c r="F35" s="756"/>
    </row>
    <row r="36" spans="1:7">
      <c r="A36" s="1569" t="s">
        <v>2437</v>
      </c>
      <c r="B36" s="1570"/>
      <c r="C36" s="763" t="s">
        <v>2438</v>
      </c>
      <c r="D36" s="759">
        <v>428792.25</v>
      </c>
    </row>
    <row r="37" spans="1:7">
      <c r="A37" s="1571"/>
      <c r="B37" s="1572"/>
      <c r="C37" s="763" t="s">
        <v>2439</v>
      </c>
      <c r="D37" s="759">
        <v>534995</v>
      </c>
      <c r="F37" s="756"/>
    </row>
    <row r="38" spans="1:7">
      <c r="A38" s="1571"/>
      <c r="B38" s="1572"/>
      <c r="C38" s="763" t="s">
        <v>2440</v>
      </c>
      <c r="D38" s="759">
        <f>18000</f>
        <v>18000</v>
      </c>
    </row>
    <row r="39" spans="1:7">
      <c r="A39" s="1571"/>
      <c r="B39" s="1572"/>
      <c r="C39" s="763" t="s">
        <v>2441</v>
      </c>
      <c r="D39" s="759">
        <v>5570680.8399999999</v>
      </c>
    </row>
    <row r="40" spans="1:7">
      <c r="A40" s="1571"/>
      <c r="B40" s="1572"/>
      <c r="C40" s="763" t="s">
        <v>2452</v>
      </c>
      <c r="D40" s="759">
        <v>825547.88</v>
      </c>
      <c r="F40" s="756"/>
    </row>
    <row r="41" spans="1:7">
      <c r="A41" s="1571"/>
      <c r="B41" s="1572"/>
      <c r="C41" s="763" t="s">
        <v>2453</v>
      </c>
      <c r="D41" s="759">
        <v>958436.26</v>
      </c>
    </row>
    <row r="42" spans="1:7">
      <c r="A42" s="1571"/>
      <c r="B42" s="1572"/>
      <c r="C42" s="763" t="s">
        <v>2454</v>
      </c>
      <c r="D42" s="759">
        <v>586845.73</v>
      </c>
      <c r="F42" s="756"/>
    </row>
    <row r="43" spans="1:7">
      <c r="A43" s="1571"/>
      <c r="B43" s="1572"/>
      <c r="C43" s="763" t="s">
        <v>2455</v>
      </c>
      <c r="D43" s="759">
        <f>94056.49</f>
        <v>94056.49</v>
      </c>
      <c r="F43" s="756"/>
    </row>
    <row r="44" spans="1:7">
      <c r="A44" s="1571"/>
      <c r="B44" s="1572"/>
      <c r="C44" s="763" t="s">
        <v>2456</v>
      </c>
      <c r="D44" s="759">
        <v>54259.83</v>
      </c>
    </row>
    <row r="45" spans="1:7">
      <c r="A45" s="1571"/>
      <c r="B45" s="1572"/>
      <c r="C45" s="763" t="s">
        <v>2457</v>
      </c>
      <c r="D45" s="759">
        <f>106667</f>
        <v>106667</v>
      </c>
    </row>
    <row r="46" spans="1:7">
      <c r="A46" s="1573"/>
      <c r="B46" s="1574"/>
      <c r="C46" s="763" t="s">
        <v>2443</v>
      </c>
      <c r="D46" s="759">
        <v>266017.46999999997</v>
      </c>
    </row>
    <row r="47" spans="1:7">
      <c r="A47" s="769"/>
      <c r="B47" s="769"/>
      <c r="C47" s="767" t="s">
        <v>2444</v>
      </c>
      <c r="D47" s="768">
        <f>SUM(D36:D46)</f>
        <v>9444298.75</v>
      </c>
    </row>
    <row r="48" spans="1:7">
      <c r="B48" s="760"/>
      <c r="C48" s="767" t="s">
        <v>2458</v>
      </c>
      <c r="D48" s="768">
        <f>D35-D47</f>
        <v>34644910.339999996</v>
      </c>
      <c r="F48" s="756"/>
      <c r="G48" s="756"/>
    </row>
    <row r="49" spans="1:6">
      <c r="F49" s="756"/>
    </row>
    <row r="50" spans="1:6">
      <c r="A50" s="753" t="s">
        <v>2459</v>
      </c>
    </row>
  </sheetData>
  <mergeCells count="8">
    <mergeCell ref="A33:A34"/>
    <mergeCell ref="A36:B46"/>
    <mergeCell ref="A5:A9"/>
    <mergeCell ref="A10:A11"/>
    <mergeCell ref="A12:A13"/>
    <mergeCell ref="A15:B21"/>
    <mergeCell ref="A26:A30"/>
    <mergeCell ref="A31:A32"/>
  </mergeCells>
  <pageMargins left="0.51181102362204722" right="0.51181102362204722" top="0.51181102362204722" bottom="0.51181102362204722" header="0.31496062992125984" footer="0.31496062992125984"/>
  <pageSetup paperSize="8" scale="85" fitToWidth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5"/>
  <sheetViews>
    <sheetView zoomScale="80" zoomScaleNormal="80" workbookViewId="0">
      <selection activeCell="M7" sqref="M7"/>
    </sheetView>
  </sheetViews>
  <sheetFormatPr defaultRowHeight="14.4"/>
  <cols>
    <col min="1" max="1" width="8.88671875" style="772"/>
    <col min="2" max="2" width="11.109375" style="772" customWidth="1"/>
    <col min="3" max="3" width="20" style="772" customWidth="1"/>
    <col min="4" max="4" width="35.88671875" style="772" customWidth="1"/>
    <col min="5" max="5" width="22.44140625" style="772" customWidth="1"/>
    <col min="6" max="6" width="25.6640625" style="772" customWidth="1"/>
    <col min="7" max="7" width="40" style="772" customWidth="1"/>
    <col min="8" max="8" width="20.33203125" style="772" customWidth="1"/>
    <col min="9" max="9" width="18.33203125" style="772" bestFit="1" customWidth="1"/>
    <col min="10" max="11" width="8.88671875" style="772"/>
    <col min="12" max="12" width="12.33203125" style="772" bestFit="1" customWidth="1"/>
    <col min="13" max="16384" width="8.88671875" style="772"/>
  </cols>
  <sheetData>
    <row r="1" spans="1:9" ht="15.6">
      <c r="A1" s="770" t="s">
        <v>2460</v>
      </c>
      <c r="B1" s="771"/>
      <c r="C1" s="771"/>
      <c r="D1" s="771"/>
      <c r="E1" s="771"/>
      <c r="F1" s="771"/>
    </row>
    <row r="3" spans="1:9">
      <c r="A3" s="773" t="s">
        <v>2461</v>
      </c>
      <c r="B3" s="773"/>
      <c r="C3" s="773"/>
      <c r="D3" s="773"/>
      <c r="E3" s="773"/>
      <c r="F3" s="773"/>
      <c r="G3" s="773"/>
      <c r="H3" s="773"/>
      <c r="I3" s="773"/>
    </row>
    <row r="4" spans="1:9" ht="45" customHeight="1">
      <c r="A4" s="774" t="s">
        <v>2462</v>
      </c>
      <c r="B4" s="774" t="s">
        <v>2463</v>
      </c>
      <c r="C4" s="774" t="s">
        <v>2464</v>
      </c>
      <c r="D4" s="775" t="s">
        <v>2465</v>
      </c>
      <c r="E4" s="776" t="s">
        <v>2466</v>
      </c>
      <c r="F4" s="776" t="s">
        <v>2467</v>
      </c>
      <c r="G4" s="774" t="s">
        <v>2468</v>
      </c>
      <c r="H4" s="774" t="s">
        <v>2469</v>
      </c>
      <c r="I4" s="776" t="s">
        <v>2470</v>
      </c>
    </row>
    <row r="5" spans="1:9" ht="43.2">
      <c r="A5" s="777">
        <v>1</v>
      </c>
      <c r="B5" s="778" t="s">
        <v>2471</v>
      </c>
      <c r="C5" s="778" t="s">
        <v>2472</v>
      </c>
      <c r="D5" s="779" t="s">
        <v>2473</v>
      </c>
      <c r="E5" s="778" t="s">
        <v>2474</v>
      </c>
      <c r="F5" s="778" t="s">
        <v>2475</v>
      </c>
      <c r="G5" s="778" t="s">
        <v>2476</v>
      </c>
      <c r="H5" s="780">
        <v>34119.71</v>
      </c>
      <c r="I5" s="780">
        <v>34119.71</v>
      </c>
    </row>
    <row r="6" spans="1:9">
      <c r="A6" s="777">
        <v>1</v>
      </c>
      <c r="B6" s="778" t="s">
        <v>2471</v>
      </c>
      <c r="C6" s="778" t="s">
        <v>2477</v>
      </c>
      <c r="D6" s="778" t="s">
        <v>2478</v>
      </c>
      <c r="E6" s="778" t="s">
        <v>2479</v>
      </c>
      <c r="F6" s="778" t="s">
        <v>2475</v>
      </c>
      <c r="G6" s="778" t="s">
        <v>2480</v>
      </c>
      <c r="H6" s="780">
        <v>17874.86</v>
      </c>
      <c r="I6" s="780">
        <v>39955.58</v>
      </c>
    </row>
    <row r="7" spans="1:9">
      <c r="A7" s="777">
        <v>1</v>
      </c>
      <c r="B7" s="778" t="s">
        <v>2481</v>
      </c>
      <c r="C7" s="778" t="s">
        <v>2482</v>
      </c>
      <c r="D7" s="778" t="s">
        <v>2483</v>
      </c>
      <c r="E7" s="778"/>
      <c r="F7" s="778" t="s">
        <v>2475</v>
      </c>
      <c r="G7" s="778" t="s">
        <v>2484</v>
      </c>
      <c r="H7" s="780">
        <v>0</v>
      </c>
      <c r="I7" s="780">
        <v>6944.52</v>
      </c>
    </row>
    <row r="8" spans="1:9">
      <c r="A8" s="777">
        <v>1</v>
      </c>
      <c r="B8" s="778" t="s">
        <v>2471</v>
      </c>
      <c r="C8" s="778" t="s">
        <v>2485</v>
      </c>
      <c r="D8" s="778" t="s">
        <v>2483</v>
      </c>
      <c r="E8" s="778"/>
      <c r="F8" s="778" t="s">
        <v>2475</v>
      </c>
      <c r="G8" s="778" t="s">
        <v>2486</v>
      </c>
      <c r="H8" s="780">
        <v>0</v>
      </c>
      <c r="I8" s="780">
        <v>6944.52</v>
      </c>
    </row>
    <row r="9" spans="1:9">
      <c r="A9" s="777">
        <v>1</v>
      </c>
      <c r="B9" s="778" t="s">
        <v>2487</v>
      </c>
      <c r="C9" s="778" t="s">
        <v>2488</v>
      </c>
      <c r="D9" s="778" t="s">
        <v>2483</v>
      </c>
      <c r="E9" s="778"/>
      <c r="F9" s="778" t="s">
        <v>2475</v>
      </c>
      <c r="G9" s="778" t="s">
        <v>2489</v>
      </c>
      <c r="H9" s="780">
        <v>0</v>
      </c>
      <c r="I9" s="780">
        <v>8050.14</v>
      </c>
    </row>
    <row r="10" spans="1:9">
      <c r="A10" s="777">
        <v>1</v>
      </c>
      <c r="B10" s="778" t="s">
        <v>2487</v>
      </c>
      <c r="C10" s="778" t="s">
        <v>2490</v>
      </c>
      <c r="D10" s="778" t="s">
        <v>2483</v>
      </c>
      <c r="E10" s="778"/>
      <c r="F10" s="778" t="s">
        <v>2475</v>
      </c>
      <c r="G10" s="778" t="s">
        <v>2491</v>
      </c>
      <c r="H10" s="780">
        <v>0</v>
      </c>
      <c r="I10" s="780">
        <v>5675.28</v>
      </c>
    </row>
    <row r="11" spans="1:9" s="773" customFormat="1">
      <c r="G11" s="781" t="s">
        <v>2492</v>
      </c>
      <c r="H11" s="782">
        <f>SUM(H5:H10)</f>
        <v>51994.57</v>
      </c>
      <c r="I11" s="782">
        <f>SUM(I5:I10)</f>
        <v>101689.75000000001</v>
      </c>
    </row>
    <row r="12" spans="1:9">
      <c r="A12" s="773" t="s">
        <v>2493</v>
      </c>
      <c r="B12" s="773"/>
      <c r="C12" s="773"/>
      <c r="D12" s="773"/>
      <c r="E12" s="773"/>
      <c r="F12" s="773"/>
      <c r="G12" s="773"/>
      <c r="H12" s="773"/>
      <c r="I12" s="773"/>
    </row>
    <row r="13" spans="1:9" ht="28.8">
      <c r="A13" s="774" t="s">
        <v>2462</v>
      </c>
      <c r="B13" s="1580" t="s">
        <v>2463</v>
      </c>
      <c r="C13" s="1581"/>
      <c r="D13" s="776" t="s">
        <v>2465</v>
      </c>
      <c r="E13" s="776" t="s">
        <v>2466</v>
      </c>
      <c r="F13" s="776" t="s">
        <v>2467</v>
      </c>
      <c r="G13" s="774" t="s">
        <v>2468</v>
      </c>
      <c r="H13" s="774" t="s">
        <v>2469</v>
      </c>
      <c r="I13" s="776" t="s">
        <v>2470</v>
      </c>
    </row>
    <row r="14" spans="1:9" ht="47.25" customHeight="1">
      <c r="A14" s="777">
        <v>1</v>
      </c>
      <c r="B14" s="1582" t="s">
        <v>2494</v>
      </c>
      <c r="C14" s="1583"/>
      <c r="D14" s="779" t="s">
        <v>2495</v>
      </c>
      <c r="E14" s="778" t="s">
        <v>2496</v>
      </c>
      <c r="F14" s="778" t="s">
        <v>2475</v>
      </c>
      <c r="G14" s="778" t="s">
        <v>2497</v>
      </c>
      <c r="H14" s="780">
        <v>17061.88</v>
      </c>
      <c r="I14" s="780">
        <v>27065.15</v>
      </c>
    </row>
    <row r="15" spans="1:9" ht="43.2">
      <c r="A15" s="777">
        <v>1</v>
      </c>
      <c r="B15" s="1582" t="s">
        <v>2494</v>
      </c>
      <c r="C15" s="1583"/>
      <c r="D15" s="779" t="s">
        <v>2495</v>
      </c>
      <c r="E15" s="778" t="s">
        <v>2496</v>
      </c>
      <c r="F15" s="778" t="s">
        <v>2475</v>
      </c>
      <c r="G15" s="778" t="s">
        <v>2497</v>
      </c>
      <c r="H15" s="780">
        <v>17061.88</v>
      </c>
      <c r="I15" s="780">
        <v>27065.15</v>
      </c>
    </row>
    <row r="16" spans="1:9" ht="43.2">
      <c r="A16" s="777">
        <v>1</v>
      </c>
      <c r="B16" s="1582" t="s">
        <v>2494</v>
      </c>
      <c r="C16" s="1583"/>
      <c r="D16" s="779" t="s">
        <v>2495</v>
      </c>
      <c r="E16" s="778" t="s">
        <v>2496</v>
      </c>
      <c r="F16" s="778" t="s">
        <v>2475</v>
      </c>
      <c r="G16" s="778" t="s">
        <v>2497</v>
      </c>
      <c r="H16" s="780">
        <v>17061.88</v>
      </c>
      <c r="I16" s="780">
        <v>27065.15</v>
      </c>
    </row>
    <row r="17" spans="1:12" ht="26.25" customHeight="1">
      <c r="A17" s="777">
        <v>1</v>
      </c>
      <c r="B17" s="1582" t="s">
        <v>2494</v>
      </c>
      <c r="C17" s="1583"/>
      <c r="D17" s="779" t="s">
        <v>2498</v>
      </c>
      <c r="E17" s="778" t="s">
        <v>2499</v>
      </c>
      <c r="F17" s="778" t="s">
        <v>2475</v>
      </c>
      <c r="G17" s="778" t="s">
        <v>2497</v>
      </c>
      <c r="H17" s="780">
        <v>8669.5</v>
      </c>
      <c r="I17" s="780">
        <v>8669.5</v>
      </c>
    </row>
    <row r="18" spans="1:12" ht="28.5" customHeight="1">
      <c r="A18" s="777">
        <v>1</v>
      </c>
      <c r="B18" s="1582" t="s">
        <v>2494</v>
      </c>
      <c r="C18" s="1583"/>
      <c r="D18" s="779" t="s">
        <v>2500</v>
      </c>
      <c r="E18" s="783" t="s">
        <v>2501</v>
      </c>
      <c r="F18" s="778" t="s">
        <v>2475</v>
      </c>
      <c r="G18" s="778" t="s">
        <v>2497</v>
      </c>
      <c r="H18" s="780">
        <v>7562.3</v>
      </c>
      <c r="I18" s="780">
        <v>16898.740000000002</v>
      </c>
    </row>
    <row r="19" spans="1:12" ht="35.25" customHeight="1">
      <c r="A19" s="777">
        <v>1</v>
      </c>
      <c r="B19" s="1582" t="s">
        <v>2494</v>
      </c>
      <c r="C19" s="1583"/>
      <c r="D19" s="779" t="s">
        <v>2483</v>
      </c>
      <c r="E19" s="778"/>
      <c r="F19" s="778" t="s">
        <v>2475</v>
      </c>
      <c r="G19" s="778" t="s">
        <v>2497</v>
      </c>
      <c r="H19" s="780">
        <v>0</v>
      </c>
      <c r="I19" s="780">
        <v>7224.59</v>
      </c>
    </row>
    <row r="20" spans="1:12" ht="35.25" customHeight="1">
      <c r="A20" s="777">
        <v>1</v>
      </c>
      <c r="B20" s="1582" t="s">
        <v>2494</v>
      </c>
      <c r="C20" s="1583"/>
      <c r="D20" s="779" t="s">
        <v>2483</v>
      </c>
      <c r="E20" s="778"/>
      <c r="F20" s="778" t="s">
        <v>2475</v>
      </c>
      <c r="G20" s="778" t="s">
        <v>2497</v>
      </c>
      <c r="H20" s="780">
        <v>0</v>
      </c>
      <c r="I20" s="780">
        <v>5779.67</v>
      </c>
      <c r="L20" s="784"/>
    </row>
    <row r="21" spans="1:12" s="773" customFormat="1" ht="32.25" customHeight="1">
      <c r="A21" s="777">
        <v>1</v>
      </c>
      <c r="B21" s="1582" t="s">
        <v>2494</v>
      </c>
      <c r="C21" s="1583"/>
      <c r="D21" s="779" t="s">
        <v>2483</v>
      </c>
      <c r="E21" s="778"/>
      <c r="F21" s="778" t="s">
        <v>2475</v>
      </c>
      <c r="G21" s="778" t="s">
        <v>2497</v>
      </c>
      <c r="H21" s="780">
        <v>0</v>
      </c>
      <c r="I21" s="780">
        <v>5779.67</v>
      </c>
    </row>
    <row r="22" spans="1:12" s="773" customFormat="1" ht="34.5" customHeight="1">
      <c r="A22" s="777">
        <v>1</v>
      </c>
      <c r="B22" s="1582" t="s">
        <v>2502</v>
      </c>
      <c r="C22" s="1583"/>
      <c r="D22" s="779" t="s">
        <v>2483</v>
      </c>
      <c r="E22" s="778"/>
      <c r="F22" s="778" t="s">
        <v>2475</v>
      </c>
      <c r="G22" s="778" t="s">
        <v>2503</v>
      </c>
      <c r="H22" s="780">
        <v>0</v>
      </c>
      <c r="I22" s="780">
        <v>5955.82</v>
      </c>
    </row>
    <row r="23" spans="1:12" s="773" customFormat="1" ht="30.75" customHeight="1">
      <c r="A23" s="777">
        <v>1</v>
      </c>
      <c r="B23" s="1582" t="s">
        <v>2504</v>
      </c>
      <c r="C23" s="1583"/>
      <c r="D23" s="779" t="s">
        <v>2505</v>
      </c>
      <c r="E23" s="778" t="s">
        <v>2506</v>
      </c>
      <c r="F23" s="778" t="s">
        <v>2475</v>
      </c>
      <c r="G23" s="778" t="s">
        <v>2507</v>
      </c>
      <c r="H23" s="780">
        <v>12003.93</v>
      </c>
      <c r="I23" s="780">
        <v>21673.759999999998</v>
      </c>
    </row>
    <row r="24" spans="1:12" s="773" customFormat="1" ht="30.75" customHeight="1">
      <c r="A24" s="777">
        <v>1</v>
      </c>
      <c r="B24" s="1582" t="s">
        <v>2508</v>
      </c>
      <c r="C24" s="1583"/>
      <c r="D24" s="779" t="s">
        <v>2509</v>
      </c>
      <c r="E24" s="778" t="s">
        <v>2510</v>
      </c>
      <c r="F24" s="778" t="s">
        <v>2511</v>
      </c>
      <c r="G24" s="778" t="s">
        <v>2512</v>
      </c>
      <c r="H24" s="780">
        <v>13584.28</v>
      </c>
      <c r="I24" s="780">
        <v>23432.89</v>
      </c>
    </row>
    <row r="25" spans="1:12" s="773" customFormat="1" ht="30.75" customHeight="1">
      <c r="A25" s="777">
        <v>1</v>
      </c>
      <c r="B25" s="1582" t="s">
        <v>2508</v>
      </c>
      <c r="C25" s="1583"/>
      <c r="D25" s="779" t="s">
        <v>2513</v>
      </c>
      <c r="E25" s="778" t="s">
        <v>2514</v>
      </c>
      <c r="F25" s="778" t="s">
        <v>2511</v>
      </c>
      <c r="G25" s="778" t="s">
        <v>2512</v>
      </c>
      <c r="H25" s="780">
        <v>13584.28</v>
      </c>
      <c r="I25" s="780">
        <v>23432.89</v>
      </c>
      <c r="L25" s="785"/>
    </row>
    <row r="26" spans="1:12" s="773" customFormat="1" ht="30.75" customHeight="1">
      <c r="A26" s="777">
        <v>1</v>
      </c>
      <c r="B26" s="1582" t="s">
        <v>2508</v>
      </c>
      <c r="C26" s="1583"/>
      <c r="D26" s="779" t="s">
        <v>2509</v>
      </c>
      <c r="E26" s="778" t="s">
        <v>2474</v>
      </c>
      <c r="F26" s="778" t="s">
        <v>2511</v>
      </c>
      <c r="G26" s="778" t="s">
        <v>2512</v>
      </c>
      <c r="H26" s="780">
        <v>13584.28</v>
      </c>
      <c r="I26" s="780">
        <v>23432.89</v>
      </c>
    </row>
    <row r="27" spans="1:12" s="773" customFormat="1" ht="30.75" customHeight="1">
      <c r="A27" s="777">
        <v>1</v>
      </c>
      <c r="B27" s="1582" t="s">
        <v>2508</v>
      </c>
      <c r="C27" s="1583"/>
      <c r="D27" s="779" t="s">
        <v>2509</v>
      </c>
      <c r="E27" s="778" t="s">
        <v>2515</v>
      </c>
      <c r="F27" s="778" t="s">
        <v>2511</v>
      </c>
      <c r="G27" s="778" t="s">
        <v>2512</v>
      </c>
      <c r="H27" s="780">
        <v>13584.28</v>
      </c>
      <c r="I27" s="780">
        <v>23432.89</v>
      </c>
    </row>
    <row r="28" spans="1:12" s="773" customFormat="1" ht="30.75" customHeight="1">
      <c r="A28" s="777">
        <v>1</v>
      </c>
      <c r="B28" s="1582" t="s">
        <v>2508</v>
      </c>
      <c r="C28" s="1583"/>
      <c r="D28" s="779" t="s">
        <v>2513</v>
      </c>
      <c r="E28" s="778" t="s">
        <v>2516</v>
      </c>
      <c r="F28" s="778" t="s">
        <v>2511</v>
      </c>
      <c r="G28" s="778" t="s">
        <v>2512</v>
      </c>
      <c r="H28" s="780">
        <v>13584.28</v>
      </c>
      <c r="I28" s="780">
        <v>23432.89</v>
      </c>
    </row>
    <row r="29" spans="1:12" s="773" customFormat="1" ht="30.75" customHeight="1">
      <c r="A29" s="777">
        <v>1</v>
      </c>
      <c r="B29" s="1582" t="s">
        <v>2508</v>
      </c>
      <c r="C29" s="1583"/>
      <c r="D29" s="779" t="s">
        <v>2513</v>
      </c>
      <c r="E29" s="778" t="s">
        <v>2517</v>
      </c>
      <c r="F29" s="778" t="s">
        <v>2511</v>
      </c>
      <c r="G29" s="778" t="s">
        <v>2512</v>
      </c>
      <c r="H29" s="780">
        <v>13584.28</v>
      </c>
      <c r="I29" s="780">
        <v>23432.89</v>
      </c>
    </row>
    <row r="30" spans="1:12" s="773" customFormat="1" ht="30.75" customHeight="1">
      <c r="A30" s="777">
        <v>1</v>
      </c>
      <c r="B30" s="1582" t="s">
        <v>2508</v>
      </c>
      <c r="C30" s="1583"/>
      <c r="D30" s="779" t="s">
        <v>2513</v>
      </c>
      <c r="E30" s="778" t="s">
        <v>2518</v>
      </c>
      <c r="F30" s="778" t="s">
        <v>2511</v>
      </c>
      <c r="G30" s="778" t="s">
        <v>2512</v>
      </c>
      <c r="H30" s="780">
        <v>13584.28</v>
      </c>
      <c r="I30" s="780">
        <v>23432.89</v>
      </c>
    </row>
    <row r="31" spans="1:12" s="773" customFormat="1" ht="30.75" customHeight="1">
      <c r="A31" s="777">
        <v>1</v>
      </c>
      <c r="B31" s="1582" t="s">
        <v>2508</v>
      </c>
      <c r="C31" s="1583"/>
      <c r="D31" s="779" t="s">
        <v>2513</v>
      </c>
      <c r="E31" s="778" t="s">
        <v>2514</v>
      </c>
      <c r="F31" s="778" t="s">
        <v>2511</v>
      </c>
      <c r="G31" s="778" t="s">
        <v>2512</v>
      </c>
      <c r="H31" s="780">
        <v>13584.28</v>
      </c>
      <c r="I31" s="780">
        <v>23432.89</v>
      </c>
    </row>
    <row r="32" spans="1:12" s="773" customFormat="1" ht="30.75" customHeight="1">
      <c r="A32" s="777">
        <v>1</v>
      </c>
      <c r="B32" s="1582" t="s">
        <v>2508</v>
      </c>
      <c r="C32" s="1583"/>
      <c r="D32" s="779" t="s">
        <v>2513</v>
      </c>
      <c r="E32" s="778" t="s">
        <v>2519</v>
      </c>
      <c r="F32" s="778" t="s">
        <v>2511</v>
      </c>
      <c r="G32" s="778" t="s">
        <v>2512</v>
      </c>
      <c r="H32" s="780">
        <v>13584.28</v>
      </c>
      <c r="I32" s="780">
        <v>23432.89</v>
      </c>
    </row>
    <row r="33" spans="1:12" s="773" customFormat="1" ht="30.75" customHeight="1">
      <c r="A33" s="777">
        <v>1</v>
      </c>
      <c r="B33" s="1582" t="s">
        <v>2508</v>
      </c>
      <c r="C33" s="1583"/>
      <c r="D33" s="779" t="s">
        <v>2509</v>
      </c>
      <c r="E33" s="778" t="s">
        <v>2520</v>
      </c>
      <c r="F33" s="778" t="s">
        <v>2511</v>
      </c>
      <c r="G33" s="778" t="s">
        <v>2512</v>
      </c>
      <c r="H33" s="780">
        <v>13584.28</v>
      </c>
      <c r="I33" s="780">
        <v>23432.89</v>
      </c>
    </row>
    <row r="34" spans="1:12" s="773" customFormat="1" ht="30.75" customHeight="1">
      <c r="A34" s="777">
        <v>1</v>
      </c>
      <c r="B34" s="1582" t="s">
        <v>2508</v>
      </c>
      <c r="C34" s="1583"/>
      <c r="D34" s="779" t="s">
        <v>2509</v>
      </c>
      <c r="E34" s="778" t="s">
        <v>2519</v>
      </c>
      <c r="F34" s="778" t="s">
        <v>2511</v>
      </c>
      <c r="G34" s="778" t="s">
        <v>2512</v>
      </c>
      <c r="H34" s="780">
        <v>13584.28</v>
      </c>
      <c r="I34" s="780">
        <v>23432.89</v>
      </c>
    </row>
    <row r="35" spans="1:12" s="773" customFormat="1" ht="30.75" customHeight="1">
      <c r="A35" s="777">
        <v>1</v>
      </c>
      <c r="B35" s="1582" t="s">
        <v>2508</v>
      </c>
      <c r="C35" s="1583"/>
      <c r="D35" s="779" t="s">
        <v>2509</v>
      </c>
      <c r="E35" s="778" t="s">
        <v>2515</v>
      </c>
      <c r="F35" s="778" t="s">
        <v>2511</v>
      </c>
      <c r="G35" s="778" t="s">
        <v>2512</v>
      </c>
      <c r="H35" s="780">
        <v>13584.28</v>
      </c>
      <c r="I35" s="780">
        <v>23432.89</v>
      </c>
    </row>
    <row r="36" spans="1:12" s="773" customFormat="1" ht="30.75" customHeight="1">
      <c r="A36" s="777">
        <v>1</v>
      </c>
      <c r="B36" s="1582" t="s">
        <v>2508</v>
      </c>
      <c r="C36" s="1583"/>
      <c r="D36" s="779" t="s">
        <v>2509</v>
      </c>
      <c r="E36" s="778" t="s">
        <v>2521</v>
      </c>
      <c r="F36" s="778" t="s">
        <v>2511</v>
      </c>
      <c r="G36" s="778" t="s">
        <v>2512</v>
      </c>
      <c r="H36" s="780">
        <v>13584.28</v>
      </c>
      <c r="I36" s="780">
        <v>23432.89</v>
      </c>
    </row>
    <row r="37" spans="1:12" s="773" customFormat="1" ht="30.75" customHeight="1">
      <c r="A37" s="777">
        <v>1</v>
      </c>
      <c r="B37" s="1582" t="s">
        <v>2508</v>
      </c>
      <c r="C37" s="1583"/>
      <c r="D37" s="779" t="s">
        <v>2509</v>
      </c>
      <c r="E37" s="778" t="s">
        <v>2522</v>
      </c>
      <c r="F37" s="778" t="s">
        <v>2511</v>
      </c>
      <c r="G37" s="778" t="s">
        <v>2512</v>
      </c>
      <c r="H37" s="780">
        <v>13584.28</v>
      </c>
      <c r="I37" s="780">
        <v>23432.89</v>
      </c>
    </row>
    <row r="38" spans="1:12" s="773" customFormat="1" ht="30.75" customHeight="1">
      <c r="A38" s="777">
        <v>1</v>
      </c>
      <c r="B38" s="1582" t="s">
        <v>2508</v>
      </c>
      <c r="C38" s="1583"/>
      <c r="D38" s="779" t="s">
        <v>2509</v>
      </c>
      <c r="E38" s="778" t="s">
        <v>2474</v>
      </c>
      <c r="F38" s="778" t="s">
        <v>2511</v>
      </c>
      <c r="G38" s="778" t="s">
        <v>2512</v>
      </c>
      <c r="H38" s="780">
        <v>13584.28</v>
      </c>
      <c r="I38" s="780">
        <v>23432.89</v>
      </c>
    </row>
    <row r="39" spans="1:12" s="773" customFormat="1" ht="30.75" customHeight="1">
      <c r="A39" s="777">
        <v>1</v>
      </c>
      <c r="B39" s="1582" t="s">
        <v>2508</v>
      </c>
      <c r="C39" s="1583"/>
      <c r="D39" s="779" t="s">
        <v>2513</v>
      </c>
      <c r="E39" s="778" t="s">
        <v>2523</v>
      </c>
      <c r="F39" s="778" t="s">
        <v>2511</v>
      </c>
      <c r="G39" s="778" t="s">
        <v>2512</v>
      </c>
      <c r="H39" s="780">
        <v>13584.28</v>
      </c>
      <c r="I39" s="780">
        <v>23432.89</v>
      </c>
    </row>
    <row r="40" spans="1:12" s="773" customFormat="1" ht="33.75" customHeight="1">
      <c r="A40" s="777">
        <v>1</v>
      </c>
      <c r="B40" s="1582" t="s">
        <v>2508</v>
      </c>
      <c r="C40" s="1583"/>
      <c r="D40" s="779" t="s">
        <v>2513</v>
      </c>
      <c r="E40" s="778" t="s">
        <v>2523</v>
      </c>
      <c r="F40" s="778" t="s">
        <v>2511</v>
      </c>
      <c r="G40" s="778" t="s">
        <v>2512</v>
      </c>
      <c r="H40" s="780">
        <v>13584.28</v>
      </c>
      <c r="I40" s="780">
        <v>23432.89</v>
      </c>
    </row>
    <row r="41" spans="1:12" s="773" customFormat="1" ht="33.75" customHeight="1">
      <c r="A41" s="777">
        <v>1</v>
      </c>
      <c r="B41" s="1582" t="s">
        <v>2508</v>
      </c>
      <c r="C41" s="1583"/>
      <c r="D41" s="779" t="s">
        <v>2483</v>
      </c>
      <c r="E41" s="778"/>
      <c r="F41" s="778" t="s">
        <v>2475</v>
      </c>
      <c r="G41" s="778" t="s">
        <v>2503</v>
      </c>
      <c r="H41" s="780">
        <v>0</v>
      </c>
      <c r="I41" s="780">
        <v>3347.57</v>
      </c>
    </row>
    <row r="42" spans="1:12" s="773" customFormat="1" ht="33.75" customHeight="1">
      <c r="A42" s="777">
        <v>1</v>
      </c>
      <c r="B42" s="1582" t="s">
        <v>2508</v>
      </c>
      <c r="C42" s="1583"/>
      <c r="D42" s="779" t="s">
        <v>2483</v>
      </c>
      <c r="E42" s="778"/>
      <c r="F42" s="778" t="s">
        <v>2475</v>
      </c>
      <c r="G42" s="778" t="s">
        <v>2503</v>
      </c>
      <c r="H42" s="780">
        <v>0</v>
      </c>
      <c r="I42" s="780">
        <v>3347.57</v>
      </c>
    </row>
    <row r="43" spans="1:12">
      <c r="A43" s="773"/>
      <c r="B43" s="773"/>
      <c r="C43" s="773"/>
      <c r="D43" s="773"/>
      <c r="E43" s="773"/>
      <c r="F43" s="773"/>
      <c r="G43" s="781" t="s">
        <v>2524</v>
      </c>
      <c r="H43" s="782">
        <f>SUM(H14:H42)</f>
        <v>310354.13000000006</v>
      </c>
      <c r="I43" s="782">
        <f>SUM(I14:I42)</f>
        <v>558231.47000000009</v>
      </c>
    </row>
    <row r="44" spans="1:12">
      <c r="A44" s="773" t="s">
        <v>2525</v>
      </c>
      <c r="B44" s="773"/>
      <c r="C44" s="773"/>
      <c r="D44" s="773"/>
      <c r="E44" s="773"/>
      <c r="F44" s="773"/>
      <c r="G44" s="773"/>
      <c r="H44" s="773"/>
      <c r="I44" s="773"/>
    </row>
    <row r="45" spans="1:12" ht="28.8">
      <c r="A45" s="774" t="s">
        <v>2462</v>
      </c>
      <c r="B45" s="774" t="s">
        <v>2463</v>
      </c>
      <c r="C45" s="774" t="s">
        <v>2526</v>
      </c>
      <c r="D45" s="776" t="s">
        <v>2465</v>
      </c>
      <c r="E45" s="776" t="s">
        <v>2466</v>
      </c>
      <c r="F45" s="774" t="s">
        <v>2527</v>
      </c>
      <c r="G45" s="774" t="s">
        <v>2468</v>
      </c>
      <c r="H45" s="774" t="s">
        <v>2469</v>
      </c>
      <c r="I45" s="776" t="s">
        <v>2470</v>
      </c>
    </row>
    <row r="46" spans="1:12" ht="28.8">
      <c r="A46" s="777">
        <v>1</v>
      </c>
      <c r="B46" s="778" t="s">
        <v>2471</v>
      </c>
      <c r="C46" s="778" t="s">
        <v>2528</v>
      </c>
      <c r="D46" s="779" t="s">
        <v>2529</v>
      </c>
      <c r="E46" s="778" t="s">
        <v>2519</v>
      </c>
      <c r="F46" s="778" t="s">
        <v>2530</v>
      </c>
      <c r="G46" s="778" t="s">
        <v>2503</v>
      </c>
      <c r="H46" s="780">
        <v>28527.03</v>
      </c>
      <c r="I46" s="780">
        <v>31107.29</v>
      </c>
    </row>
    <row r="47" spans="1:12" ht="28.8">
      <c r="A47" s="777">
        <v>1</v>
      </c>
      <c r="B47" s="778" t="s">
        <v>2471</v>
      </c>
      <c r="C47" s="778" t="s">
        <v>2528</v>
      </c>
      <c r="D47" s="779" t="s">
        <v>2529</v>
      </c>
      <c r="E47" s="778" t="s">
        <v>2519</v>
      </c>
      <c r="F47" s="778" t="s">
        <v>2530</v>
      </c>
      <c r="G47" s="778" t="s">
        <v>2503</v>
      </c>
      <c r="H47" s="780">
        <v>11928.04</v>
      </c>
      <c r="I47" s="780">
        <v>13003.14</v>
      </c>
    </row>
    <row r="48" spans="1:12">
      <c r="A48" s="777">
        <v>1</v>
      </c>
      <c r="B48" s="778" t="s">
        <v>2487</v>
      </c>
      <c r="C48" s="778" t="s">
        <v>2490</v>
      </c>
      <c r="D48" s="778" t="s">
        <v>2531</v>
      </c>
      <c r="E48" s="778" t="s">
        <v>2532</v>
      </c>
      <c r="F48" s="778" t="s">
        <v>2533</v>
      </c>
      <c r="G48" s="778" t="s">
        <v>2425</v>
      </c>
      <c r="H48" s="780">
        <v>0</v>
      </c>
      <c r="I48" s="780">
        <v>10800</v>
      </c>
      <c r="L48" s="784"/>
    </row>
    <row r="49" spans="1:12" s="773" customFormat="1">
      <c r="A49" s="777">
        <v>1</v>
      </c>
      <c r="B49" s="778" t="s">
        <v>2487</v>
      </c>
      <c r="C49" s="778" t="s">
        <v>2534</v>
      </c>
      <c r="D49" s="778" t="s">
        <v>2535</v>
      </c>
      <c r="E49" s="778" t="s">
        <v>2536</v>
      </c>
      <c r="F49" s="778" t="s">
        <v>2533</v>
      </c>
      <c r="G49" s="778" t="s">
        <v>2489</v>
      </c>
      <c r="H49" s="780">
        <v>8280</v>
      </c>
      <c r="I49" s="780">
        <v>20054.009999999998</v>
      </c>
    </row>
    <row r="50" spans="1:12" s="789" customFormat="1">
      <c r="A50" s="786"/>
      <c r="B50" s="786"/>
      <c r="C50" s="786"/>
      <c r="D50" s="786"/>
      <c r="E50" s="786"/>
      <c r="F50" s="786"/>
      <c r="G50" s="787" t="s">
        <v>2537</v>
      </c>
      <c r="H50" s="788">
        <f>SUM(H46:H49)</f>
        <v>48735.07</v>
      </c>
      <c r="I50" s="788">
        <f>SUM(I46:I49)</f>
        <v>74964.44</v>
      </c>
      <c r="L50" s="790"/>
    </row>
    <row r="51" spans="1:12" s="789" customFormat="1">
      <c r="A51" s="786" t="s">
        <v>2538</v>
      </c>
      <c r="B51" s="786"/>
      <c r="C51" s="786"/>
      <c r="D51" s="786"/>
      <c r="E51" s="786"/>
      <c r="F51" s="786"/>
      <c r="G51" s="786"/>
      <c r="H51" s="786"/>
      <c r="I51" s="786"/>
    </row>
    <row r="52" spans="1:12" s="789" customFormat="1" ht="28.8">
      <c r="A52" s="774" t="s">
        <v>2462</v>
      </c>
      <c r="B52" s="1580" t="s">
        <v>2463</v>
      </c>
      <c r="C52" s="1581"/>
      <c r="D52" s="791" t="s">
        <v>2539</v>
      </c>
      <c r="E52" s="791" t="s">
        <v>2540</v>
      </c>
      <c r="F52" s="791" t="s">
        <v>2541</v>
      </c>
      <c r="G52" s="774" t="s">
        <v>2468</v>
      </c>
      <c r="H52" s="774" t="s">
        <v>2469</v>
      </c>
      <c r="I52" s="776" t="s">
        <v>2470</v>
      </c>
    </row>
    <row r="53" spans="1:12" s="789" customFormat="1">
      <c r="A53" s="777">
        <v>1</v>
      </c>
      <c r="B53" s="1584" t="s">
        <v>2542</v>
      </c>
      <c r="C53" s="1585"/>
      <c r="D53" s="792" t="s">
        <v>2543</v>
      </c>
      <c r="E53" s="792" t="s">
        <v>2544</v>
      </c>
      <c r="F53" s="792"/>
      <c r="G53" s="792" t="s">
        <v>2512</v>
      </c>
      <c r="H53" s="793">
        <v>8975.74</v>
      </c>
      <c r="I53" s="793">
        <v>8975.74</v>
      </c>
    </row>
    <row r="54" spans="1:12" s="789" customFormat="1">
      <c r="A54" s="777">
        <v>1</v>
      </c>
      <c r="B54" s="1584" t="s">
        <v>2542</v>
      </c>
      <c r="C54" s="1585"/>
      <c r="D54" s="792" t="s">
        <v>2543</v>
      </c>
      <c r="E54" s="792" t="s">
        <v>2544</v>
      </c>
      <c r="F54" s="792"/>
      <c r="G54" s="792" t="s">
        <v>2512</v>
      </c>
      <c r="H54" s="793">
        <v>8975.74</v>
      </c>
      <c r="I54" s="793">
        <v>8975.74</v>
      </c>
    </row>
    <row r="55" spans="1:12" s="789" customFormat="1">
      <c r="A55" s="777">
        <v>1</v>
      </c>
      <c r="B55" s="1584" t="s">
        <v>2542</v>
      </c>
      <c r="C55" s="1585"/>
      <c r="D55" s="792" t="s">
        <v>2545</v>
      </c>
      <c r="E55" s="792" t="s">
        <v>2544</v>
      </c>
      <c r="F55" s="792"/>
      <c r="G55" s="792" t="s">
        <v>2512</v>
      </c>
      <c r="H55" s="793">
        <v>8975.74</v>
      </c>
      <c r="I55" s="793">
        <v>8975.74</v>
      </c>
    </row>
    <row r="56" spans="1:12" s="789" customFormat="1">
      <c r="A56" s="777">
        <v>1</v>
      </c>
      <c r="B56" s="1584" t="s">
        <v>2542</v>
      </c>
      <c r="C56" s="1585"/>
      <c r="D56" s="792" t="s">
        <v>2543</v>
      </c>
      <c r="E56" s="792" t="s">
        <v>2544</v>
      </c>
      <c r="F56" s="792"/>
      <c r="G56" s="792" t="s">
        <v>2512</v>
      </c>
      <c r="H56" s="793">
        <v>8975.74</v>
      </c>
      <c r="I56" s="793">
        <v>8975.74</v>
      </c>
    </row>
    <row r="57" spans="1:12" s="789" customFormat="1">
      <c r="A57" s="777">
        <v>1</v>
      </c>
      <c r="B57" s="1584" t="s">
        <v>2542</v>
      </c>
      <c r="C57" s="1585"/>
      <c r="D57" s="792" t="s">
        <v>2546</v>
      </c>
      <c r="E57" s="792" t="s">
        <v>2544</v>
      </c>
      <c r="F57" s="792"/>
      <c r="G57" s="792" t="s">
        <v>2512</v>
      </c>
      <c r="H57" s="793">
        <v>2991.91</v>
      </c>
      <c r="I57" s="793">
        <v>2991.91</v>
      </c>
    </row>
    <row r="58" spans="1:12" s="789" customFormat="1">
      <c r="A58" s="777">
        <v>1</v>
      </c>
      <c r="B58" s="1584" t="s">
        <v>2547</v>
      </c>
      <c r="C58" s="1585"/>
      <c r="D58" s="792" t="s">
        <v>2548</v>
      </c>
      <c r="E58" s="792" t="s">
        <v>2549</v>
      </c>
      <c r="F58" s="792"/>
      <c r="G58" s="792" t="s">
        <v>2512</v>
      </c>
      <c r="H58" s="793">
        <v>12818.21</v>
      </c>
      <c r="I58" s="793">
        <v>12818.21</v>
      </c>
    </row>
    <row r="59" spans="1:12" s="789" customFormat="1">
      <c r="A59" s="777">
        <v>1</v>
      </c>
      <c r="B59" s="1584" t="s">
        <v>2547</v>
      </c>
      <c r="C59" s="1585"/>
      <c r="D59" s="792" t="s">
        <v>2548</v>
      </c>
      <c r="E59" s="792" t="s">
        <v>2549</v>
      </c>
      <c r="F59" s="792"/>
      <c r="G59" s="792" t="s">
        <v>2512</v>
      </c>
      <c r="H59" s="793">
        <v>12818.21</v>
      </c>
      <c r="I59" s="793">
        <v>12818.21</v>
      </c>
    </row>
    <row r="60" spans="1:12" s="789" customFormat="1">
      <c r="A60" s="777">
        <v>1</v>
      </c>
      <c r="B60" s="1584" t="s">
        <v>2547</v>
      </c>
      <c r="C60" s="1585"/>
      <c r="D60" s="792" t="s">
        <v>2550</v>
      </c>
      <c r="E60" s="792" t="s">
        <v>2549</v>
      </c>
      <c r="F60" s="792"/>
      <c r="G60" s="792" t="s">
        <v>2512</v>
      </c>
      <c r="H60" s="793">
        <v>12125.33</v>
      </c>
      <c r="I60" s="793">
        <v>12125.33</v>
      </c>
    </row>
    <row r="61" spans="1:12" s="789" customFormat="1">
      <c r="A61" s="777">
        <v>1</v>
      </c>
      <c r="B61" s="1584" t="s">
        <v>2547</v>
      </c>
      <c r="C61" s="1585"/>
      <c r="D61" s="792" t="s">
        <v>2551</v>
      </c>
      <c r="E61" s="792" t="s">
        <v>2552</v>
      </c>
      <c r="F61" s="792"/>
      <c r="G61" s="792" t="s">
        <v>2512</v>
      </c>
      <c r="H61" s="793">
        <v>11432.45</v>
      </c>
      <c r="I61" s="793">
        <v>21825.59</v>
      </c>
    </row>
    <row r="62" spans="1:12" s="786" customFormat="1">
      <c r="A62" s="777">
        <v>1</v>
      </c>
      <c r="B62" s="1584" t="s">
        <v>2547</v>
      </c>
      <c r="C62" s="1585"/>
      <c r="D62" s="792" t="s">
        <v>2548</v>
      </c>
      <c r="E62" s="792" t="s">
        <v>2552</v>
      </c>
      <c r="F62" s="792"/>
      <c r="G62" s="792" t="s">
        <v>2512</v>
      </c>
      <c r="H62" s="793">
        <v>12702.73</v>
      </c>
      <c r="I62" s="793">
        <v>23095.87</v>
      </c>
    </row>
    <row r="63" spans="1:12" s="789" customFormat="1">
      <c r="A63" s="786"/>
      <c r="B63" s="786"/>
      <c r="C63" s="786"/>
      <c r="D63" s="786"/>
      <c r="E63" s="786"/>
      <c r="F63" s="786"/>
      <c r="G63" s="787" t="s">
        <v>2553</v>
      </c>
      <c r="H63" s="788">
        <f>SUM(H53:H62)</f>
        <v>100791.79999999999</v>
      </c>
      <c r="I63" s="788">
        <f>SUM(I53:I62)</f>
        <v>121578.07999999999</v>
      </c>
    </row>
    <row r="64" spans="1:12" s="789" customFormat="1">
      <c r="A64" s="786" t="s">
        <v>2554</v>
      </c>
      <c r="B64" s="786"/>
      <c r="C64" s="786"/>
      <c r="D64" s="786"/>
      <c r="E64" s="786"/>
      <c r="F64" s="786"/>
      <c r="G64" s="786"/>
      <c r="H64" s="786"/>
      <c r="I64" s="786"/>
    </row>
    <row r="65" spans="1:9" s="789" customFormat="1" ht="28.8">
      <c r="A65" s="774" t="s">
        <v>2462</v>
      </c>
      <c r="B65" s="791" t="s">
        <v>2463</v>
      </c>
      <c r="C65" s="791" t="s">
        <v>2526</v>
      </c>
      <c r="D65" s="791" t="s">
        <v>2555</v>
      </c>
      <c r="E65" s="791" t="s">
        <v>2540</v>
      </c>
      <c r="F65" s="791" t="s">
        <v>2541</v>
      </c>
      <c r="G65" s="774" t="s">
        <v>2556</v>
      </c>
      <c r="H65" s="774" t="s">
        <v>2469</v>
      </c>
      <c r="I65" s="776" t="s">
        <v>2470</v>
      </c>
    </row>
    <row r="66" spans="1:9" s="789" customFormat="1">
      <c r="A66" s="777">
        <v>1</v>
      </c>
      <c r="B66" s="792"/>
      <c r="C66" s="792"/>
      <c r="D66" s="792"/>
      <c r="E66" s="792"/>
      <c r="F66" s="792"/>
      <c r="G66" s="792"/>
      <c r="H66" s="793"/>
      <c r="I66" s="793"/>
    </row>
    <row r="67" spans="1:9" s="789" customFormat="1">
      <c r="A67" s="777">
        <v>1</v>
      </c>
      <c r="B67" s="792"/>
      <c r="C67" s="792"/>
      <c r="D67" s="792"/>
      <c r="E67" s="792"/>
      <c r="F67" s="792"/>
      <c r="G67" s="792"/>
      <c r="H67" s="793"/>
      <c r="I67" s="793"/>
    </row>
    <row r="68" spans="1:9" s="789" customFormat="1">
      <c r="A68" s="777" t="s">
        <v>2557</v>
      </c>
      <c r="B68" s="792"/>
      <c r="C68" s="792"/>
      <c r="D68" s="792"/>
      <c r="E68" s="792"/>
      <c r="F68" s="792"/>
      <c r="G68" s="792"/>
      <c r="H68" s="793"/>
      <c r="I68" s="793"/>
    </row>
    <row r="69" spans="1:9" s="786" customFormat="1">
      <c r="A69" s="777">
        <v>1</v>
      </c>
      <c r="B69" s="792"/>
      <c r="C69" s="792"/>
      <c r="D69" s="792"/>
      <c r="E69" s="792"/>
      <c r="F69" s="792"/>
      <c r="G69" s="792"/>
      <c r="H69" s="793"/>
      <c r="I69" s="793"/>
    </row>
    <row r="70" spans="1:9" s="789" customFormat="1" ht="15" thickBot="1">
      <c r="A70" s="786"/>
      <c r="B70" s="786"/>
      <c r="C70" s="786"/>
      <c r="D70" s="786"/>
      <c r="E70" s="786"/>
      <c r="F70" s="786"/>
      <c r="G70" s="787" t="s">
        <v>2558</v>
      </c>
      <c r="H70" s="788">
        <f>SUM(H66:H69)</f>
        <v>0</v>
      </c>
      <c r="I70" s="788">
        <f>SUM(I66:I69)</f>
        <v>0</v>
      </c>
    </row>
    <row r="71" spans="1:9" s="789" customFormat="1" ht="15" thickBot="1">
      <c r="G71" s="794" t="s">
        <v>2559</v>
      </c>
      <c r="H71" s="795">
        <f>H11+H43+H50+H63+H70</f>
        <v>511875.57000000007</v>
      </c>
      <c r="I71" s="795">
        <f>I11+I43+I50+I63+I70</f>
        <v>856463.74000000011</v>
      </c>
    </row>
    <row r="72" spans="1:9">
      <c r="H72" s="796" t="s">
        <v>2560</v>
      </c>
      <c r="I72" s="796" t="s">
        <v>2561</v>
      </c>
    </row>
    <row r="74" spans="1:9">
      <c r="A74" s="797" t="s">
        <v>2562</v>
      </c>
    </row>
    <row r="75" spans="1:9">
      <c r="A75" s="797" t="s">
        <v>2563</v>
      </c>
    </row>
  </sheetData>
  <mergeCells count="41">
    <mergeCell ref="B57:C57"/>
    <mergeCell ref="B34:C34"/>
    <mergeCell ref="B59:C59"/>
    <mergeCell ref="B60:C60"/>
    <mergeCell ref="B61:C61"/>
    <mergeCell ref="B62:C62"/>
    <mergeCell ref="B42:C42"/>
    <mergeCell ref="B52:C52"/>
    <mergeCell ref="B53:C53"/>
    <mergeCell ref="B54:C54"/>
    <mergeCell ref="B55:C55"/>
    <mergeCell ref="B28:C28"/>
    <mergeCell ref="B37:C37"/>
    <mergeCell ref="B38:C38"/>
    <mergeCell ref="B39:C39"/>
    <mergeCell ref="B40:C40"/>
    <mergeCell ref="B36:C36"/>
    <mergeCell ref="B31:C31"/>
    <mergeCell ref="B58:C58"/>
    <mergeCell ref="B30:C30"/>
    <mergeCell ref="B56:C56"/>
    <mergeCell ref="B32:C32"/>
    <mergeCell ref="B33:C33"/>
    <mergeCell ref="B18:C18"/>
    <mergeCell ref="B35:C35"/>
    <mergeCell ref="B20:C20"/>
    <mergeCell ref="B41:C41"/>
    <mergeCell ref="B22:C22"/>
    <mergeCell ref="B25:C25"/>
    <mergeCell ref="B26:C26"/>
    <mergeCell ref="B27:C27"/>
    <mergeCell ref="B19:C19"/>
    <mergeCell ref="B29:C29"/>
    <mergeCell ref="B21:C21"/>
    <mergeCell ref="B24:C24"/>
    <mergeCell ref="B13:C13"/>
    <mergeCell ref="B14:C14"/>
    <mergeCell ref="B15:C15"/>
    <mergeCell ref="B16:C16"/>
    <mergeCell ref="B17:C17"/>
    <mergeCell ref="B23:C23"/>
  </mergeCells>
  <pageMargins left="0.70866141732283472" right="0.70866141732283472" top="0.74803149606299213" bottom="0.74803149606299213" header="0.31496062992125984" footer="0.31496062992125984"/>
  <pageSetup paperSize="8" scale="61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workbookViewId="0">
      <selection activeCell="H3" sqref="H3:H5"/>
    </sheetView>
  </sheetViews>
  <sheetFormatPr defaultRowHeight="13.2"/>
  <cols>
    <col min="1" max="1" width="50.33203125" customWidth="1"/>
    <col min="2" max="2" width="15.33203125" style="204" customWidth="1"/>
    <col min="3" max="3" width="31.33203125" customWidth="1"/>
    <col min="4" max="4" width="10.6640625" customWidth="1"/>
    <col min="5" max="5" width="13.6640625" customWidth="1"/>
    <col min="6" max="6" width="19.6640625" customWidth="1"/>
    <col min="7" max="7" width="22.6640625" customWidth="1"/>
    <col min="8" max="12" width="13.6640625" customWidth="1"/>
  </cols>
  <sheetData>
    <row r="1" spans="1:12" ht="54.6" customHeight="1">
      <c r="A1" s="1590" t="s">
        <v>2241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</row>
    <row r="2" spans="1:12" ht="13.8" thickBot="1"/>
    <row r="3" spans="1:12" ht="16.95" customHeight="1" thickTop="1">
      <c r="A3" s="1586" t="s">
        <v>2144</v>
      </c>
      <c r="B3" s="262"/>
      <c r="C3" s="1592" t="s">
        <v>2145</v>
      </c>
      <c r="D3" s="1589" t="s">
        <v>2134</v>
      </c>
      <c r="E3" s="1589" t="s">
        <v>2135</v>
      </c>
      <c r="F3" s="1588" t="s">
        <v>2136</v>
      </c>
      <c r="G3" s="1588"/>
      <c r="H3" s="1591" t="s">
        <v>2127</v>
      </c>
      <c r="I3" s="1589" t="s">
        <v>2128</v>
      </c>
      <c r="J3" s="1589" t="s">
        <v>2129</v>
      </c>
      <c r="K3" s="1589" t="s">
        <v>2124</v>
      </c>
      <c r="L3" s="1589" t="s">
        <v>2125</v>
      </c>
    </row>
    <row r="4" spans="1:12" ht="93" customHeight="1">
      <c r="A4" s="1587"/>
      <c r="B4" s="263"/>
      <c r="C4" s="1593"/>
      <c r="D4" s="1589"/>
      <c r="E4" s="1589"/>
      <c r="F4" s="1589" t="s">
        <v>2137</v>
      </c>
      <c r="G4" s="1589" t="s">
        <v>2138</v>
      </c>
      <c r="H4" s="1591"/>
      <c r="I4" s="1589"/>
      <c r="J4" s="1589"/>
      <c r="K4" s="1589"/>
      <c r="L4" s="1589"/>
    </row>
    <row r="5" spans="1:12" ht="15.6">
      <c r="A5" s="215" t="s">
        <v>2146</v>
      </c>
      <c r="B5" s="264"/>
      <c r="C5" s="1594"/>
      <c r="D5" s="1589"/>
      <c r="E5" s="1589"/>
      <c r="F5" s="1589"/>
      <c r="G5" s="1589"/>
      <c r="H5" s="1591"/>
      <c r="I5" s="1589"/>
      <c r="J5" s="1589"/>
      <c r="K5" s="1589"/>
      <c r="L5" s="1589"/>
    </row>
    <row r="6" spans="1:12" ht="26.4">
      <c r="A6" s="216" t="s">
        <v>2147</v>
      </c>
      <c r="B6" s="265" t="s">
        <v>2148</v>
      </c>
      <c r="C6" s="244" t="s">
        <v>2149</v>
      </c>
      <c r="D6" s="250">
        <f>+'CE Min'!D24</f>
        <v>34988580.189999998</v>
      </c>
      <c r="E6" s="250" t="e">
        <f>+'CE Min'!#REF!</f>
        <v>#REF!</v>
      </c>
      <c r="F6" s="250" t="e">
        <f>+'CE Min'!#REF!</f>
        <v>#REF!</v>
      </c>
      <c r="G6" s="250" t="e">
        <f>+'CE Min'!#REF!</f>
        <v>#REF!</v>
      </c>
      <c r="H6" s="250" t="e">
        <f>+'CE Min'!#REF!</f>
        <v>#REF!</v>
      </c>
      <c r="I6" s="250" t="e">
        <f>+'CE Min'!#REF!</f>
        <v>#REF!</v>
      </c>
      <c r="J6" s="250">
        <f>+'CE Min'!E24</f>
        <v>28310784</v>
      </c>
      <c r="K6" s="250" t="e">
        <f>+'CE Min'!#REF!</f>
        <v>#REF!</v>
      </c>
      <c r="L6" s="250" t="e">
        <f>+'CE Min'!#REF!</f>
        <v>#REF!</v>
      </c>
    </row>
    <row r="7" spans="1:12" ht="26.4">
      <c r="A7" s="217" t="s">
        <v>2150</v>
      </c>
      <c r="B7" s="266">
        <f>+B6+1</f>
        <v>2</v>
      </c>
      <c r="C7" s="245" t="s">
        <v>205</v>
      </c>
      <c r="D7" s="250">
        <f>+'CE Min'!D55</f>
        <v>0</v>
      </c>
      <c r="E7" s="250" t="e">
        <f>+'CE Min'!#REF!</f>
        <v>#REF!</v>
      </c>
      <c r="F7" s="250" t="e">
        <f>+'CE Min'!#REF!</f>
        <v>#REF!</v>
      </c>
      <c r="G7" s="250" t="e">
        <f>+'CE Min'!#REF!</f>
        <v>#REF!</v>
      </c>
      <c r="H7" s="250" t="e">
        <f>+'CE Min'!#REF!</f>
        <v>#REF!</v>
      </c>
      <c r="I7" s="250" t="e">
        <f>+'CE Min'!#REF!</f>
        <v>#REF!</v>
      </c>
      <c r="J7" s="250">
        <f>+'CE Min'!E55</f>
        <v>0</v>
      </c>
      <c r="K7" s="250" t="e">
        <f>+'CE Min'!#REF!</f>
        <v>#REF!</v>
      </c>
      <c r="L7" s="250" t="e">
        <f>+'CE Min'!#REF!</f>
        <v>#REF!</v>
      </c>
    </row>
    <row r="8" spans="1:12">
      <c r="A8" s="217" t="s">
        <v>2151</v>
      </c>
      <c r="B8" s="266">
        <f t="shared" ref="B8:B18" si="0">+B7+1</f>
        <v>3</v>
      </c>
      <c r="C8" s="245" t="s">
        <v>160</v>
      </c>
      <c r="D8" s="250">
        <f>+'CE Min'!D36</f>
        <v>0</v>
      </c>
      <c r="E8" s="250" t="e">
        <f>+'CE Min'!#REF!</f>
        <v>#REF!</v>
      </c>
      <c r="F8" s="250" t="e">
        <f>+'CE Min'!#REF!</f>
        <v>#REF!</v>
      </c>
      <c r="G8" s="250" t="e">
        <f>+'CE Min'!#REF!</f>
        <v>#REF!</v>
      </c>
      <c r="H8" s="250" t="e">
        <f>+'CE Min'!#REF!</f>
        <v>#REF!</v>
      </c>
      <c r="I8" s="250" t="e">
        <f>+'CE Min'!#REF!</f>
        <v>#REF!</v>
      </c>
      <c r="J8" s="250">
        <f>+'CE Min'!E36</f>
        <v>0</v>
      </c>
      <c r="K8" s="250" t="e">
        <f>+'CE Min'!#REF!</f>
        <v>#REF!</v>
      </c>
      <c r="L8" s="250" t="e">
        <f>+'CE Min'!#REF!</f>
        <v>#REF!</v>
      </c>
    </row>
    <row r="9" spans="1:12">
      <c r="A9" s="217" t="s">
        <v>2152</v>
      </c>
      <c r="B9" s="266">
        <f t="shared" si="0"/>
        <v>4</v>
      </c>
      <c r="C9" s="245" t="s">
        <v>161</v>
      </c>
      <c r="D9" s="250">
        <f>+'CE Min'!D37</f>
        <v>0</v>
      </c>
      <c r="E9" s="250" t="e">
        <f>+'CE Min'!#REF!</f>
        <v>#REF!</v>
      </c>
      <c r="F9" s="250" t="e">
        <f>+'CE Min'!#REF!</f>
        <v>#REF!</v>
      </c>
      <c r="G9" s="250" t="e">
        <f>+'CE Min'!#REF!</f>
        <v>#REF!</v>
      </c>
      <c r="H9" s="250" t="e">
        <f>+'CE Min'!#REF!</f>
        <v>#REF!</v>
      </c>
      <c r="I9" s="250" t="e">
        <f>+'CE Min'!#REF!</f>
        <v>#REF!</v>
      </c>
      <c r="J9" s="250">
        <f>+'CE Min'!E37</f>
        <v>0</v>
      </c>
      <c r="K9" s="250" t="e">
        <f>+'CE Min'!#REF!</f>
        <v>#REF!</v>
      </c>
      <c r="L9" s="250" t="e">
        <f>+'CE Min'!#REF!</f>
        <v>#REF!</v>
      </c>
    </row>
    <row r="10" spans="1:12" ht="26.4">
      <c r="A10" s="218" t="s">
        <v>2153</v>
      </c>
      <c r="B10" s="266">
        <f t="shared" si="0"/>
        <v>5</v>
      </c>
      <c r="C10" s="245" t="s">
        <v>209</v>
      </c>
      <c r="D10" s="250">
        <f>+'CE Min'!D57</f>
        <v>1673282.5600000001</v>
      </c>
      <c r="E10" s="250" t="e">
        <f>+'CE Min'!#REF!</f>
        <v>#REF!</v>
      </c>
      <c r="F10" s="250" t="e">
        <f>+'CE Min'!#REF!</f>
        <v>#REF!</v>
      </c>
      <c r="G10" s="250" t="e">
        <f>+'CE Min'!#REF!</f>
        <v>#REF!</v>
      </c>
      <c r="H10" s="250" t="e">
        <f>+'CE Min'!#REF!</f>
        <v>#REF!</v>
      </c>
      <c r="I10" s="250" t="e">
        <f>+'CE Min'!#REF!</f>
        <v>#REF!</v>
      </c>
      <c r="J10" s="250">
        <f>+'CE Min'!E57</f>
        <v>1254550</v>
      </c>
      <c r="K10" s="250" t="e">
        <f>+'CE Min'!#REF!</f>
        <v>#REF!</v>
      </c>
      <c r="L10" s="250" t="e">
        <f>+'CE Min'!#REF!</f>
        <v>#REF!</v>
      </c>
    </row>
    <row r="11" spans="1:12" ht="26.4">
      <c r="A11" s="218" t="s">
        <v>2154</v>
      </c>
      <c r="B11" s="266">
        <f t="shared" si="0"/>
        <v>6</v>
      </c>
      <c r="C11" s="245" t="s">
        <v>2155</v>
      </c>
      <c r="D11" s="250">
        <f>+'CE Min'!D33-'ce art. 44'!D8-'ce art. 44'!D9+'CE Min'!D48+'CE Min'!D53</f>
        <v>9134454.2899999991</v>
      </c>
      <c r="E11" s="250" t="e">
        <f>+'CE Min'!#REF!-'ce art. 44'!E8-'ce art. 44'!E9+'CE Min'!#REF!+'CE Min'!#REF!</f>
        <v>#REF!</v>
      </c>
      <c r="F11" s="250" t="e">
        <f>+'CE Min'!#REF!-'ce art. 44'!F8-'ce art. 44'!F9+'CE Min'!#REF!+'CE Min'!#REF!</f>
        <v>#REF!</v>
      </c>
      <c r="G11" s="250" t="e">
        <f>+'CE Min'!#REF!-'ce art. 44'!G8-'ce art. 44'!G9+'CE Min'!#REF!+'CE Min'!#REF!</f>
        <v>#REF!</v>
      </c>
      <c r="H11" s="250" t="e">
        <f>+'CE Min'!#REF!-'ce art. 44'!H8-'ce art. 44'!H9+'CE Min'!#REF!+'CE Min'!#REF!</f>
        <v>#REF!</v>
      </c>
      <c r="I11" s="250" t="e">
        <f>+'CE Min'!#REF!-'ce art. 44'!I8-'ce art. 44'!I9+'CE Min'!#REF!+'CE Min'!#REF!</f>
        <v>#REF!</v>
      </c>
      <c r="J11" s="250">
        <f>+'CE Min'!E33-'ce art. 44'!J8-'ce art. 44'!J9+'CE Min'!E48+'CE Min'!E53</f>
        <v>8582204</v>
      </c>
      <c r="K11" s="250" t="e">
        <f>+'CE Min'!#REF!-'ce art. 44'!K8-'ce art. 44'!K9+'CE Min'!#REF!+'CE Min'!#REF!</f>
        <v>#REF!</v>
      </c>
      <c r="L11" s="250" t="e">
        <f>+'CE Min'!#REF!-'ce art. 44'!L8-'ce art. 44'!L9+'CE Min'!#REF!+'CE Min'!#REF!</f>
        <v>#REF!</v>
      </c>
    </row>
    <row r="12" spans="1:12">
      <c r="A12" s="218" t="s">
        <v>2156</v>
      </c>
      <c r="B12" s="266">
        <f t="shared" si="0"/>
        <v>7</v>
      </c>
      <c r="C12" s="245" t="s">
        <v>425</v>
      </c>
      <c r="D12" s="250">
        <f>+'CE Min'!D139</f>
        <v>1347062.6</v>
      </c>
      <c r="E12" s="250" t="e">
        <f>+'CE Min'!#REF!</f>
        <v>#REF!</v>
      </c>
      <c r="F12" s="250" t="e">
        <f>+'CE Min'!#REF!</f>
        <v>#REF!</v>
      </c>
      <c r="G12" s="250" t="e">
        <f>+'CE Min'!#REF!</f>
        <v>#REF!</v>
      </c>
      <c r="H12" s="250" t="e">
        <f>+'CE Min'!#REF!</f>
        <v>#REF!</v>
      </c>
      <c r="I12" s="250" t="e">
        <f>+'CE Min'!#REF!</f>
        <v>#REF!</v>
      </c>
      <c r="J12" s="250">
        <f>+'CE Min'!E139</f>
        <v>1877992</v>
      </c>
      <c r="K12" s="250" t="e">
        <f>+'CE Min'!#REF!</f>
        <v>#REF!</v>
      </c>
      <c r="L12" s="250" t="e">
        <f>+'CE Min'!#REF!</f>
        <v>#REF!</v>
      </c>
    </row>
    <row r="13" spans="1:12">
      <c r="A13" s="218" t="s">
        <v>2157</v>
      </c>
      <c r="B13" s="266">
        <f t="shared" si="0"/>
        <v>8</v>
      </c>
      <c r="C13" s="246" t="s">
        <v>401</v>
      </c>
      <c r="D13" s="250">
        <f>+'CE Min'!D133</f>
        <v>288832</v>
      </c>
      <c r="E13" s="250" t="e">
        <f>+'CE Min'!#REF!</f>
        <v>#REF!</v>
      </c>
      <c r="F13" s="250" t="e">
        <f>+'CE Min'!#REF!</f>
        <v>#REF!</v>
      </c>
      <c r="G13" s="250" t="e">
        <f>+'CE Min'!#REF!</f>
        <v>#REF!</v>
      </c>
      <c r="H13" s="250" t="e">
        <f>+'CE Min'!#REF!</f>
        <v>#REF!</v>
      </c>
      <c r="I13" s="250" t="e">
        <f>+'CE Min'!#REF!</f>
        <v>#REF!</v>
      </c>
      <c r="J13" s="250">
        <f>+'CE Min'!E133</f>
        <v>1231387</v>
      </c>
      <c r="K13" s="250" t="e">
        <f>+'CE Min'!#REF!</f>
        <v>#REF!</v>
      </c>
      <c r="L13" s="250" t="e">
        <f>+'CE Min'!#REF!</f>
        <v>#REF!</v>
      </c>
    </row>
    <row r="14" spans="1:12" ht="66.599999999999994" customHeight="1">
      <c r="A14" s="218" t="s">
        <v>2158</v>
      </c>
      <c r="B14" s="266">
        <f t="shared" si="0"/>
        <v>9</v>
      </c>
      <c r="C14" s="247" t="s">
        <v>2159</v>
      </c>
      <c r="D14" s="250">
        <f>'CE Min'!D81+'CE Min'!D86+'CE Min'!D97+'CE Min'!D100+'CE Min'!D109+'CE Min'!D114+'CE Min'!D115+'CE Min'!D119+'CE Min'!D120+'CE Min'!D123+'CE Min'!D128+'CE Min'!D138+'CE Min'!D151+'CE Min'!D491+'CE Min'!D495</f>
        <v>1994546.7</v>
      </c>
      <c r="E14" s="250" t="e">
        <f>'CE Min'!#REF!+'CE Min'!#REF!+'CE Min'!#REF!+'CE Min'!#REF!+'CE Min'!#REF!+'CE Min'!#REF!+'CE Min'!#REF!+'CE Min'!#REF!+'CE Min'!#REF!+'CE Min'!#REF!+'CE Min'!#REF!+'CE Min'!#REF!+'CE Min'!#REF!+'CE Min'!#REF!+'CE Min'!#REF!</f>
        <v>#REF!</v>
      </c>
      <c r="F14" s="250" t="e">
        <f>'CE Min'!#REF!+'CE Min'!#REF!+'CE Min'!#REF!+'CE Min'!#REF!+'CE Min'!#REF!+'CE Min'!#REF!+'CE Min'!#REF!+'CE Min'!#REF!+'CE Min'!#REF!+'CE Min'!#REF!+'CE Min'!#REF!+'CE Min'!#REF!+'CE Min'!#REF!+'CE Min'!#REF!+'CE Min'!#REF!</f>
        <v>#REF!</v>
      </c>
      <c r="G14" s="250" t="e">
        <f>'CE Min'!#REF!+'CE Min'!#REF!+'CE Min'!#REF!+'CE Min'!#REF!+'CE Min'!#REF!+'CE Min'!#REF!+'CE Min'!#REF!+'CE Min'!#REF!+'CE Min'!#REF!+'CE Min'!#REF!+'CE Min'!#REF!+'CE Min'!#REF!+'CE Min'!#REF!+'CE Min'!#REF!+'CE Min'!#REF!</f>
        <v>#REF!</v>
      </c>
      <c r="H14" s="250" t="e">
        <f>'CE Min'!#REF!+'CE Min'!#REF!+'CE Min'!#REF!+'CE Min'!#REF!+'CE Min'!#REF!+'CE Min'!#REF!+'CE Min'!#REF!+'CE Min'!#REF!+'CE Min'!#REF!+'CE Min'!#REF!+'CE Min'!#REF!+'CE Min'!#REF!+'CE Min'!#REF!+'CE Min'!#REF!+'CE Min'!#REF!</f>
        <v>#REF!</v>
      </c>
      <c r="I14" s="250" t="e">
        <f>'CE Min'!#REF!+'CE Min'!#REF!+'CE Min'!#REF!+'CE Min'!#REF!+'CE Min'!#REF!+'CE Min'!#REF!+'CE Min'!#REF!+'CE Min'!#REF!+'CE Min'!#REF!+'CE Min'!#REF!+'CE Min'!#REF!+'CE Min'!#REF!+'CE Min'!#REF!+'CE Min'!#REF!+'CE Min'!#REF!</f>
        <v>#REF!</v>
      </c>
      <c r="J14" s="250">
        <f>'CE Min'!E81+'CE Min'!E86+'CE Min'!E97+'CE Min'!E100+'CE Min'!E109+'CE Min'!E114+'CE Min'!E115+'CE Min'!E119+'CE Min'!E120+'CE Min'!E123+'CE Min'!E128+'CE Min'!E138+'CE Min'!E151+'CE Min'!E491+'CE Min'!E495</f>
        <v>2737196</v>
      </c>
      <c r="K14" s="250" t="e">
        <f>'CE Min'!#REF!+'CE Min'!#REF!+'CE Min'!#REF!+'CE Min'!#REF!+'CE Min'!#REF!+'CE Min'!#REF!+'CE Min'!#REF!+'CE Min'!#REF!+'CE Min'!#REF!+'CE Min'!#REF!+'CE Min'!#REF!+'CE Min'!#REF!+'CE Min'!#REF!+'CE Min'!#REF!+'CE Min'!#REF!</f>
        <v>#REF!</v>
      </c>
      <c r="L14" s="250" t="e">
        <f>'CE Min'!#REF!+'CE Min'!#REF!+'CE Min'!#REF!+'CE Min'!#REF!+'CE Min'!#REF!+'CE Min'!#REF!+'CE Min'!#REF!+'CE Min'!#REF!+'CE Min'!#REF!+'CE Min'!#REF!+'CE Min'!#REF!+'CE Min'!#REF!+'CE Min'!#REF!+'CE Min'!#REF!+'CE Min'!#REF!</f>
        <v>#REF!</v>
      </c>
    </row>
    <row r="15" spans="1:12" ht="26.4">
      <c r="A15" s="219" t="s">
        <v>2160</v>
      </c>
      <c r="B15" s="266">
        <f t="shared" si="0"/>
        <v>10</v>
      </c>
      <c r="C15" s="245" t="s">
        <v>207</v>
      </c>
      <c r="D15" s="250">
        <f>+'CE Min'!D56</f>
        <v>0</v>
      </c>
      <c r="E15" s="250" t="e">
        <f>+'CE Min'!#REF!</f>
        <v>#REF!</v>
      </c>
      <c r="F15" s="250" t="e">
        <f>+'CE Min'!#REF!</f>
        <v>#REF!</v>
      </c>
      <c r="G15" s="250" t="e">
        <f>+'CE Min'!#REF!</f>
        <v>#REF!</v>
      </c>
      <c r="H15" s="250" t="e">
        <f>+'CE Min'!#REF!</f>
        <v>#REF!</v>
      </c>
      <c r="I15" s="250" t="e">
        <f>+'CE Min'!#REF!</f>
        <v>#REF!</v>
      </c>
      <c r="J15" s="250">
        <f>+'CE Min'!E56</f>
        <v>0</v>
      </c>
      <c r="K15" s="250" t="e">
        <f>+'CE Min'!#REF!</f>
        <v>#REF!</v>
      </c>
      <c r="L15" s="250" t="e">
        <f>+'CE Min'!#REF!</f>
        <v>#REF!</v>
      </c>
    </row>
    <row r="16" spans="1:12">
      <c r="A16" s="218" t="s">
        <v>2161</v>
      </c>
      <c r="B16" s="266">
        <f t="shared" si="0"/>
        <v>11</v>
      </c>
      <c r="C16" s="245" t="s">
        <v>2162</v>
      </c>
      <c r="D16" s="250">
        <f>+'CE Min'!D143+'CE Min'!D150</f>
        <v>2156637.2599999998</v>
      </c>
      <c r="E16" s="250" t="e">
        <f>+'CE Min'!#REF!+'CE Min'!#REF!</f>
        <v>#REF!</v>
      </c>
      <c r="F16" s="250" t="e">
        <f>+'CE Min'!#REF!+'CE Min'!#REF!</f>
        <v>#REF!</v>
      </c>
      <c r="G16" s="250" t="e">
        <f>+'CE Min'!#REF!+'CE Min'!#REF!</f>
        <v>#REF!</v>
      </c>
      <c r="H16" s="250" t="e">
        <f>+'CE Min'!#REF!+'CE Min'!#REF!</f>
        <v>#REF!</v>
      </c>
      <c r="I16" s="250" t="e">
        <f>+'CE Min'!#REF!+'CE Min'!#REF!</f>
        <v>#REF!</v>
      </c>
      <c r="J16" s="250">
        <f>+'CE Min'!E143+'CE Min'!E150</f>
        <v>1715773</v>
      </c>
      <c r="K16" s="250" t="e">
        <f>+'CE Min'!#REF!+'CE Min'!#REF!</f>
        <v>#REF!</v>
      </c>
      <c r="L16" s="250" t="e">
        <f>+'CE Min'!#REF!+'CE Min'!#REF!</f>
        <v>#REF!</v>
      </c>
    </row>
    <row r="17" spans="1:12">
      <c r="A17" s="220" t="s">
        <v>2163</v>
      </c>
      <c r="B17" s="266">
        <f>+B16+1</f>
        <v>12</v>
      </c>
      <c r="C17" s="247" t="s">
        <v>224</v>
      </c>
      <c r="D17" s="250">
        <f>+'CE Min'!D65</f>
        <v>24220797.010000002</v>
      </c>
      <c r="E17" s="250" t="e">
        <f>+'CE Min'!#REF!</f>
        <v>#REF!</v>
      </c>
      <c r="F17" s="250" t="e">
        <f>+'CE Min'!#REF!</f>
        <v>#REF!</v>
      </c>
      <c r="G17" s="250" t="e">
        <f>+'CE Min'!#REF!</f>
        <v>#REF!</v>
      </c>
      <c r="H17" s="250" t="e">
        <f>+'CE Min'!#REF!</f>
        <v>#REF!</v>
      </c>
      <c r="I17" s="250" t="e">
        <f>+'CE Min'!#REF!</f>
        <v>#REF!</v>
      </c>
      <c r="J17" s="250">
        <f>+'CE Min'!E65</f>
        <v>24497328</v>
      </c>
      <c r="K17" s="250" t="e">
        <f>+'CE Min'!#REF!</f>
        <v>#REF!</v>
      </c>
      <c r="L17" s="250" t="e">
        <f>+'CE Min'!#REF!</f>
        <v>#REF!</v>
      </c>
    </row>
    <row r="18" spans="1:12" ht="65.7" customHeight="1">
      <c r="A18" s="221" t="s">
        <v>2164</v>
      </c>
      <c r="B18" s="267">
        <f t="shared" si="0"/>
        <v>13</v>
      </c>
      <c r="C18" s="248" t="s">
        <v>2165</v>
      </c>
      <c r="D18" s="250">
        <f>+'CE Min'!D83+'CE Min'!D84+'CE Min'!D85+'CE Min'!D87+'CE Min'!D88+'CE Min'!D89+'CE Min'!D90+'CE Min'!D91+'CE Min'!D92+'CE Min'!D93+'CE Min'!D94+'CE Min'!D95+'CE Min'!D96+'CE Min'!D103</f>
        <v>5533177</v>
      </c>
      <c r="E18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F18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G18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H18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I18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J18" s="250">
        <f>+'CE Min'!E83+'CE Min'!E84+'CE Min'!E85+'CE Min'!E87+'CE Min'!E88+'CE Min'!E89+'CE Min'!E90+'CE Min'!E91+'CE Min'!E92+'CE Min'!E93+'CE Min'!E94+'CE Min'!E95+'CE Min'!E96+'CE Min'!E103</f>
        <v>5350270</v>
      </c>
      <c r="K18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L18" s="250" t="e">
        <f>+'CE Min'!#REF!+'CE Min'!#REF!+'CE Min'!#REF!+'CE Min'!#REF!+'CE Min'!#REF!+'CE Min'!#REF!+'CE Min'!#REF!+'CE Min'!#REF!+'CE Min'!#REF!+'CE Min'!#REF!+'CE Min'!#REF!+'CE Min'!#REF!+'CE Min'!#REF!+'CE Min'!#REF!</f>
        <v>#REF!</v>
      </c>
    </row>
    <row r="19" spans="1:12" ht="31.2" thickBot="1">
      <c r="A19" s="222" t="s">
        <v>2166</v>
      </c>
      <c r="B19" s="268" t="s">
        <v>2167</v>
      </c>
      <c r="C19" s="249"/>
      <c r="D19" s="250">
        <f>D6+D7+D8+D9+D10+D11+D12+D13+D14+D15+D16+D17+D18</f>
        <v>81337369.609999999</v>
      </c>
      <c r="E19" s="250" t="e">
        <f t="shared" ref="E19:L19" si="1">E6+E7+E8+E9+E10+E11+E12+E13+E14+E15+E16+E17+E18</f>
        <v>#REF!</v>
      </c>
      <c r="F19" s="250" t="e">
        <f t="shared" si="1"/>
        <v>#REF!</v>
      </c>
      <c r="G19" s="250" t="e">
        <f t="shared" si="1"/>
        <v>#REF!</v>
      </c>
      <c r="H19" s="250" t="e">
        <f t="shared" si="1"/>
        <v>#REF!</v>
      </c>
      <c r="I19" s="250" t="e">
        <f t="shared" si="1"/>
        <v>#REF!</v>
      </c>
      <c r="J19" s="250">
        <f t="shared" si="1"/>
        <v>75557484</v>
      </c>
      <c r="K19" s="250" t="e">
        <f t="shared" si="1"/>
        <v>#REF!</v>
      </c>
      <c r="L19" s="250" t="e">
        <f t="shared" si="1"/>
        <v>#REF!</v>
      </c>
    </row>
    <row r="20" spans="1:12" ht="13.8" thickTop="1">
      <c r="A20" s="223"/>
      <c r="B20" s="269"/>
      <c r="C20" s="224"/>
    </row>
    <row r="21" spans="1:12" ht="13.8" thickBot="1">
      <c r="A21" s="225"/>
      <c r="B21" s="270"/>
      <c r="C21" s="226"/>
    </row>
    <row r="22" spans="1:12" ht="23.7" customHeight="1" thickTop="1">
      <c r="A22" s="1586" t="s">
        <v>2168</v>
      </c>
      <c r="B22" s="262"/>
      <c r="C22" s="1595" t="s">
        <v>2145</v>
      </c>
      <c r="D22" s="1589" t="s">
        <v>2134</v>
      </c>
      <c r="E22" s="1589" t="s">
        <v>2135</v>
      </c>
      <c r="F22" s="1588" t="s">
        <v>2136</v>
      </c>
      <c r="G22" s="1588"/>
      <c r="H22" s="1591" t="s">
        <v>2127</v>
      </c>
      <c r="I22" s="1589" t="s">
        <v>2128</v>
      </c>
      <c r="J22" s="1589" t="s">
        <v>2129</v>
      </c>
      <c r="K22" s="1589" t="s">
        <v>2124</v>
      </c>
      <c r="L22" s="1589" t="s">
        <v>2125</v>
      </c>
    </row>
    <row r="23" spans="1:12" ht="28.95" customHeight="1">
      <c r="A23" s="1587"/>
      <c r="B23" s="263"/>
      <c r="C23" s="1596"/>
      <c r="D23" s="1589"/>
      <c r="E23" s="1589"/>
      <c r="F23" s="1589" t="s">
        <v>2137</v>
      </c>
      <c r="G23" s="1589" t="s">
        <v>2138</v>
      </c>
      <c r="H23" s="1591"/>
      <c r="I23" s="1589"/>
      <c r="J23" s="1589"/>
      <c r="K23" s="1589"/>
      <c r="L23" s="1589"/>
    </row>
    <row r="24" spans="1:12" ht="28.2" customHeight="1">
      <c r="A24" s="215" t="s">
        <v>2146</v>
      </c>
      <c r="B24" s="271"/>
      <c r="C24" s="1597"/>
      <c r="D24" s="1589"/>
      <c r="E24" s="1589"/>
      <c r="F24" s="1589"/>
      <c r="G24" s="1589"/>
      <c r="H24" s="1591"/>
      <c r="I24" s="1589"/>
      <c r="J24" s="1589"/>
      <c r="K24" s="1589"/>
      <c r="L24" s="1589"/>
    </row>
    <row r="25" spans="1:12" ht="20.399999999999999">
      <c r="A25" s="227" t="s">
        <v>2169</v>
      </c>
      <c r="B25" s="272" t="s">
        <v>2170</v>
      </c>
      <c r="C25" s="251"/>
      <c r="D25" s="250">
        <f>+D26+D27+D28+D29+D30</f>
        <v>39726782.439999998</v>
      </c>
      <c r="E25" s="250" t="e">
        <f t="shared" ref="E25:L25" si="2">+E26+E27+E28+E29+E30</f>
        <v>#REF!</v>
      </c>
      <c r="F25" s="250" t="e">
        <f t="shared" si="2"/>
        <v>#REF!</v>
      </c>
      <c r="G25" s="250" t="e">
        <f t="shared" si="2"/>
        <v>#REF!</v>
      </c>
      <c r="H25" s="250" t="e">
        <f t="shared" si="2"/>
        <v>#REF!</v>
      </c>
      <c r="I25" s="250" t="e">
        <f t="shared" si="2"/>
        <v>#REF!</v>
      </c>
      <c r="J25" s="250">
        <f t="shared" si="2"/>
        <v>37398266</v>
      </c>
      <c r="K25" s="250" t="e">
        <f t="shared" si="2"/>
        <v>#REF!</v>
      </c>
      <c r="L25" s="250" t="e">
        <f t="shared" si="2"/>
        <v>#REF!</v>
      </c>
    </row>
    <row r="26" spans="1:12">
      <c r="A26" s="228" t="s">
        <v>2171</v>
      </c>
      <c r="B26" s="229" t="s">
        <v>2172</v>
      </c>
      <c r="C26" s="252" t="s">
        <v>1105</v>
      </c>
      <c r="D26" s="250">
        <f>+'CE Min'!D385</f>
        <v>31637147.060000002</v>
      </c>
      <c r="E26" s="250" t="e">
        <f>+'CE Min'!#REF!</f>
        <v>#REF!</v>
      </c>
      <c r="F26" s="250" t="e">
        <f>+'CE Min'!#REF!</f>
        <v>#REF!</v>
      </c>
      <c r="G26" s="250" t="e">
        <f>+'CE Min'!#REF!</f>
        <v>#REF!</v>
      </c>
      <c r="H26" s="250" t="e">
        <f>+'CE Min'!#REF!</f>
        <v>#REF!</v>
      </c>
      <c r="I26" s="250" t="e">
        <f>+'CE Min'!#REF!</f>
        <v>#REF!</v>
      </c>
      <c r="J26" s="250">
        <f>+'CE Min'!E385</f>
        <v>29550337</v>
      </c>
      <c r="K26" s="250" t="e">
        <f>+'CE Min'!#REF!</f>
        <v>#REF!</v>
      </c>
      <c r="L26" s="250" t="e">
        <f>+'CE Min'!#REF!</f>
        <v>#REF!</v>
      </c>
    </row>
    <row r="27" spans="1:12">
      <c r="A27" s="228" t="s">
        <v>2173</v>
      </c>
      <c r="B27" s="229" t="s">
        <v>2174</v>
      </c>
      <c r="C27" s="252" t="s">
        <v>1157</v>
      </c>
      <c r="D27" s="250">
        <f>+'CE Min'!D399</f>
        <v>162770.89000000001</v>
      </c>
      <c r="E27" s="250" t="e">
        <f>+'CE Min'!#REF!</f>
        <v>#REF!</v>
      </c>
      <c r="F27" s="250" t="e">
        <f>+'CE Min'!#REF!</f>
        <v>#REF!</v>
      </c>
      <c r="G27" s="250" t="e">
        <f>+'CE Min'!#REF!</f>
        <v>#REF!</v>
      </c>
      <c r="H27" s="250" t="e">
        <f>+'CE Min'!#REF!</f>
        <v>#REF!</v>
      </c>
      <c r="I27" s="250" t="e">
        <f>+'CE Min'!#REF!</f>
        <v>#REF!</v>
      </c>
      <c r="J27" s="250">
        <f>+'CE Min'!E399</f>
        <v>144868</v>
      </c>
      <c r="K27" s="250" t="e">
        <f>+'CE Min'!#REF!</f>
        <v>#REF!</v>
      </c>
      <c r="L27" s="250" t="e">
        <f>+'CE Min'!#REF!</f>
        <v>#REF!</v>
      </c>
    </row>
    <row r="28" spans="1:12">
      <c r="A28" s="228" t="s">
        <v>2175</v>
      </c>
      <c r="B28" s="229" t="s">
        <v>2176</v>
      </c>
      <c r="C28" s="252" t="s">
        <v>1176</v>
      </c>
      <c r="D28" s="250">
        <f>+'CE Min'!D408</f>
        <v>4217757.1800000006</v>
      </c>
      <c r="E28" s="250" t="e">
        <f>+'CE Min'!#REF!</f>
        <v>#REF!</v>
      </c>
      <c r="F28" s="250" t="e">
        <f>+'CE Min'!#REF!</f>
        <v>#REF!</v>
      </c>
      <c r="G28" s="250" t="e">
        <f>+'CE Min'!#REF!</f>
        <v>#REF!</v>
      </c>
      <c r="H28" s="250" t="e">
        <f>+'CE Min'!#REF!</f>
        <v>#REF!</v>
      </c>
      <c r="I28" s="250" t="e">
        <f>+'CE Min'!#REF!</f>
        <v>#REF!</v>
      </c>
      <c r="J28" s="250">
        <f>+'CE Min'!E408</f>
        <v>4258726</v>
      </c>
      <c r="K28" s="250" t="e">
        <f>+'CE Min'!#REF!</f>
        <v>#REF!</v>
      </c>
      <c r="L28" s="250" t="e">
        <f>+'CE Min'!#REF!</f>
        <v>#REF!</v>
      </c>
    </row>
    <row r="29" spans="1:12">
      <c r="A29" s="228" t="s">
        <v>2177</v>
      </c>
      <c r="B29" s="229" t="s">
        <v>2178</v>
      </c>
      <c r="C29" s="252" t="s">
        <v>1195</v>
      </c>
      <c r="D29" s="250">
        <f>+'CE Min'!D417</f>
        <v>2924818.59</v>
      </c>
      <c r="E29" s="250" t="e">
        <f>+'CE Min'!#REF!</f>
        <v>#REF!</v>
      </c>
      <c r="F29" s="250" t="e">
        <f>+'CE Min'!#REF!</f>
        <v>#REF!</v>
      </c>
      <c r="G29" s="250" t="e">
        <f>+'CE Min'!#REF!</f>
        <v>#REF!</v>
      </c>
      <c r="H29" s="250" t="e">
        <f>+'CE Min'!#REF!</f>
        <v>#REF!</v>
      </c>
      <c r="I29" s="250" t="e">
        <f>+'CE Min'!#REF!</f>
        <v>#REF!</v>
      </c>
      <c r="J29" s="250">
        <f>+'CE Min'!E417</f>
        <v>2776314</v>
      </c>
      <c r="K29" s="250" t="e">
        <f>+'CE Min'!#REF!</f>
        <v>#REF!</v>
      </c>
      <c r="L29" s="250" t="e">
        <f>+'CE Min'!#REF!</f>
        <v>#REF!</v>
      </c>
    </row>
    <row r="30" spans="1:12">
      <c r="A30" s="230" t="s">
        <v>2179</v>
      </c>
      <c r="B30" s="229" t="s">
        <v>2180</v>
      </c>
      <c r="C30" s="252" t="s">
        <v>2181</v>
      </c>
      <c r="D30" s="250">
        <f>+'CE Min'!D312+'CE Min'!D355</f>
        <v>784288.72</v>
      </c>
      <c r="E30" s="250" t="e">
        <f>+'CE Min'!#REF!+'CE Min'!#REF!</f>
        <v>#REF!</v>
      </c>
      <c r="F30" s="250" t="e">
        <f>+'CE Min'!#REF!+'CE Min'!#REF!</f>
        <v>#REF!</v>
      </c>
      <c r="G30" s="250" t="e">
        <f>+'CE Min'!#REF!+'CE Min'!#REF!</f>
        <v>#REF!</v>
      </c>
      <c r="H30" s="250" t="e">
        <f>+'CE Min'!#REF!+'CE Min'!#REF!</f>
        <v>#REF!</v>
      </c>
      <c r="I30" s="250" t="e">
        <f>+'CE Min'!#REF!+'CE Min'!#REF!</f>
        <v>#REF!</v>
      </c>
      <c r="J30" s="250">
        <f>+'CE Min'!E312+'CE Min'!E355</f>
        <v>668021</v>
      </c>
      <c r="K30" s="250" t="e">
        <f>+'CE Min'!#REF!+'CE Min'!#REF!</f>
        <v>#REF!</v>
      </c>
      <c r="L30" s="250" t="e">
        <f>+'CE Min'!#REF!+'CE Min'!#REF!</f>
        <v>#REF!</v>
      </c>
    </row>
    <row r="31" spans="1:12">
      <c r="A31" s="231" t="s">
        <v>2182</v>
      </c>
      <c r="B31" s="273">
        <v>16</v>
      </c>
      <c r="C31" s="253" t="s">
        <v>1494</v>
      </c>
      <c r="D31" s="250">
        <f>+'CE Min'!D575</f>
        <v>2811532.77</v>
      </c>
      <c r="E31" s="250" t="e">
        <f>+'CE Min'!#REF!</f>
        <v>#REF!</v>
      </c>
      <c r="F31" s="250" t="e">
        <f>+'CE Min'!#REF!</f>
        <v>#REF!</v>
      </c>
      <c r="G31" s="250" t="e">
        <f>+'CE Min'!#REF!</f>
        <v>#REF!</v>
      </c>
      <c r="H31" s="250" t="e">
        <f>+'CE Min'!#REF!</f>
        <v>#REF!</v>
      </c>
      <c r="I31" s="250" t="e">
        <f>+'CE Min'!#REF!</f>
        <v>#REF!</v>
      </c>
      <c r="J31" s="250">
        <f>+'CE Min'!E575</f>
        <v>2692640</v>
      </c>
      <c r="K31" s="250" t="e">
        <f>+'CE Min'!#REF!</f>
        <v>#REF!</v>
      </c>
      <c r="L31" s="250" t="e">
        <f>+'CE Min'!#REF!</f>
        <v>#REF!</v>
      </c>
    </row>
    <row r="32" spans="1:12">
      <c r="A32" s="231" t="s">
        <v>2183</v>
      </c>
      <c r="B32" s="273" t="s">
        <v>2184</v>
      </c>
      <c r="C32" s="254"/>
      <c r="D32" s="250">
        <f>+D33+D34</f>
        <v>13317278.99</v>
      </c>
      <c r="E32" s="250" t="e">
        <f t="shared" ref="E32:L32" si="3">+E33+E34</f>
        <v>#REF!</v>
      </c>
      <c r="F32" s="250" t="e">
        <f t="shared" si="3"/>
        <v>#REF!</v>
      </c>
      <c r="G32" s="250" t="e">
        <f t="shared" si="3"/>
        <v>#REF!</v>
      </c>
      <c r="H32" s="250" t="e">
        <f t="shared" si="3"/>
        <v>#REF!</v>
      </c>
      <c r="I32" s="250" t="e">
        <f t="shared" si="3"/>
        <v>#REF!</v>
      </c>
      <c r="J32" s="250">
        <f t="shared" si="3"/>
        <v>11099691</v>
      </c>
      <c r="K32" s="250" t="e">
        <f t="shared" si="3"/>
        <v>#REF!</v>
      </c>
      <c r="L32" s="250" t="e">
        <f t="shared" si="3"/>
        <v>#REF!</v>
      </c>
    </row>
    <row r="33" spans="1:12" ht="30" customHeight="1">
      <c r="A33" s="232" t="s">
        <v>2185</v>
      </c>
      <c r="B33" s="233" t="s">
        <v>2186</v>
      </c>
      <c r="C33" s="252" t="s">
        <v>2187</v>
      </c>
      <c r="D33" s="250">
        <f>+'CE Min'!D158-'CE Min'!D168-'CE Min'!D169-'CE Min'!D164-'CE Min'!D165</f>
        <v>12593878.02</v>
      </c>
      <c r="E33" s="250" t="e">
        <f>+'CE Min'!#REF!-'CE Min'!#REF!-'CE Min'!#REF!-'CE Min'!#REF!-'CE Min'!#REF!</f>
        <v>#REF!</v>
      </c>
      <c r="F33" s="250" t="e">
        <f>+'CE Min'!#REF!-'CE Min'!#REF!-'CE Min'!#REF!-'CE Min'!#REF!-'CE Min'!#REF!</f>
        <v>#REF!</v>
      </c>
      <c r="G33" s="250" t="e">
        <f>+'CE Min'!#REF!-'CE Min'!#REF!-'CE Min'!#REF!-'CE Min'!#REF!-'CE Min'!#REF!</f>
        <v>#REF!</v>
      </c>
      <c r="H33" s="250" t="e">
        <f>+'CE Min'!#REF!-'CE Min'!#REF!-'CE Min'!#REF!-'CE Min'!#REF!-'CE Min'!#REF!</f>
        <v>#REF!</v>
      </c>
      <c r="I33" s="250" t="e">
        <f>+'CE Min'!#REF!-'CE Min'!#REF!-'CE Min'!#REF!-'CE Min'!#REF!-'CE Min'!#REF!</f>
        <v>#REF!</v>
      </c>
      <c r="J33" s="250">
        <f>+'CE Min'!E158-'CE Min'!E168-'CE Min'!E169-'CE Min'!E164-'CE Min'!E165</f>
        <v>10705055</v>
      </c>
      <c r="K33" s="250" t="e">
        <f>+'CE Min'!#REF!-'CE Min'!#REF!-'CE Min'!#REF!-'CE Min'!#REF!-'CE Min'!#REF!</f>
        <v>#REF!</v>
      </c>
      <c r="L33" s="250" t="e">
        <f>+'CE Min'!#REF!-'CE Min'!#REF!-'CE Min'!#REF!-'CE Min'!#REF!-'CE Min'!#REF!</f>
        <v>#REF!</v>
      </c>
    </row>
    <row r="34" spans="1:12">
      <c r="A34" s="232" t="s">
        <v>2188</v>
      </c>
      <c r="B34" s="233" t="s">
        <v>2189</v>
      </c>
      <c r="C34" s="253" t="s">
        <v>596</v>
      </c>
      <c r="D34" s="250">
        <f>+'CE Min'!D189</f>
        <v>723400.97</v>
      </c>
      <c r="E34" s="250" t="e">
        <f>+'CE Min'!#REF!</f>
        <v>#REF!</v>
      </c>
      <c r="F34" s="250" t="e">
        <f>+'CE Min'!#REF!</f>
        <v>#REF!</v>
      </c>
      <c r="G34" s="250" t="e">
        <f>+'CE Min'!#REF!</f>
        <v>#REF!</v>
      </c>
      <c r="H34" s="250" t="e">
        <f>+'CE Min'!#REF!</f>
        <v>#REF!</v>
      </c>
      <c r="I34" s="250" t="e">
        <f>+'CE Min'!#REF!</f>
        <v>#REF!</v>
      </c>
      <c r="J34" s="250">
        <f>+'CE Min'!E189</f>
        <v>394636</v>
      </c>
      <c r="K34" s="250" t="e">
        <f>+'CE Min'!#REF!</f>
        <v>#REF!</v>
      </c>
      <c r="L34" s="250" t="e">
        <f>+'CE Min'!#REF!</f>
        <v>#REF!</v>
      </c>
    </row>
    <row r="35" spans="1:12">
      <c r="A35" s="231" t="s">
        <v>2190</v>
      </c>
      <c r="B35" s="273" t="s">
        <v>2191</v>
      </c>
      <c r="C35" s="254"/>
      <c r="D35" s="250">
        <f>+D36+D37</f>
        <v>17083996.149999999</v>
      </c>
      <c r="E35" s="250" t="e">
        <f t="shared" ref="E35:L35" si="4">+E36+E37</f>
        <v>#REF!</v>
      </c>
      <c r="F35" s="250" t="e">
        <f t="shared" si="4"/>
        <v>#REF!</v>
      </c>
      <c r="G35" s="250" t="e">
        <f t="shared" si="4"/>
        <v>#REF!</v>
      </c>
      <c r="H35" s="250" t="e">
        <f t="shared" si="4"/>
        <v>#REF!</v>
      </c>
      <c r="I35" s="250" t="e">
        <f t="shared" si="4"/>
        <v>#REF!</v>
      </c>
      <c r="J35" s="250">
        <f t="shared" si="4"/>
        <v>15190701</v>
      </c>
      <c r="K35" s="250" t="e">
        <f t="shared" si="4"/>
        <v>#REF!</v>
      </c>
      <c r="L35" s="250" t="e">
        <f t="shared" si="4"/>
        <v>#REF!</v>
      </c>
    </row>
    <row r="36" spans="1:12">
      <c r="A36" s="232" t="s">
        <v>2192</v>
      </c>
      <c r="B36" s="233" t="s">
        <v>2193</v>
      </c>
      <c r="C36" s="253" t="s">
        <v>2194</v>
      </c>
      <c r="D36" s="250">
        <f>+'CE Min'!D297+'CE Min'!D305-'CE Min'!D312+'CE Min'!D319</f>
        <v>5661884.5</v>
      </c>
      <c r="E36" s="250" t="e">
        <f>+'CE Min'!#REF!+'CE Min'!#REF!-'CE Min'!#REF!+'CE Min'!#REF!</f>
        <v>#REF!</v>
      </c>
      <c r="F36" s="250" t="e">
        <f>+'CE Min'!#REF!+'CE Min'!#REF!-'CE Min'!#REF!+'CE Min'!#REF!</f>
        <v>#REF!</v>
      </c>
      <c r="G36" s="250" t="e">
        <f>+'CE Min'!#REF!+'CE Min'!#REF!-'CE Min'!#REF!+'CE Min'!#REF!</f>
        <v>#REF!</v>
      </c>
      <c r="H36" s="250" t="e">
        <f>+'CE Min'!#REF!+'CE Min'!#REF!-'CE Min'!#REF!+'CE Min'!#REF!</f>
        <v>#REF!</v>
      </c>
      <c r="I36" s="250" t="e">
        <f>+'CE Min'!#REF!+'CE Min'!#REF!-'CE Min'!#REF!+'CE Min'!#REF!</f>
        <v>#REF!</v>
      </c>
      <c r="J36" s="250">
        <f>+'CE Min'!E297+'CE Min'!E305-'CE Min'!E312+'CE Min'!E319</f>
        <v>4559808</v>
      </c>
      <c r="K36" s="250" t="e">
        <f>+'CE Min'!#REF!+'CE Min'!#REF!-'CE Min'!#REF!+'CE Min'!#REF!</f>
        <v>#REF!</v>
      </c>
      <c r="L36" s="250" t="e">
        <f>+'CE Min'!#REF!+'CE Min'!#REF!-'CE Min'!#REF!+'CE Min'!#REF!</f>
        <v>#REF!</v>
      </c>
    </row>
    <row r="37" spans="1:12" ht="33.6" customHeight="1">
      <c r="A37" s="232" t="s">
        <v>2195</v>
      </c>
      <c r="B37" s="233" t="s">
        <v>2196</v>
      </c>
      <c r="C37" s="252" t="s">
        <v>2197</v>
      </c>
      <c r="D37" s="250">
        <f>+'CE Min'!D329+'CE Min'!D366+'CE Min'!D374+'CE Min'!D429+'CE Min'!D349-'CE Min'!D355+'CE Min'!D363</f>
        <v>11422111.65</v>
      </c>
      <c r="E37" s="250" t="e">
        <f>+'CE Min'!#REF!+'CE Min'!#REF!+'CE Min'!#REF!+'CE Min'!#REF!+'CE Min'!#REF!-'CE Min'!#REF!+'CE Min'!#REF!</f>
        <v>#REF!</v>
      </c>
      <c r="F37" s="250" t="e">
        <f>+'CE Min'!#REF!+'CE Min'!#REF!+'CE Min'!#REF!+'CE Min'!#REF!+'CE Min'!#REF!-'CE Min'!#REF!+'CE Min'!#REF!</f>
        <v>#REF!</v>
      </c>
      <c r="G37" s="250" t="e">
        <f>+'CE Min'!#REF!+'CE Min'!#REF!+'CE Min'!#REF!+'CE Min'!#REF!+'CE Min'!#REF!-'CE Min'!#REF!+'CE Min'!#REF!</f>
        <v>#REF!</v>
      </c>
      <c r="H37" s="250" t="e">
        <f>+'CE Min'!#REF!+'CE Min'!#REF!+'CE Min'!#REF!+'CE Min'!#REF!+'CE Min'!#REF!-'CE Min'!#REF!+'CE Min'!#REF!</f>
        <v>#REF!</v>
      </c>
      <c r="I37" s="250" t="e">
        <f>+'CE Min'!#REF!+'CE Min'!#REF!+'CE Min'!#REF!+'CE Min'!#REF!+'CE Min'!#REF!-'CE Min'!#REF!+'CE Min'!#REF!</f>
        <v>#REF!</v>
      </c>
      <c r="J37" s="250">
        <f>+'CE Min'!E329+'CE Min'!E366+'CE Min'!E374+'CE Min'!E429+'CE Min'!E349-'CE Min'!E355+'CE Min'!E363</f>
        <v>10630893</v>
      </c>
      <c r="K37" s="250" t="e">
        <f>+'CE Min'!#REF!+'CE Min'!#REF!+'CE Min'!#REF!+'CE Min'!#REF!+'CE Min'!#REF!-'CE Min'!#REF!+'CE Min'!#REF!</f>
        <v>#REF!</v>
      </c>
      <c r="L37" s="250" t="e">
        <f>+'CE Min'!#REF!+'CE Min'!#REF!+'CE Min'!#REF!+'CE Min'!#REF!+'CE Min'!#REF!-'CE Min'!#REF!+'CE Min'!#REF!</f>
        <v>#REF!</v>
      </c>
    </row>
    <row r="38" spans="1:12" ht="20.399999999999999">
      <c r="A38" s="234" t="s">
        <v>2198</v>
      </c>
      <c r="B38" s="274" t="s">
        <v>2199</v>
      </c>
      <c r="C38" s="254"/>
      <c r="D38" s="250">
        <f>+D39+D40+D41+D42+D43+D44+D45</f>
        <v>136119.26</v>
      </c>
      <c r="E38" s="250" t="e">
        <f t="shared" ref="E38:L38" si="5">+E39+E40+E41+E42+E43+E44+E45</f>
        <v>#REF!</v>
      </c>
      <c r="F38" s="250" t="e">
        <f t="shared" si="5"/>
        <v>#REF!</v>
      </c>
      <c r="G38" s="250" t="e">
        <f t="shared" si="5"/>
        <v>#REF!</v>
      </c>
      <c r="H38" s="250" t="e">
        <f t="shared" si="5"/>
        <v>#REF!</v>
      </c>
      <c r="I38" s="250" t="e">
        <f t="shared" si="5"/>
        <v>#REF!</v>
      </c>
      <c r="J38" s="250">
        <f t="shared" si="5"/>
        <v>180031</v>
      </c>
      <c r="K38" s="250" t="e">
        <f t="shared" si="5"/>
        <v>#REF!</v>
      </c>
      <c r="L38" s="250" t="e">
        <f t="shared" si="5"/>
        <v>#REF!</v>
      </c>
    </row>
    <row r="39" spans="1:12">
      <c r="A39" s="235" t="s">
        <v>2200</v>
      </c>
      <c r="B39" s="233" t="s">
        <v>2201</v>
      </c>
      <c r="C39" s="253" t="s">
        <v>624</v>
      </c>
      <c r="D39" s="250">
        <f>+'CE Min'!D200</f>
        <v>0</v>
      </c>
      <c r="E39" s="250" t="e">
        <f>+'CE Min'!#REF!</f>
        <v>#REF!</v>
      </c>
      <c r="F39" s="250" t="e">
        <f>+'CE Min'!#REF!</f>
        <v>#REF!</v>
      </c>
      <c r="G39" s="250" t="e">
        <f>+'CE Min'!#REF!</f>
        <v>#REF!</v>
      </c>
      <c r="H39" s="250" t="e">
        <f>+'CE Min'!#REF!</f>
        <v>#REF!</v>
      </c>
      <c r="I39" s="250" t="e">
        <f>+'CE Min'!#REF!</f>
        <v>#REF!</v>
      </c>
      <c r="J39" s="250">
        <f>+'CE Min'!E200</f>
        <v>0</v>
      </c>
      <c r="K39" s="250" t="e">
        <f>+'CE Min'!#REF!</f>
        <v>#REF!</v>
      </c>
      <c r="L39" s="250" t="e">
        <f>+'CE Min'!#REF!</f>
        <v>#REF!</v>
      </c>
    </row>
    <row r="40" spans="1:12">
      <c r="A40" s="235" t="s">
        <v>2202</v>
      </c>
      <c r="B40" s="233" t="s">
        <v>2203</v>
      </c>
      <c r="C40" s="253" t="s">
        <v>2204</v>
      </c>
      <c r="D40" s="250">
        <f>+'CE Min'!D208</f>
        <v>0</v>
      </c>
      <c r="E40" s="250" t="e">
        <f>+'CE Min'!#REF!</f>
        <v>#REF!</v>
      </c>
      <c r="F40" s="250" t="e">
        <f>+'CE Min'!#REF!</f>
        <v>#REF!</v>
      </c>
      <c r="G40" s="250" t="e">
        <f>+'CE Min'!#REF!</f>
        <v>#REF!</v>
      </c>
      <c r="H40" s="250" t="e">
        <f>+'CE Min'!#REF!</f>
        <v>#REF!</v>
      </c>
      <c r="I40" s="250" t="e">
        <f>+'CE Min'!#REF!</f>
        <v>#REF!</v>
      </c>
      <c r="J40" s="250">
        <f>+'CE Min'!E208</f>
        <v>0</v>
      </c>
      <c r="K40" s="250" t="e">
        <f>+'CE Min'!#REF!</f>
        <v>#REF!</v>
      </c>
      <c r="L40" s="250" t="e">
        <f>+'CE Min'!#REF!</f>
        <v>#REF!</v>
      </c>
    </row>
    <row r="41" spans="1:12">
      <c r="A41" s="236" t="s">
        <v>2205</v>
      </c>
      <c r="B41" s="233" t="s">
        <v>2206</v>
      </c>
      <c r="C41" s="253" t="s">
        <v>2207</v>
      </c>
      <c r="D41" s="250">
        <f>+'CE Min'!D218</f>
        <v>0</v>
      </c>
      <c r="E41" s="250" t="e">
        <f>+'CE Min'!#REF!</f>
        <v>#REF!</v>
      </c>
      <c r="F41" s="250" t="e">
        <f>+'CE Min'!#REF!</f>
        <v>#REF!</v>
      </c>
      <c r="G41" s="250" t="e">
        <f>+'CE Min'!#REF!</f>
        <v>#REF!</v>
      </c>
      <c r="H41" s="250" t="e">
        <f>+'CE Min'!#REF!</f>
        <v>#REF!</v>
      </c>
      <c r="I41" s="250" t="e">
        <f>+'CE Min'!#REF!</f>
        <v>#REF!</v>
      </c>
      <c r="J41" s="250">
        <f>+'CE Min'!E218</f>
        <v>0</v>
      </c>
      <c r="K41" s="250" t="e">
        <f>+'CE Min'!#REF!</f>
        <v>#REF!</v>
      </c>
      <c r="L41" s="250" t="e">
        <f>+'CE Min'!#REF!</f>
        <v>#REF!</v>
      </c>
    </row>
    <row r="42" spans="1:12">
      <c r="A42" s="235" t="s">
        <v>2208</v>
      </c>
      <c r="B42" s="233" t="s">
        <v>2209</v>
      </c>
      <c r="C42" s="253" t="s">
        <v>2210</v>
      </c>
      <c r="D42" s="250">
        <f>+'CE Min'!D219+'CE Min'!D228</f>
        <v>0</v>
      </c>
      <c r="E42" s="250" t="e">
        <f>+'CE Min'!#REF!+'CE Min'!#REF!</f>
        <v>#REF!</v>
      </c>
      <c r="F42" s="250" t="e">
        <f>+'CE Min'!#REF!+'CE Min'!#REF!</f>
        <v>#REF!</v>
      </c>
      <c r="G42" s="250" t="e">
        <f>+'CE Min'!#REF!+'CE Min'!#REF!</f>
        <v>#REF!</v>
      </c>
      <c r="H42" s="250" t="e">
        <f>+'CE Min'!#REF!+'CE Min'!#REF!</f>
        <v>#REF!</v>
      </c>
      <c r="I42" s="250" t="e">
        <f>+'CE Min'!#REF!+'CE Min'!#REF!</f>
        <v>#REF!</v>
      </c>
      <c r="J42" s="250">
        <f>+'CE Min'!E219+'CE Min'!E228</f>
        <v>0</v>
      </c>
      <c r="K42" s="250" t="e">
        <f>+'CE Min'!#REF!+'CE Min'!#REF!</f>
        <v>#REF!</v>
      </c>
      <c r="L42" s="250" t="e">
        <f>+'CE Min'!#REF!+'CE Min'!#REF!</f>
        <v>#REF!</v>
      </c>
    </row>
    <row r="43" spans="1:12">
      <c r="A43" s="235" t="s">
        <v>2211</v>
      </c>
      <c r="B43" s="233" t="s">
        <v>2212</v>
      </c>
      <c r="C43" s="253" t="s">
        <v>2213</v>
      </c>
      <c r="D43" s="250">
        <f>+'CE Min'!D234+'CE Min'!D235</f>
        <v>0</v>
      </c>
      <c r="E43" s="250" t="e">
        <f>+'CE Min'!#REF!+'CE Min'!#REF!</f>
        <v>#REF!</v>
      </c>
      <c r="F43" s="250" t="e">
        <f>+'CE Min'!#REF!+'CE Min'!#REF!</f>
        <v>#REF!</v>
      </c>
      <c r="G43" s="250" t="e">
        <f>+'CE Min'!#REF!+'CE Min'!#REF!</f>
        <v>#REF!</v>
      </c>
      <c r="H43" s="250" t="e">
        <f>+'CE Min'!#REF!+'CE Min'!#REF!</f>
        <v>#REF!</v>
      </c>
      <c r="I43" s="250" t="e">
        <f>+'CE Min'!#REF!+'CE Min'!#REF!</f>
        <v>#REF!</v>
      </c>
      <c r="J43" s="250">
        <f>+'CE Min'!E234+'CE Min'!E235</f>
        <v>0</v>
      </c>
      <c r="K43" s="250" t="e">
        <f>+'CE Min'!#REF!+'CE Min'!#REF!</f>
        <v>#REF!</v>
      </c>
      <c r="L43" s="250" t="e">
        <f>+'CE Min'!#REF!+'CE Min'!#REF!</f>
        <v>#REF!</v>
      </c>
    </row>
    <row r="44" spans="1:12">
      <c r="A44" s="235" t="s">
        <v>2214</v>
      </c>
      <c r="B44" s="233" t="s">
        <v>2215</v>
      </c>
      <c r="C44" s="253" t="s">
        <v>2216</v>
      </c>
      <c r="D44" s="250">
        <f>+'CE Min'!D250+'CE Min'!D255</f>
        <v>0</v>
      </c>
      <c r="E44" s="250" t="e">
        <f>+'CE Min'!#REF!+'CE Min'!#REF!</f>
        <v>#REF!</v>
      </c>
      <c r="F44" s="250" t="e">
        <f>+'CE Min'!#REF!+'CE Min'!#REF!</f>
        <v>#REF!</v>
      </c>
      <c r="G44" s="250" t="e">
        <f>+'CE Min'!#REF!+'CE Min'!#REF!</f>
        <v>#REF!</v>
      </c>
      <c r="H44" s="250" t="e">
        <f>+'CE Min'!#REF!+'CE Min'!#REF!</f>
        <v>#REF!</v>
      </c>
      <c r="I44" s="250" t="e">
        <f>+'CE Min'!#REF!+'CE Min'!#REF!</f>
        <v>#REF!</v>
      </c>
      <c r="J44" s="250">
        <f>+'CE Min'!E250+'CE Min'!E255</f>
        <v>0</v>
      </c>
      <c r="K44" s="250" t="e">
        <f>+'CE Min'!#REF!+'CE Min'!#REF!</f>
        <v>#REF!</v>
      </c>
      <c r="L44" s="250" t="e">
        <f>+'CE Min'!#REF!+'CE Min'!#REF!</f>
        <v>#REF!</v>
      </c>
    </row>
    <row r="45" spans="1:12" ht="82.95" customHeight="1">
      <c r="A45" s="235" t="s">
        <v>2217</v>
      </c>
      <c r="B45" s="233" t="s">
        <v>2218</v>
      </c>
      <c r="C45" s="252" t="s">
        <v>2219</v>
      </c>
      <c r="D45" s="250">
        <f>+'CE Min'!D240+'CE Min'!D245+'CE Min'!D260+'CE Min'!D261+'CE Min'!D266+'CE Min'!D267+'CE Min'!D268+'CE Min'!D273+'CE Min'!D274+'CE Min'!D279+'CE Min'!D287+'CE Min'!D288+'CE Min'!D293+'CE Min'!D294</f>
        <v>136119.26</v>
      </c>
      <c r="E45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F45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G45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H45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I45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J45" s="250">
        <f>+'CE Min'!E240+'CE Min'!E245+'CE Min'!E260+'CE Min'!E261+'CE Min'!E266+'CE Min'!E267+'CE Min'!E268+'CE Min'!E273+'CE Min'!E274+'CE Min'!E279+'CE Min'!E287+'CE Min'!E288+'CE Min'!E293+'CE Min'!E294</f>
        <v>180031</v>
      </c>
      <c r="K45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L45" s="250" t="e">
        <f>+'CE Min'!#REF!+'CE Min'!#REF!+'CE Min'!#REF!+'CE Min'!#REF!+'CE Min'!#REF!+'CE Min'!#REF!+'CE Min'!#REF!+'CE Min'!#REF!+'CE Min'!#REF!+'CE Min'!#REF!+'CE Min'!#REF!+'CE Min'!#REF!+'CE Min'!#REF!+'CE Min'!#REF!</f>
        <v>#REF!</v>
      </c>
    </row>
    <row r="46" spans="1:12" ht="72" customHeight="1">
      <c r="A46" s="237" t="s">
        <v>2220</v>
      </c>
      <c r="B46" s="273">
        <v>20</v>
      </c>
      <c r="C46" s="252" t="s">
        <v>2221</v>
      </c>
      <c r="D46" s="250">
        <f>+'CE Min'!D214+'CE Min'!D232+'CE Min'!D233+'CE Min'!D238+'CE Min'!D243+'CE Min'!D248+'CE Min'!D258+'CE Min'!D259+'CE Min'!D264+'CE Min'!D271+'CE Min'!D277+'CE Min'!D284+'CE Min'!D286</f>
        <v>551746.80000000005</v>
      </c>
      <c r="E46" s="250" t="e">
        <f>+'CE Min'!#REF!+'CE Min'!#REF!+'CE Min'!#REF!+'CE Min'!#REF!+'CE Min'!#REF!+'CE Min'!#REF!+'CE Min'!#REF!+'CE Min'!#REF!+'CE Min'!#REF!+'CE Min'!#REF!+'CE Min'!#REF!+'CE Min'!#REF!+'CE Min'!#REF!</f>
        <v>#REF!</v>
      </c>
      <c r="F46" s="250" t="e">
        <f>+'CE Min'!#REF!+'CE Min'!#REF!+'CE Min'!#REF!+'CE Min'!#REF!+'CE Min'!#REF!+'CE Min'!#REF!+'CE Min'!#REF!+'CE Min'!#REF!+'CE Min'!#REF!+'CE Min'!#REF!+'CE Min'!#REF!+'CE Min'!#REF!+'CE Min'!#REF!</f>
        <v>#REF!</v>
      </c>
      <c r="G46" s="250" t="e">
        <f>+'CE Min'!#REF!+'CE Min'!#REF!+'CE Min'!#REF!+'CE Min'!#REF!+'CE Min'!#REF!+'CE Min'!#REF!+'CE Min'!#REF!+'CE Min'!#REF!+'CE Min'!#REF!+'CE Min'!#REF!+'CE Min'!#REF!+'CE Min'!#REF!+'CE Min'!#REF!</f>
        <v>#REF!</v>
      </c>
      <c r="H46" s="250" t="e">
        <f>+'CE Min'!#REF!+'CE Min'!#REF!+'CE Min'!#REF!+'CE Min'!#REF!+'CE Min'!#REF!+'CE Min'!#REF!+'CE Min'!#REF!+'CE Min'!#REF!+'CE Min'!#REF!+'CE Min'!#REF!+'CE Min'!#REF!+'CE Min'!#REF!+'CE Min'!#REF!</f>
        <v>#REF!</v>
      </c>
      <c r="I46" s="250" t="e">
        <f>+'CE Min'!#REF!+'CE Min'!#REF!+'CE Min'!#REF!+'CE Min'!#REF!+'CE Min'!#REF!+'CE Min'!#REF!+'CE Min'!#REF!+'CE Min'!#REF!+'CE Min'!#REF!+'CE Min'!#REF!+'CE Min'!#REF!+'CE Min'!#REF!+'CE Min'!#REF!</f>
        <v>#REF!</v>
      </c>
      <c r="J46" s="250">
        <f>+'CE Min'!E214+'CE Min'!E232+'CE Min'!E233+'CE Min'!E238+'CE Min'!E243+'CE Min'!E248+'CE Min'!E258+'CE Min'!E259+'CE Min'!E264+'CE Min'!E271+'CE Min'!E277+'CE Min'!E284+'CE Min'!E286</f>
        <v>0</v>
      </c>
      <c r="K46" s="250" t="e">
        <f>+'CE Min'!#REF!+'CE Min'!#REF!+'CE Min'!#REF!+'CE Min'!#REF!+'CE Min'!#REF!+'CE Min'!#REF!+'CE Min'!#REF!+'CE Min'!#REF!+'CE Min'!#REF!+'CE Min'!#REF!+'CE Min'!#REF!+'CE Min'!#REF!+'CE Min'!#REF!</f>
        <v>#REF!</v>
      </c>
      <c r="L46" s="250" t="e">
        <f>+'CE Min'!#REF!+'CE Min'!#REF!+'CE Min'!#REF!+'CE Min'!#REF!+'CE Min'!#REF!+'CE Min'!#REF!+'CE Min'!#REF!+'CE Min'!#REF!+'CE Min'!#REF!+'CE Min'!#REF!+'CE Min'!#REF!+'CE Min'!#REF!+'CE Min'!#REF!</f>
        <v>#REF!</v>
      </c>
    </row>
    <row r="47" spans="1:12">
      <c r="A47" s="234" t="s">
        <v>2222</v>
      </c>
      <c r="B47" s="273">
        <v>21</v>
      </c>
      <c r="C47" s="253" t="s">
        <v>1357</v>
      </c>
      <c r="D47" s="250">
        <f>+'CE Min'!D461</f>
        <v>5252577.32</v>
      </c>
      <c r="E47" s="250" t="e">
        <f>+'CE Min'!#REF!</f>
        <v>#REF!</v>
      </c>
      <c r="F47" s="250" t="e">
        <f>+'CE Min'!#REF!</f>
        <v>#REF!</v>
      </c>
      <c r="G47" s="250" t="e">
        <f>+'CE Min'!#REF!</f>
        <v>#REF!</v>
      </c>
      <c r="H47" s="250" t="e">
        <f>+'CE Min'!#REF!</f>
        <v>#REF!</v>
      </c>
      <c r="I47" s="250" t="e">
        <f>+'CE Min'!#REF!</f>
        <v>#REF!</v>
      </c>
      <c r="J47" s="250">
        <f>+'CE Min'!E461</f>
        <v>6105816</v>
      </c>
      <c r="K47" s="250" t="e">
        <f>+'CE Min'!#REF!</f>
        <v>#REF!</v>
      </c>
      <c r="L47" s="250" t="e">
        <f>+'CE Min'!#REF!</f>
        <v>#REF!</v>
      </c>
    </row>
    <row r="48" spans="1:12">
      <c r="A48" s="234" t="s">
        <v>2223</v>
      </c>
      <c r="B48" s="273">
        <v>22</v>
      </c>
      <c r="C48" s="255" t="s">
        <v>2224</v>
      </c>
      <c r="D48" s="250">
        <f>+'CE Min'!D501+'CE Min'!D505</f>
        <v>203.41</v>
      </c>
      <c r="E48" s="250" t="e">
        <f>+'CE Min'!#REF!+'CE Min'!#REF!</f>
        <v>#REF!</v>
      </c>
      <c r="F48" s="250" t="e">
        <f>+'CE Min'!#REF!+'CE Min'!#REF!</f>
        <v>#REF!</v>
      </c>
      <c r="G48" s="250" t="e">
        <f>+'CE Min'!#REF!+'CE Min'!#REF!</f>
        <v>#REF!</v>
      </c>
      <c r="H48" s="250" t="e">
        <f>+'CE Min'!#REF!+'CE Min'!#REF!</f>
        <v>#REF!</v>
      </c>
      <c r="I48" s="250" t="e">
        <f>+'CE Min'!#REF!+'CE Min'!#REF!</f>
        <v>#REF!</v>
      </c>
      <c r="J48" s="250">
        <f>+'CE Min'!E501+'CE Min'!E505</f>
        <v>0</v>
      </c>
      <c r="K48" s="250" t="e">
        <f>+'CE Min'!#REF!+'CE Min'!#REF!</f>
        <v>#REF!</v>
      </c>
      <c r="L48" s="250" t="e">
        <f>+'CE Min'!#REF!+'CE Min'!#REF!</f>
        <v>#REF!</v>
      </c>
    </row>
    <row r="49" spans="1:12">
      <c r="A49" s="234" t="s">
        <v>2225</v>
      </c>
      <c r="B49" s="273">
        <v>23</v>
      </c>
      <c r="C49" s="255" t="s">
        <v>2226</v>
      </c>
      <c r="D49" s="250">
        <f>+'CE Min'!D427+'CE Min'!D580+'CE Min'!D583</f>
        <v>144667.9</v>
      </c>
      <c r="E49" s="250" t="e">
        <f>+'CE Min'!#REF!+'CE Min'!#REF!+'CE Min'!#REF!</f>
        <v>#REF!</v>
      </c>
      <c r="F49" s="250" t="e">
        <f>+'CE Min'!#REF!+'CE Min'!#REF!+'CE Min'!#REF!</f>
        <v>#REF!</v>
      </c>
      <c r="G49" s="250" t="e">
        <f>+'CE Min'!#REF!+'CE Min'!#REF!+'CE Min'!#REF!</f>
        <v>#REF!</v>
      </c>
      <c r="H49" s="250" t="e">
        <f>+'CE Min'!#REF!+'CE Min'!#REF!+'CE Min'!#REF!</f>
        <v>#REF!</v>
      </c>
      <c r="I49" s="250" t="e">
        <f>+'CE Min'!#REF!+'CE Min'!#REF!+'CE Min'!#REF!</f>
        <v>#REF!</v>
      </c>
      <c r="J49" s="250">
        <f>+'CE Min'!E427+'CE Min'!E580+'CE Min'!E583</f>
        <v>138491</v>
      </c>
      <c r="K49" s="250" t="e">
        <f>+'CE Min'!#REF!+'CE Min'!#REF!+'CE Min'!#REF!</f>
        <v>#REF!</v>
      </c>
      <c r="L49" s="250" t="e">
        <f>+'CE Min'!#REF!+'CE Min'!#REF!+'CE Min'!#REF!</f>
        <v>#REF!</v>
      </c>
    </row>
    <row r="50" spans="1:12">
      <c r="A50" s="238" t="s">
        <v>2227</v>
      </c>
      <c r="B50" s="273">
        <v>24</v>
      </c>
      <c r="C50" s="256" t="s">
        <v>1950</v>
      </c>
      <c r="D50" s="250">
        <f>+'CE Min'!D434</f>
        <v>2164533.2000000002</v>
      </c>
      <c r="E50" s="250" t="e">
        <f>+'CE Min'!#REF!</f>
        <v>#REF!</v>
      </c>
      <c r="F50" s="250" t="e">
        <f>+'CE Min'!#REF!</f>
        <v>#REF!</v>
      </c>
      <c r="G50" s="250" t="e">
        <f>+'CE Min'!#REF!</f>
        <v>#REF!</v>
      </c>
      <c r="H50" s="250" t="e">
        <f>+'CE Min'!#REF!</f>
        <v>#REF!</v>
      </c>
      <c r="I50" s="250" t="e">
        <f>+'CE Min'!#REF!</f>
        <v>#REF!</v>
      </c>
      <c r="J50" s="250">
        <f>+'CE Min'!E434</f>
        <v>1724598</v>
      </c>
      <c r="K50" s="250" t="e">
        <f>+'CE Min'!#REF!</f>
        <v>#REF!</v>
      </c>
      <c r="L50" s="250" t="e">
        <f>+'CE Min'!#REF!</f>
        <v>#REF!</v>
      </c>
    </row>
    <row r="51" spans="1:12" ht="83.7" customHeight="1">
      <c r="A51" s="239" t="s">
        <v>2228</v>
      </c>
      <c r="B51" s="273">
        <v>25</v>
      </c>
      <c r="C51" s="257" t="s">
        <v>2229</v>
      </c>
      <c r="D51" s="250">
        <f>+'CE Min'!D164+'CE Min'!D168+'CE Min'!D205+'CE Min'!D209+'CE Min'!D212+'CE Min'!D231+'CE Min'!D237+'CE Min'!D242+'CE Min'!D247+'CE Min'!D257+'CE Min'!D263+'CE Min'!D270+'CE Min'!D276+'CE Min'!D281</f>
        <v>408536.4</v>
      </c>
      <c r="E51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F51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G51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H51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I51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J51" s="250">
        <f>+'CE Min'!E164+'CE Min'!E168+'CE Min'!E205+'CE Min'!E209+'CE Min'!E212+'CE Min'!E231+'CE Min'!E237+'CE Min'!E242+'CE Min'!E247+'CE Min'!E257+'CE Min'!E263+'CE Min'!E270+'CE Min'!E276+'CE Min'!E281</f>
        <v>261564</v>
      </c>
      <c r="K51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L51" s="250" t="e">
        <f>+'CE Min'!#REF!+'CE Min'!#REF!+'CE Min'!#REF!+'CE Min'!#REF!+'CE Min'!#REF!+'CE Min'!#REF!+'CE Min'!#REF!+'CE Min'!#REF!+'CE Min'!#REF!+'CE Min'!#REF!+'CE Min'!#REF!+'CE Min'!#REF!+'CE Min'!#REF!+'CE Min'!#REF!</f>
        <v>#REF!</v>
      </c>
    </row>
    <row r="52" spans="1:12" ht="78" customHeight="1">
      <c r="A52" s="239" t="s">
        <v>2230</v>
      </c>
      <c r="B52" s="273">
        <v>26</v>
      </c>
      <c r="C52" s="257" t="s">
        <v>2231</v>
      </c>
      <c r="D52" s="250">
        <f>+'CE Min'!D165+'CE Min'!D169+'CE Min'!D206+'CE Min'!D210+'CE Min'!D216+'CE Min'!D217+'CE Min'!D239+'CE Min'!D244+'CE Min'!D249+'CE Min'!D265+'CE Min'!D272+'CE Min'!D278+'CE Min'!D285+'CE Min'!D327</f>
        <v>17717</v>
      </c>
      <c r="E52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F52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G52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H52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I52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J52" s="250">
        <f>+'CE Min'!E165+'CE Min'!E169+'CE Min'!E206+'CE Min'!E210+'CE Min'!E216+'CE Min'!E217+'CE Min'!E239+'CE Min'!E244+'CE Min'!E249+'CE Min'!E265+'CE Min'!E272+'CE Min'!E278+'CE Min'!E285+'CE Min'!E327</f>
        <v>720007</v>
      </c>
      <c r="K52" s="250" t="e">
        <f>+'CE Min'!#REF!+'CE Min'!#REF!+'CE Min'!#REF!+'CE Min'!#REF!+'CE Min'!#REF!+'CE Min'!#REF!+'CE Min'!#REF!+'CE Min'!#REF!+'CE Min'!#REF!+'CE Min'!#REF!+'CE Min'!#REF!+'CE Min'!#REF!+'CE Min'!#REF!+'CE Min'!#REF!</f>
        <v>#REF!</v>
      </c>
      <c r="L52" s="250" t="e">
        <f>+'CE Min'!#REF!+'CE Min'!#REF!+'CE Min'!#REF!+'CE Min'!#REF!+'CE Min'!#REF!+'CE Min'!#REF!+'CE Min'!#REF!+'CE Min'!#REF!+'CE Min'!#REF!+'CE Min'!#REF!+'CE Min'!#REF!+'CE Min'!#REF!+'CE Min'!#REF!+'CE Min'!#REF!</f>
        <v>#REF!</v>
      </c>
    </row>
    <row r="53" spans="1:12" ht="21.6" customHeight="1">
      <c r="A53" s="234" t="s">
        <v>2232</v>
      </c>
      <c r="B53" s="273">
        <v>27</v>
      </c>
      <c r="C53" s="258" t="s">
        <v>2233</v>
      </c>
      <c r="D53" s="250">
        <f>-'CE Min'!D514+'CE Min'!D540+'CE Min'!D444</f>
        <v>-240399.24000000002</v>
      </c>
      <c r="E53" s="250" t="e">
        <f>-'CE Min'!#REF!+'CE Min'!#REF!+'CE Min'!#REF!</f>
        <v>#REF!</v>
      </c>
      <c r="F53" s="250" t="e">
        <f>-'CE Min'!#REF!+'CE Min'!#REF!+'CE Min'!#REF!</f>
        <v>#REF!</v>
      </c>
      <c r="G53" s="250" t="e">
        <f>-'CE Min'!#REF!+'CE Min'!#REF!+'CE Min'!#REF!</f>
        <v>#REF!</v>
      </c>
      <c r="H53" s="250" t="e">
        <f>-'CE Min'!#REF!+'CE Min'!#REF!+'CE Min'!#REF!</f>
        <v>#REF!</v>
      </c>
      <c r="I53" s="250" t="e">
        <f>-'CE Min'!#REF!+'CE Min'!#REF!+'CE Min'!#REF!</f>
        <v>#REF!</v>
      </c>
      <c r="J53" s="250">
        <f>-'CE Min'!E514+'CE Min'!E540+'CE Min'!E444</f>
        <v>-5695</v>
      </c>
      <c r="K53" s="250" t="e">
        <f>-'CE Min'!#REF!+'CE Min'!#REF!+'CE Min'!#REF!</f>
        <v>#REF!</v>
      </c>
      <c r="L53" s="250" t="e">
        <f>-'CE Min'!#REF!+'CE Min'!#REF!+'CE Min'!#REF!</f>
        <v>#REF!</v>
      </c>
    </row>
    <row r="54" spans="1:12" ht="34.200000000000003" customHeight="1">
      <c r="A54" s="234" t="s">
        <v>2234</v>
      </c>
      <c r="B54" s="273">
        <v>28</v>
      </c>
      <c r="C54" s="259" t="s">
        <v>2235</v>
      </c>
      <c r="D54" s="250">
        <f>-'CE Min'!D510+'CE Min'!D511+'CE Min'!D441+'CE Min'!D428</f>
        <v>54782.96</v>
      </c>
      <c r="E54" s="250" t="e">
        <f>-'CE Min'!#REF!+'CE Min'!#REF!+'CE Min'!#REF!+'CE Min'!#REF!</f>
        <v>#REF!</v>
      </c>
      <c r="F54" s="250" t="e">
        <f>-'CE Min'!#REF!+'CE Min'!#REF!+'CE Min'!#REF!+'CE Min'!#REF!</f>
        <v>#REF!</v>
      </c>
      <c r="G54" s="250" t="e">
        <f>-'CE Min'!#REF!+'CE Min'!#REF!+'CE Min'!#REF!+'CE Min'!#REF!</f>
        <v>#REF!</v>
      </c>
      <c r="H54" s="250" t="e">
        <f>-'CE Min'!#REF!+'CE Min'!#REF!+'CE Min'!#REF!+'CE Min'!#REF!</f>
        <v>#REF!</v>
      </c>
      <c r="I54" s="250" t="e">
        <f>-'CE Min'!#REF!+'CE Min'!#REF!+'CE Min'!#REF!+'CE Min'!#REF!</f>
        <v>#REF!</v>
      </c>
      <c r="J54" s="250">
        <f>-'CE Min'!E510+'CE Min'!E511+'CE Min'!E441+'CE Min'!E428</f>
        <v>90694</v>
      </c>
      <c r="K54" s="250" t="e">
        <f>-'CE Min'!#REF!+'CE Min'!#REF!+'CE Min'!#REF!+'CE Min'!#REF!</f>
        <v>#REF!</v>
      </c>
      <c r="L54" s="250" t="e">
        <f>-'CE Min'!#REF!+'CE Min'!#REF!+'CE Min'!#REF!+'CE Min'!#REF!</f>
        <v>#REF!</v>
      </c>
    </row>
    <row r="55" spans="1:12" ht="66.599999999999994" customHeight="1">
      <c r="A55" s="240" t="s">
        <v>2236</v>
      </c>
      <c r="B55" s="275">
        <v>29</v>
      </c>
      <c r="C55" s="260" t="s">
        <v>2237</v>
      </c>
      <c r="D55" s="250">
        <f>-'CE Min'!D111-'CE Min'!D112-'CE Min'!D113-'CE Min'!D116-'CE Min'!D117+'CE Min'!D290+'CE Min'!D291+'CE Min'!D292+'CE Min'!D295+'CE Min'!D296</f>
        <v>-112582.86000000004</v>
      </c>
      <c r="E55" s="250" t="e">
        <f>-'CE Min'!#REF!-'CE Min'!#REF!-'CE Min'!#REF!-'CE Min'!#REF!-'CE Min'!#REF!+'CE Min'!#REF!+'CE Min'!#REF!+'CE Min'!#REF!+'CE Min'!#REF!+'CE Min'!#REF!</f>
        <v>#REF!</v>
      </c>
      <c r="F55" s="250" t="e">
        <f>-'CE Min'!#REF!-'CE Min'!#REF!-'CE Min'!#REF!-'CE Min'!#REF!-'CE Min'!#REF!+'CE Min'!#REF!+'CE Min'!#REF!+'CE Min'!#REF!+'CE Min'!#REF!+'CE Min'!#REF!</f>
        <v>#REF!</v>
      </c>
      <c r="G55" s="250" t="e">
        <f>-'CE Min'!#REF!-'CE Min'!#REF!-'CE Min'!#REF!-'CE Min'!#REF!-'CE Min'!#REF!+'CE Min'!#REF!+'CE Min'!#REF!+'CE Min'!#REF!+'CE Min'!#REF!+'CE Min'!#REF!</f>
        <v>#REF!</v>
      </c>
      <c r="H55" s="250" t="e">
        <f>-'CE Min'!#REF!-'CE Min'!#REF!-'CE Min'!#REF!-'CE Min'!#REF!-'CE Min'!#REF!+'CE Min'!#REF!+'CE Min'!#REF!+'CE Min'!#REF!+'CE Min'!#REF!+'CE Min'!#REF!</f>
        <v>#REF!</v>
      </c>
      <c r="I55" s="250" t="e">
        <f>-'CE Min'!#REF!-'CE Min'!#REF!-'CE Min'!#REF!-'CE Min'!#REF!-'CE Min'!#REF!+'CE Min'!#REF!+'CE Min'!#REF!+'CE Min'!#REF!+'CE Min'!#REF!+'CE Min'!#REF!</f>
        <v>#REF!</v>
      </c>
      <c r="J55" s="250">
        <f>-'CE Min'!E111-'CE Min'!E112-'CE Min'!E113-'CE Min'!E116-'CE Min'!E117+'CE Min'!E290+'CE Min'!E291+'CE Min'!E292+'CE Min'!E295+'CE Min'!E296</f>
        <v>-146183</v>
      </c>
      <c r="K55" s="250" t="e">
        <f>-'CE Min'!#REF!-'CE Min'!#REF!-'CE Min'!#REF!-'CE Min'!#REF!-'CE Min'!#REF!+'CE Min'!#REF!+'CE Min'!#REF!+'CE Min'!#REF!+'CE Min'!#REF!+'CE Min'!#REF!</f>
        <v>#REF!</v>
      </c>
      <c r="L55" s="250" t="e">
        <f>-'CE Min'!#REF!-'CE Min'!#REF!-'CE Min'!#REF!-'CE Min'!#REF!-'CE Min'!#REF!+'CE Min'!#REF!+'CE Min'!#REF!+'CE Min'!#REF!+'CE Min'!#REF!+'CE Min'!#REF!</f>
        <v>#REF!</v>
      </c>
    </row>
    <row r="56" spans="1:12" ht="41.4" thickBot="1">
      <c r="A56" s="241" t="s">
        <v>2238</v>
      </c>
      <c r="B56" s="276" t="s">
        <v>2239</v>
      </c>
      <c r="C56" s="261"/>
      <c r="D56" s="261">
        <f>+D25+D31+D32+D35+D38+D46+D47+D48+D49+D50+D51+D52+D53+D54+D55</f>
        <v>81317492.5</v>
      </c>
      <c r="E56" s="261" t="e">
        <f t="shared" ref="E56:L56" si="6">+E25+E31+E32+E35+E38+E46+E47+E48+E49+E50+E51+E52+E53+E54+E55</f>
        <v>#REF!</v>
      </c>
      <c r="F56" s="261" t="e">
        <f t="shared" si="6"/>
        <v>#REF!</v>
      </c>
      <c r="G56" s="261" t="e">
        <f t="shared" si="6"/>
        <v>#REF!</v>
      </c>
      <c r="H56" s="261" t="e">
        <f t="shared" si="6"/>
        <v>#REF!</v>
      </c>
      <c r="I56" s="261" t="e">
        <f t="shared" si="6"/>
        <v>#REF!</v>
      </c>
      <c r="J56" s="261">
        <f t="shared" si="6"/>
        <v>75450621</v>
      </c>
      <c r="K56" s="261" t="e">
        <f t="shared" si="6"/>
        <v>#REF!</v>
      </c>
      <c r="L56" s="261" t="e">
        <f t="shared" si="6"/>
        <v>#REF!</v>
      </c>
    </row>
    <row r="57" spans="1:12" ht="14.4" thickTop="1" thickBot="1">
      <c r="A57" s="214"/>
      <c r="B57" s="277"/>
      <c r="C57" s="214"/>
    </row>
    <row r="58" spans="1:12" ht="18.600000000000001" thickTop="1" thickBot="1">
      <c r="A58" s="242" t="s">
        <v>2112</v>
      </c>
      <c r="B58" s="278" t="s">
        <v>2240</v>
      </c>
      <c r="C58" s="243"/>
      <c r="D58" s="243">
        <f>+D19-D56</f>
        <v>19877.109999999404</v>
      </c>
      <c r="E58" s="243" t="e">
        <f t="shared" ref="E58:L58" si="7">+E19-E56</f>
        <v>#REF!</v>
      </c>
      <c r="F58" s="243" t="e">
        <f t="shared" si="7"/>
        <v>#REF!</v>
      </c>
      <c r="G58" s="243" t="e">
        <f t="shared" si="7"/>
        <v>#REF!</v>
      </c>
      <c r="H58" s="243" t="e">
        <f t="shared" si="7"/>
        <v>#REF!</v>
      </c>
      <c r="I58" s="243" t="e">
        <f t="shared" si="7"/>
        <v>#REF!</v>
      </c>
      <c r="J58" s="243">
        <f t="shared" si="7"/>
        <v>106863</v>
      </c>
      <c r="K58" s="243" t="e">
        <f t="shared" si="7"/>
        <v>#REF!</v>
      </c>
      <c r="L58" s="243" t="e">
        <f t="shared" si="7"/>
        <v>#REF!</v>
      </c>
    </row>
    <row r="59" spans="1:12" ht="13.8" thickTop="1"/>
  </sheetData>
  <mergeCells count="25">
    <mergeCell ref="K22:K24"/>
    <mergeCell ref="H3:H5"/>
    <mergeCell ref="I3:I5"/>
    <mergeCell ref="J3:J5"/>
    <mergeCell ref="K3:K5"/>
    <mergeCell ref="C3:C5"/>
    <mergeCell ref="C22:C24"/>
    <mergeCell ref="G23:G24"/>
    <mergeCell ref="L3:L5"/>
    <mergeCell ref="A1:K1"/>
    <mergeCell ref="D22:D24"/>
    <mergeCell ref="E22:E24"/>
    <mergeCell ref="F22:G22"/>
    <mergeCell ref="H22:H24"/>
    <mergeCell ref="I22:I24"/>
    <mergeCell ref="J22:J24"/>
    <mergeCell ref="L22:L24"/>
    <mergeCell ref="F23:F24"/>
    <mergeCell ref="A3:A4"/>
    <mergeCell ref="A22:A23"/>
    <mergeCell ref="F3:G3"/>
    <mergeCell ref="D3:D5"/>
    <mergeCell ref="E3:E5"/>
    <mergeCell ref="F4:F5"/>
    <mergeCell ref="G4:G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81"/>
  <sheetViews>
    <sheetView topLeftCell="B148" zoomScaleNormal="100" workbookViewId="0">
      <selection activeCell="O138" sqref="O138"/>
    </sheetView>
  </sheetViews>
  <sheetFormatPr defaultColWidth="9.109375" defaultRowHeight="13.2"/>
  <cols>
    <col min="1" max="2" width="3.44140625" style="972" customWidth="1"/>
    <col min="3" max="4" width="2.6640625" style="972" customWidth="1"/>
    <col min="5" max="5" width="3.44140625" style="972" customWidth="1"/>
    <col min="6" max="6" width="40.6640625" style="851" customWidth="1"/>
    <col min="7" max="7" width="11.44140625" style="883" customWidth="1"/>
    <col min="8" max="8" width="12" style="883" bestFit="1" customWidth="1"/>
    <col min="9" max="9" width="13.88671875" style="970" customWidth="1"/>
    <col min="10" max="11" width="12.109375" style="970" customWidth="1"/>
    <col min="12" max="12" width="9" style="971" customWidth="1"/>
    <col min="13" max="13" width="9.109375" style="851"/>
    <col min="14" max="14" width="13.88671875" style="851" bestFit="1" customWidth="1"/>
    <col min="15" max="16" width="9.109375" style="851"/>
    <col min="17" max="17" width="12.6640625" style="851" bestFit="1" customWidth="1"/>
    <col min="18" max="18" width="9.109375" style="851"/>
    <col min="19" max="19" width="10.88671875" style="851" bestFit="1" customWidth="1"/>
    <col min="20" max="16384" width="9.109375" style="851"/>
  </cols>
  <sheetData>
    <row r="1" spans="1:20" ht="32.25" customHeight="1" thickBot="1">
      <c r="A1" s="1494" t="s">
        <v>2596</v>
      </c>
      <c r="B1" s="1495"/>
      <c r="C1" s="1495"/>
      <c r="D1" s="1495"/>
      <c r="E1" s="1495"/>
      <c r="F1" s="1495"/>
      <c r="G1" s="1495"/>
      <c r="H1" s="1495"/>
      <c r="I1" s="1495"/>
      <c r="J1" s="1495"/>
      <c r="K1" s="1496" t="s">
        <v>2597</v>
      </c>
      <c r="L1" s="1497"/>
    </row>
    <row r="2" spans="1:20" ht="7.5" customHeight="1" thickBot="1">
      <c r="A2" s="852"/>
      <c r="B2" s="852"/>
      <c r="C2" s="852"/>
      <c r="D2" s="852"/>
      <c r="E2" s="852"/>
      <c r="F2" s="853"/>
      <c r="G2" s="854"/>
      <c r="H2" s="854"/>
      <c r="I2" s="855"/>
      <c r="J2" s="856"/>
      <c r="K2" s="857"/>
      <c r="L2" s="858"/>
    </row>
    <row r="3" spans="1:20" ht="13.2" customHeight="1">
      <c r="A3" s="1498" t="s">
        <v>2122</v>
      </c>
      <c r="B3" s="1499"/>
      <c r="C3" s="1499"/>
      <c r="D3" s="1499"/>
      <c r="E3" s="1499"/>
      <c r="F3" s="1499"/>
      <c r="G3" s="1499"/>
      <c r="H3" s="1499"/>
      <c r="I3" s="1503" t="s">
        <v>3937</v>
      </c>
      <c r="J3" s="1503" t="s">
        <v>2598</v>
      </c>
      <c r="K3" s="1505" t="s">
        <v>2599</v>
      </c>
      <c r="L3" s="1506"/>
    </row>
    <row r="4" spans="1:20" ht="39.75" customHeight="1">
      <c r="A4" s="1500"/>
      <c r="B4" s="1501"/>
      <c r="C4" s="1501"/>
      <c r="D4" s="1501"/>
      <c r="E4" s="1501"/>
      <c r="F4" s="1501"/>
      <c r="G4" s="1502"/>
      <c r="H4" s="1501"/>
      <c r="I4" s="1504"/>
      <c r="J4" s="1504"/>
      <c r="K4" s="197" t="s">
        <v>2</v>
      </c>
      <c r="L4" s="859" t="s">
        <v>3</v>
      </c>
    </row>
    <row r="5" spans="1:20">
      <c r="A5" s="860"/>
      <c r="B5" s="861"/>
      <c r="C5" s="861"/>
      <c r="D5" s="861"/>
      <c r="E5" s="861"/>
      <c r="F5" s="862"/>
      <c r="G5" s="863"/>
      <c r="H5" s="864"/>
      <c r="I5" s="865"/>
      <c r="J5" s="865"/>
      <c r="K5" s="865"/>
      <c r="L5" s="866"/>
    </row>
    <row r="6" spans="1:20" s="875" customFormat="1" ht="10.199999999999999">
      <c r="A6" s="867" t="s">
        <v>4</v>
      </c>
      <c r="B6" s="868" t="s">
        <v>2600</v>
      </c>
      <c r="C6" s="869"/>
      <c r="D6" s="869"/>
      <c r="E6" s="869"/>
      <c r="F6" s="870"/>
      <c r="G6" s="871"/>
      <c r="H6" s="871"/>
      <c r="I6" s="872"/>
      <c r="J6" s="873"/>
      <c r="K6" s="873"/>
      <c r="L6" s="874"/>
    </row>
    <row r="7" spans="1:20" s="875" customFormat="1" ht="10.199999999999999">
      <c r="A7" s="876"/>
      <c r="B7" s="869" t="s">
        <v>123</v>
      </c>
      <c r="C7" s="877" t="s">
        <v>2601</v>
      </c>
      <c r="D7" s="869"/>
      <c r="E7" s="869"/>
      <c r="F7" s="870"/>
      <c r="G7" s="871"/>
      <c r="H7" s="871"/>
      <c r="I7" s="872">
        <f>SUM(I8:I12)</f>
        <v>10792</v>
      </c>
      <c r="J7" s="872">
        <f>SUM(J8:J12)</f>
        <v>8509</v>
      </c>
      <c r="K7" s="168">
        <f>+I7-J7</f>
        <v>2283</v>
      </c>
      <c r="L7" s="874">
        <f>IF(J7=0,"-    ",K7/J7)</f>
        <v>0.26830414854859558</v>
      </c>
    </row>
    <row r="8" spans="1:20" s="883" customFormat="1" ht="10.199999999999999">
      <c r="A8" s="867"/>
      <c r="B8" s="869"/>
      <c r="C8" s="878" t="s">
        <v>86</v>
      </c>
      <c r="D8" s="153" t="s">
        <v>2602</v>
      </c>
      <c r="E8" s="869"/>
      <c r="F8" s="879"/>
      <c r="G8" s="880"/>
      <c r="H8" s="880"/>
      <c r="I8" s="881">
        <f>ROUND(+'SP Min'!D32-'SP Min'!D54,0)</f>
        <v>0</v>
      </c>
      <c r="J8" s="881">
        <f>ROUND(+'SP Min'!E32-'SP Min'!E54,0)</f>
        <v>0</v>
      </c>
      <c r="K8" s="168">
        <f t="shared" ref="K8:K37" si="0">+I8-J8</f>
        <v>0</v>
      </c>
      <c r="L8" s="882" t="str">
        <f t="shared" ref="L8:L37" si="1">IF(J8=0,"-    ",K8/J8)</f>
        <v xml:space="preserve">-    </v>
      </c>
    </row>
    <row r="9" spans="1:20" s="883" customFormat="1" ht="10.199999999999999">
      <c r="A9" s="884"/>
      <c r="B9" s="869"/>
      <c r="C9" s="878" t="s">
        <v>88</v>
      </c>
      <c r="D9" s="153" t="s">
        <v>2603</v>
      </c>
      <c r="E9" s="869"/>
      <c r="F9" s="885"/>
      <c r="G9" s="880"/>
      <c r="H9" s="880"/>
      <c r="I9" s="157">
        <f>ROUND(+'SP Min'!D35-'SP Min'!D55,0)</f>
        <v>0</v>
      </c>
      <c r="J9" s="157">
        <f>ROUND(+'SP Min'!E35-'SP Min'!E55,0)</f>
        <v>0</v>
      </c>
      <c r="K9" s="168">
        <f t="shared" si="0"/>
        <v>0</v>
      </c>
      <c r="L9" s="882" t="str">
        <f t="shared" si="1"/>
        <v xml:space="preserve">-    </v>
      </c>
    </row>
    <row r="10" spans="1:20" s="883" customFormat="1" ht="10.199999999999999">
      <c r="A10" s="884"/>
      <c r="B10" s="869"/>
      <c r="C10" s="878" t="s">
        <v>116</v>
      </c>
      <c r="D10" s="153" t="s">
        <v>2604</v>
      </c>
      <c r="E10" s="869"/>
      <c r="F10" s="885"/>
      <c r="G10" s="880"/>
      <c r="H10" s="880"/>
      <c r="I10" s="157">
        <f>ROUND(+'SP Min'!D38-'SP Min'!D56,0)</f>
        <v>0</v>
      </c>
      <c r="J10" s="157">
        <f>ROUND(+'SP Min'!E38-'SP Min'!E56,0)</f>
        <v>0</v>
      </c>
      <c r="K10" s="168">
        <f t="shared" si="0"/>
        <v>0</v>
      </c>
      <c r="L10" s="882" t="str">
        <f t="shared" si="1"/>
        <v xml:space="preserve">-    </v>
      </c>
      <c r="Q10" s="886"/>
      <c r="R10" s="886"/>
      <c r="S10" s="886"/>
      <c r="T10" s="886"/>
    </row>
    <row r="11" spans="1:20" s="883" customFormat="1" ht="10.199999999999999">
      <c r="A11" s="884"/>
      <c r="B11" s="869"/>
      <c r="C11" s="878" t="s">
        <v>2605</v>
      </c>
      <c r="D11" s="153" t="s">
        <v>2606</v>
      </c>
      <c r="E11" s="869"/>
      <c r="F11" s="885"/>
      <c r="G11" s="880"/>
      <c r="H11" s="880"/>
      <c r="I11" s="157">
        <f>ROUND(+'SP Min'!D43,0)</f>
        <v>0</v>
      </c>
      <c r="J11" s="157">
        <f>ROUND(+'SP Min'!E43,0)</f>
        <v>0</v>
      </c>
      <c r="K11" s="168">
        <f t="shared" si="0"/>
        <v>0</v>
      </c>
      <c r="L11" s="882" t="str">
        <f t="shared" si="1"/>
        <v xml:space="preserve">-    </v>
      </c>
      <c r="Q11" s="886"/>
      <c r="R11" s="886"/>
      <c r="S11" s="886"/>
      <c r="T11" s="886"/>
    </row>
    <row r="12" spans="1:20" s="883" customFormat="1" ht="10.199999999999999">
      <c r="A12" s="884"/>
      <c r="B12" s="869"/>
      <c r="C12" s="878" t="s">
        <v>2607</v>
      </c>
      <c r="D12" s="153" t="s">
        <v>2608</v>
      </c>
      <c r="E12" s="869"/>
      <c r="F12" s="885"/>
      <c r="G12" s="880"/>
      <c r="H12" s="880"/>
      <c r="I12" s="157">
        <f>ROUND(+'SP Min'!D44-'SP Min'!D57,0)</f>
        <v>10792</v>
      </c>
      <c r="J12" s="157">
        <f>ROUND(+'SP Min'!E44-'SP Min'!E57,0)</f>
        <v>8509</v>
      </c>
      <c r="K12" s="168">
        <f t="shared" si="0"/>
        <v>2283</v>
      </c>
      <c r="L12" s="882">
        <f t="shared" si="1"/>
        <v>0.26830414854859558</v>
      </c>
      <c r="Q12" s="886"/>
      <c r="R12" s="886"/>
      <c r="S12" s="886"/>
      <c r="T12" s="886"/>
    </row>
    <row r="13" spans="1:20" s="875" customFormat="1" ht="10.199999999999999">
      <c r="A13" s="876"/>
      <c r="B13" s="869" t="s">
        <v>124</v>
      </c>
      <c r="C13" s="887" t="s">
        <v>2609</v>
      </c>
      <c r="D13" s="869"/>
      <c r="E13" s="869"/>
      <c r="F13" s="870"/>
      <c r="G13" s="871"/>
      <c r="H13" s="871"/>
      <c r="I13" s="169">
        <f>I14+I17+SUM(I20:I26)</f>
        <v>26395904</v>
      </c>
      <c r="J13" s="169">
        <f>J14+J17+SUM(J20:J26)</f>
        <v>25407403</v>
      </c>
      <c r="K13" s="168">
        <f t="shared" si="0"/>
        <v>988501</v>
      </c>
      <c r="L13" s="874">
        <f t="shared" si="1"/>
        <v>3.8906022783989372E-2</v>
      </c>
      <c r="Q13" s="888"/>
      <c r="R13" s="888"/>
      <c r="S13" s="888"/>
      <c r="T13" s="888"/>
    </row>
    <row r="14" spans="1:20" s="883" customFormat="1" ht="10.199999999999999">
      <c r="A14" s="867"/>
      <c r="B14" s="869"/>
      <c r="C14" s="878" t="s">
        <v>86</v>
      </c>
      <c r="D14" s="153" t="s">
        <v>2610</v>
      </c>
      <c r="E14" s="878"/>
      <c r="F14" s="889"/>
      <c r="G14" s="880"/>
      <c r="H14" s="880"/>
      <c r="I14" s="157">
        <f>SUM(I15:I16)</f>
        <v>0</v>
      </c>
      <c r="J14" s="157">
        <f>SUM(J15:J16)</f>
        <v>0</v>
      </c>
      <c r="K14" s="168">
        <f t="shared" si="0"/>
        <v>0</v>
      </c>
      <c r="L14" s="874" t="str">
        <f t="shared" si="1"/>
        <v xml:space="preserve">-    </v>
      </c>
      <c r="Q14" s="886"/>
      <c r="R14" s="886"/>
      <c r="S14" s="886"/>
      <c r="T14" s="886"/>
    </row>
    <row r="15" spans="1:20" s="896" customFormat="1" ht="10.199999999999999">
      <c r="A15" s="890"/>
      <c r="B15" s="891"/>
      <c r="C15" s="892"/>
      <c r="D15" s="892" t="s">
        <v>2611</v>
      </c>
      <c r="E15" s="893" t="s">
        <v>2612</v>
      </c>
      <c r="F15" s="894"/>
      <c r="G15" s="895"/>
      <c r="H15" s="895"/>
      <c r="I15" s="881">
        <f>ROUND(+'SP Min'!D60-'Alimentazione SP P'!H55,0)</f>
        <v>0</v>
      </c>
      <c r="J15" s="881">
        <f>ROUND(+'SP Min'!E60-'Alimentazione SP P'!I55,0)</f>
        <v>0</v>
      </c>
      <c r="K15" s="168">
        <f t="shared" si="0"/>
        <v>0</v>
      </c>
      <c r="L15" s="874" t="str">
        <f t="shared" si="1"/>
        <v xml:space="preserve">-    </v>
      </c>
      <c r="Q15" s="897"/>
      <c r="R15" s="897"/>
      <c r="S15" s="897"/>
      <c r="T15" s="897"/>
    </row>
    <row r="16" spans="1:20" s="896" customFormat="1" ht="10.199999999999999">
      <c r="A16" s="890"/>
      <c r="B16" s="891"/>
      <c r="C16" s="892"/>
      <c r="D16" s="892" t="s">
        <v>2613</v>
      </c>
      <c r="E16" s="893" t="s">
        <v>2614</v>
      </c>
      <c r="F16" s="889"/>
      <c r="G16" s="895"/>
      <c r="H16" s="895"/>
      <c r="I16" s="881">
        <f>ROUND(+'SP Min'!D61-'Alimentazione SP P'!H56,0)</f>
        <v>0</v>
      </c>
      <c r="J16" s="881">
        <f>ROUND(+'SP Min'!E61-'Alimentazione SP P'!I56,0)</f>
        <v>0</v>
      </c>
      <c r="K16" s="168">
        <f t="shared" si="0"/>
        <v>0</v>
      </c>
      <c r="L16" s="874" t="str">
        <f t="shared" si="1"/>
        <v xml:space="preserve">-    </v>
      </c>
      <c r="Q16" s="897"/>
      <c r="R16" s="897"/>
      <c r="S16" s="897"/>
      <c r="T16" s="897"/>
    </row>
    <row r="17" spans="1:20" s="883" customFormat="1" ht="10.199999999999999">
      <c r="A17" s="867"/>
      <c r="B17" s="869"/>
      <c r="C17" s="878" t="s">
        <v>88</v>
      </c>
      <c r="D17" s="158" t="s">
        <v>2615</v>
      </c>
      <c r="E17" s="869"/>
      <c r="F17" s="885"/>
      <c r="G17" s="880"/>
      <c r="H17" s="880"/>
      <c r="I17" s="157">
        <f>SUM(I18:I19)</f>
        <v>17443782</v>
      </c>
      <c r="J17" s="157">
        <f>SUM(J18:J19)</f>
        <v>16294852</v>
      </c>
      <c r="K17" s="168">
        <f t="shared" si="0"/>
        <v>1148930</v>
      </c>
      <c r="L17" s="882">
        <f t="shared" si="1"/>
        <v>7.0508771727414279E-2</v>
      </c>
      <c r="Q17" s="886"/>
      <c r="R17" s="886"/>
      <c r="S17" s="886"/>
      <c r="T17" s="886"/>
    </row>
    <row r="18" spans="1:20" s="883" customFormat="1" ht="10.199999999999999">
      <c r="A18" s="867"/>
      <c r="B18" s="869"/>
      <c r="C18" s="878"/>
      <c r="D18" s="892" t="s">
        <v>2611</v>
      </c>
      <c r="E18" s="893" t="s">
        <v>2616</v>
      </c>
      <c r="F18" s="889"/>
      <c r="G18" s="880"/>
      <c r="H18" s="880"/>
      <c r="I18" s="157">
        <f>ROUND('SP Min'!D63-'Alimentazione SP P'!H57,0)</f>
        <v>853576</v>
      </c>
      <c r="J18" s="157">
        <f>ROUND('SP Min'!E63-'Alimentazione SP P'!I57,0)</f>
        <v>901283</v>
      </c>
      <c r="K18" s="168">
        <f t="shared" si="0"/>
        <v>-47707</v>
      </c>
      <c r="L18" s="882">
        <f t="shared" si="1"/>
        <v>-5.2932319815196784E-2</v>
      </c>
      <c r="Q18" s="886"/>
      <c r="R18" s="886"/>
      <c r="S18" s="886"/>
      <c r="T18" s="886"/>
    </row>
    <row r="19" spans="1:20" s="883" customFormat="1" ht="10.199999999999999">
      <c r="A19" s="867"/>
      <c r="B19" s="869"/>
      <c r="C19" s="878"/>
      <c r="D19" s="892" t="s">
        <v>2613</v>
      </c>
      <c r="E19" s="893" t="s">
        <v>2617</v>
      </c>
      <c r="F19" s="153"/>
      <c r="G19" s="880"/>
      <c r="H19" s="880"/>
      <c r="I19" s="157">
        <f>+ROUND('SP Min'!D66-'Alimentazione SP P'!H58,0)</f>
        <v>16590206</v>
      </c>
      <c r="J19" s="157">
        <f>+ROUND('SP Min'!E66-'Alimentazione SP P'!I58,0)</f>
        <v>15393569</v>
      </c>
      <c r="K19" s="168">
        <f t="shared" si="0"/>
        <v>1196637</v>
      </c>
      <c r="L19" s="882">
        <f t="shared" si="1"/>
        <v>7.7736163718758133E-2</v>
      </c>
      <c r="Q19" s="886"/>
      <c r="R19" s="886"/>
      <c r="S19" s="886"/>
      <c r="T19" s="886"/>
    </row>
    <row r="20" spans="1:20" s="883" customFormat="1" ht="10.199999999999999">
      <c r="A20" s="867"/>
      <c r="B20" s="869"/>
      <c r="C20" s="878" t="s">
        <v>116</v>
      </c>
      <c r="D20" s="158" t="s">
        <v>2618</v>
      </c>
      <c r="E20" s="869"/>
      <c r="F20" s="153"/>
      <c r="G20" s="880"/>
      <c r="H20" s="880"/>
      <c r="I20" s="157">
        <f>+ROUND('SP Min'!D69-'SP Min'!D89,0)</f>
        <v>795</v>
      </c>
      <c r="J20" s="157">
        <f>+ROUND('SP Min'!E69-'SP Min'!E89,0)</f>
        <v>1023</v>
      </c>
      <c r="K20" s="168">
        <f t="shared" si="0"/>
        <v>-228</v>
      </c>
      <c r="L20" s="882">
        <f t="shared" si="1"/>
        <v>-0.22287390029325513</v>
      </c>
      <c r="Q20" s="886"/>
      <c r="R20" s="886"/>
      <c r="S20" s="886"/>
      <c r="T20" s="886"/>
    </row>
    <row r="21" spans="1:20" s="883" customFormat="1" ht="10.199999999999999">
      <c r="A21" s="867"/>
      <c r="B21" s="869"/>
      <c r="C21" s="878" t="s">
        <v>2605</v>
      </c>
      <c r="D21" s="898" t="s">
        <v>2619</v>
      </c>
      <c r="E21" s="869"/>
      <c r="F21" s="885"/>
      <c r="G21" s="880"/>
      <c r="H21" s="880"/>
      <c r="I21" s="157">
        <f>+ROUND('SP Min'!D72-'SP Min'!D90,0)</f>
        <v>3435765</v>
      </c>
      <c r="J21" s="157">
        <f>+ROUND('SP Min'!E72-'SP Min'!E90,0)</f>
        <v>2537957</v>
      </c>
      <c r="K21" s="168">
        <f t="shared" si="0"/>
        <v>897808</v>
      </c>
      <c r="L21" s="882">
        <f t="shared" si="1"/>
        <v>0.3537522503336345</v>
      </c>
      <c r="Q21" s="886"/>
      <c r="R21" s="886"/>
      <c r="S21" s="886"/>
      <c r="T21" s="886"/>
    </row>
    <row r="22" spans="1:20" s="883" customFormat="1" ht="10.199999999999999">
      <c r="A22" s="867"/>
      <c r="B22" s="869"/>
      <c r="C22" s="878" t="s">
        <v>2607</v>
      </c>
      <c r="D22" s="158" t="s">
        <v>2620</v>
      </c>
      <c r="E22" s="869"/>
      <c r="F22" s="879"/>
      <c r="G22" s="880"/>
      <c r="H22" s="880"/>
      <c r="I22" s="157">
        <f>+ROUND('SP Min'!D75-'SP Min'!D91,0)</f>
        <v>86854</v>
      </c>
      <c r="J22" s="157">
        <f>+ROUND('SP Min'!E75-'SP Min'!E91,0)</f>
        <v>69539</v>
      </c>
      <c r="K22" s="168">
        <f t="shared" si="0"/>
        <v>17315</v>
      </c>
      <c r="L22" s="882">
        <f t="shared" si="1"/>
        <v>0.24899696573146005</v>
      </c>
      <c r="Q22" s="886"/>
      <c r="R22" s="886"/>
      <c r="S22" s="886"/>
      <c r="T22" s="886"/>
    </row>
    <row r="23" spans="1:20" s="883" customFormat="1" ht="10.199999999999999">
      <c r="A23" s="867"/>
      <c r="B23" s="869"/>
      <c r="C23" s="878" t="s">
        <v>2621</v>
      </c>
      <c r="D23" s="158" t="s">
        <v>2622</v>
      </c>
      <c r="E23" s="869"/>
      <c r="F23" s="153"/>
      <c r="G23" s="880"/>
      <c r="H23" s="880"/>
      <c r="I23" s="157">
        <f>+ROUND('SP Min'!D78-'SP Min'!D92,0)</f>
        <v>6881</v>
      </c>
      <c r="J23" s="157">
        <f>+ROUND('SP Min'!E78-'SP Min'!E92,0)</f>
        <v>9714</v>
      </c>
      <c r="K23" s="168">
        <f t="shared" si="0"/>
        <v>-2833</v>
      </c>
      <c r="L23" s="882">
        <f t="shared" si="1"/>
        <v>-0.29164093061560636</v>
      </c>
      <c r="Q23" s="886"/>
      <c r="R23" s="886"/>
      <c r="S23" s="886"/>
      <c r="T23" s="886"/>
    </row>
    <row r="24" spans="1:20" s="883" customFormat="1" ht="10.199999999999999">
      <c r="A24" s="867"/>
      <c r="B24" s="869"/>
      <c r="C24" s="878" t="s">
        <v>2623</v>
      </c>
      <c r="D24" s="158" t="s">
        <v>2624</v>
      </c>
      <c r="E24" s="869"/>
      <c r="F24" s="153"/>
      <c r="G24" s="880"/>
      <c r="H24" s="880"/>
      <c r="I24" s="157">
        <f>+ROUND('SP Min'!D81-'SP Min'!D93,0)</f>
        <v>0</v>
      </c>
      <c r="J24" s="157">
        <f>+ROUND('SP Min'!E81-'SP Min'!E93,0)</f>
        <v>0</v>
      </c>
      <c r="K24" s="168">
        <f t="shared" si="0"/>
        <v>0</v>
      </c>
      <c r="L24" s="882" t="str">
        <f t="shared" si="1"/>
        <v xml:space="preserve">-    </v>
      </c>
      <c r="Q24" s="886"/>
      <c r="R24" s="886"/>
      <c r="S24" s="886"/>
      <c r="T24" s="886"/>
    </row>
    <row r="25" spans="1:20" s="883" customFormat="1" ht="10.199999999999999">
      <c r="A25" s="867"/>
      <c r="B25" s="869"/>
      <c r="C25" s="878" t="s">
        <v>2625</v>
      </c>
      <c r="D25" s="153" t="s">
        <v>2626</v>
      </c>
      <c r="E25" s="869"/>
      <c r="F25" s="885"/>
      <c r="G25" s="880"/>
      <c r="H25" s="880"/>
      <c r="I25" s="157">
        <f>+ROUND('SP Min'!D82-'SP Min'!D94,0)</f>
        <v>593090</v>
      </c>
      <c r="J25" s="157">
        <f>+ROUND('SP Min'!E82-'SP Min'!E94,0)</f>
        <v>400134</v>
      </c>
      <c r="K25" s="168">
        <f t="shared" si="0"/>
        <v>192956</v>
      </c>
      <c r="L25" s="882">
        <f t="shared" si="1"/>
        <v>0.48222845346808818</v>
      </c>
      <c r="Q25" s="886"/>
      <c r="R25" s="886"/>
      <c r="S25" s="886"/>
      <c r="T25" s="886"/>
    </row>
    <row r="26" spans="1:20" s="883" customFormat="1" ht="10.199999999999999">
      <c r="A26" s="867"/>
      <c r="B26" s="869"/>
      <c r="C26" s="878" t="s">
        <v>2627</v>
      </c>
      <c r="D26" s="153" t="s">
        <v>2628</v>
      </c>
      <c r="E26" s="869"/>
      <c r="F26" s="879"/>
      <c r="G26" s="880"/>
      <c r="H26" s="880"/>
      <c r="I26" s="157">
        <f>+ROUND('SP Min'!D85,0)</f>
        <v>4828737</v>
      </c>
      <c r="J26" s="157">
        <f>+ROUND('SP Min'!E85,0)</f>
        <v>6094184</v>
      </c>
      <c r="K26" s="168">
        <f t="shared" si="0"/>
        <v>-1265447</v>
      </c>
      <c r="L26" s="882">
        <f t="shared" si="1"/>
        <v>-0.20764830861687142</v>
      </c>
      <c r="Q26" s="886"/>
      <c r="R26" s="886"/>
      <c r="S26" s="886"/>
      <c r="T26" s="886"/>
    </row>
    <row r="27" spans="1:20" s="883" customFormat="1" ht="10.199999999999999">
      <c r="A27" s="867"/>
      <c r="B27" s="869"/>
      <c r="C27" s="878"/>
      <c r="D27" s="869"/>
      <c r="E27" s="869"/>
      <c r="F27" s="158"/>
      <c r="G27" s="899" t="s">
        <v>2629</v>
      </c>
      <c r="H27" s="900" t="s">
        <v>2630</v>
      </c>
      <c r="I27" s="157"/>
      <c r="J27" s="157"/>
      <c r="K27" s="168">
        <f t="shared" si="0"/>
        <v>0</v>
      </c>
      <c r="L27" s="882" t="str">
        <f t="shared" si="1"/>
        <v xml:space="preserve">-    </v>
      </c>
      <c r="Q27" s="886"/>
      <c r="R27" s="886"/>
      <c r="S27" s="886"/>
      <c r="T27" s="886"/>
    </row>
    <row r="28" spans="1:20" s="875" customFormat="1" ht="26.25" customHeight="1">
      <c r="A28" s="876"/>
      <c r="B28" s="869" t="s">
        <v>125</v>
      </c>
      <c r="C28" s="1489" t="s">
        <v>2631</v>
      </c>
      <c r="D28" s="1489"/>
      <c r="E28" s="1489"/>
      <c r="F28" s="1490"/>
      <c r="G28" s="901">
        <f>+G29</f>
        <v>23596</v>
      </c>
      <c r="H28" s="901">
        <f>+H29</f>
        <v>268736</v>
      </c>
      <c r="I28" s="169">
        <f>I29+I34</f>
        <v>300332</v>
      </c>
      <c r="J28" s="169">
        <f>J29+J34</f>
        <v>16479332</v>
      </c>
      <c r="K28" s="168">
        <f t="shared" si="0"/>
        <v>-16179000</v>
      </c>
      <c r="L28" s="874">
        <f t="shared" si="1"/>
        <v>-0.98177523215140028</v>
      </c>
      <c r="Q28" s="888"/>
      <c r="R28" s="888"/>
      <c r="S28" s="888"/>
      <c r="T28" s="888"/>
    </row>
    <row r="29" spans="1:20" s="883" customFormat="1" ht="10.199999999999999">
      <c r="A29" s="884"/>
      <c r="B29" s="869"/>
      <c r="C29" s="878" t="s">
        <v>86</v>
      </c>
      <c r="D29" s="902" t="s">
        <v>2632</v>
      </c>
      <c r="E29" s="885"/>
      <c r="F29" s="885"/>
      <c r="G29" s="903">
        <f>SUM(G30:G33)</f>
        <v>23596</v>
      </c>
      <c r="H29" s="903">
        <f>SUM(H30:H33)</f>
        <v>268736</v>
      </c>
      <c r="I29" s="157">
        <f>SUM(I30:I33)</f>
        <v>292332</v>
      </c>
      <c r="J29" s="157">
        <f>SUM(J30:J33)</f>
        <v>16471332</v>
      </c>
      <c r="K29" s="168">
        <f t="shared" si="0"/>
        <v>-16179000</v>
      </c>
      <c r="L29" s="882">
        <f t="shared" si="1"/>
        <v>-0.98225207287425209</v>
      </c>
      <c r="Q29" s="886"/>
      <c r="R29" s="886"/>
      <c r="S29" s="886"/>
      <c r="T29" s="886"/>
    </row>
    <row r="30" spans="1:20" s="883" customFormat="1" ht="10.199999999999999">
      <c r="A30" s="867"/>
      <c r="B30" s="869"/>
      <c r="C30" s="869"/>
      <c r="D30" s="892" t="s">
        <v>2611</v>
      </c>
      <c r="E30" s="889" t="s">
        <v>2633</v>
      </c>
      <c r="F30" s="879"/>
      <c r="G30" s="904">
        <v>23596</v>
      </c>
      <c r="H30" s="904"/>
      <c r="I30" s="157">
        <f>+ROUND('SP Min'!D97,0)</f>
        <v>23596</v>
      </c>
      <c r="J30" s="157">
        <f>+ROUND('SP Min'!E97,0)</f>
        <v>16202596</v>
      </c>
      <c r="K30" s="168">
        <f t="shared" si="0"/>
        <v>-16179000</v>
      </c>
      <c r="L30" s="882">
        <f t="shared" si="1"/>
        <v>-0.99854369015928068</v>
      </c>
      <c r="Q30" s="886"/>
      <c r="R30" s="886"/>
      <c r="S30" s="886"/>
      <c r="T30" s="886"/>
    </row>
    <row r="31" spans="1:20" s="883" customFormat="1" ht="10.199999999999999">
      <c r="A31" s="867"/>
      <c r="B31" s="869"/>
      <c r="C31" s="869"/>
      <c r="D31" s="892" t="s">
        <v>2613</v>
      </c>
      <c r="E31" s="889" t="s">
        <v>2634</v>
      </c>
      <c r="F31" s="889"/>
      <c r="G31" s="904"/>
      <c r="H31" s="904"/>
      <c r="I31" s="157">
        <f>+ROUND('SP Min'!D98,0)</f>
        <v>0</v>
      </c>
      <c r="J31" s="157">
        <f>+ROUND('SP Min'!E98,0)</f>
        <v>0</v>
      </c>
      <c r="K31" s="168">
        <f t="shared" si="0"/>
        <v>0</v>
      </c>
      <c r="L31" s="882" t="str">
        <f t="shared" si="1"/>
        <v xml:space="preserve">-    </v>
      </c>
      <c r="Q31" s="886"/>
      <c r="R31" s="886"/>
      <c r="S31" s="886"/>
      <c r="T31" s="886"/>
    </row>
    <row r="32" spans="1:20" s="883" customFormat="1" ht="10.199999999999999">
      <c r="A32" s="867"/>
      <c r="B32" s="869"/>
      <c r="C32" s="878"/>
      <c r="D32" s="892" t="s">
        <v>2635</v>
      </c>
      <c r="E32" s="905" t="s">
        <v>2636</v>
      </c>
      <c r="F32" s="879"/>
      <c r="G32" s="904"/>
      <c r="H32" s="904"/>
      <c r="I32" s="157">
        <f>+ROUND('SP Min'!D99,0)</f>
        <v>0</v>
      </c>
      <c r="J32" s="157">
        <f>+ROUND('SP Min'!E99,0)</f>
        <v>0</v>
      </c>
      <c r="K32" s="168">
        <f t="shared" si="0"/>
        <v>0</v>
      </c>
      <c r="L32" s="882" t="str">
        <f t="shared" si="1"/>
        <v xml:space="preserve">-    </v>
      </c>
      <c r="Q32" s="886"/>
      <c r="R32" s="886"/>
      <c r="S32" s="886"/>
      <c r="T32" s="886"/>
    </row>
    <row r="33" spans="1:20" s="883" customFormat="1" ht="10.199999999999999">
      <c r="A33" s="867"/>
      <c r="B33" s="869"/>
      <c r="C33" s="878"/>
      <c r="D33" s="892" t="s">
        <v>2637</v>
      </c>
      <c r="E33" s="905" t="s">
        <v>2638</v>
      </c>
      <c r="F33" s="902"/>
      <c r="G33" s="904"/>
      <c r="H33" s="906">
        <v>268736</v>
      </c>
      <c r="I33" s="157">
        <f>+ROUND('SP Min'!D100,0)</f>
        <v>268736</v>
      </c>
      <c r="J33" s="157">
        <f>+ROUND('SP Min'!E100,0)</f>
        <v>268736</v>
      </c>
      <c r="K33" s="168">
        <f t="shared" si="0"/>
        <v>0</v>
      </c>
      <c r="L33" s="882">
        <f t="shared" si="1"/>
        <v>0</v>
      </c>
      <c r="Q33" s="886"/>
      <c r="R33" s="886"/>
      <c r="S33" s="886"/>
      <c r="T33" s="886"/>
    </row>
    <row r="34" spans="1:20" s="883" customFormat="1" ht="10.199999999999999">
      <c r="A34" s="867"/>
      <c r="B34" s="869"/>
      <c r="C34" s="878" t="s">
        <v>88</v>
      </c>
      <c r="D34" s="158" t="s">
        <v>2639</v>
      </c>
      <c r="E34" s="878"/>
      <c r="F34" s="902"/>
      <c r="G34" s="907"/>
      <c r="H34" s="880"/>
      <c r="I34" s="157">
        <f>SUM(I35:I36)</f>
        <v>8000</v>
      </c>
      <c r="J34" s="157">
        <f>SUM(J35:J36)</f>
        <v>8000</v>
      </c>
      <c r="K34" s="168">
        <f t="shared" si="0"/>
        <v>0</v>
      </c>
      <c r="L34" s="882">
        <f t="shared" si="1"/>
        <v>0</v>
      </c>
      <c r="Q34" s="886"/>
      <c r="R34" s="886"/>
      <c r="S34" s="886"/>
      <c r="T34" s="886"/>
    </row>
    <row r="35" spans="1:20" s="883" customFormat="1" ht="10.199999999999999">
      <c r="A35" s="867"/>
      <c r="B35" s="869"/>
      <c r="C35" s="878"/>
      <c r="D35" s="892" t="s">
        <v>2611</v>
      </c>
      <c r="E35" s="893" t="s">
        <v>2640</v>
      </c>
      <c r="F35" s="885"/>
      <c r="G35" s="880"/>
      <c r="H35" s="880"/>
      <c r="I35" s="157">
        <f>+ROUND('SP Min'!D102,0)</f>
        <v>8000</v>
      </c>
      <c r="J35" s="157">
        <f>+ROUND('SP Min'!E102,0)</f>
        <v>8000</v>
      </c>
      <c r="K35" s="168">
        <f t="shared" si="0"/>
        <v>0</v>
      </c>
      <c r="L35" s="882">
        <f t="shared" si="1"/>
        <v>0</v>
      </c>
      <c r="Q35" s="886"/>
      <c r="R35" s="886"/>
      <c r="S35" s="886"/>
      <c r="T35" s="886"/>
    </row>
    <row r="36" spans="1:20" s="883" customFormat="1" ht="10.199999999999999">
      <c r="A36" s="867"/>
      <c r="B36" s="869"/>
      <c r="C36" s="878"/>
      <c r="D36" s="892" t="s">
        <v>2613</v>
      </c>
      <c r="E36" s="893" t="s">
        <v>2641</v>
      </c>
      <c r="F36" s="153"/>
      <c r="G36" s="908"/>
      <c r="H36" s="880"/>
      <c r="I36" s="909">
        <f>+ROUND('SP Min'!D103,0)</f>
        <v>0</v>
      </c>
      <c r="J36" s="909">
        <f>+ROUND('SP Min'!E103,0)</f>
        <v>0</v>
      </c>
      <c r="K36" s="168">
        <f t="shared" si="0"/>
        <v>0</v>
      </c>
      <c r="L36" s="882" t="str">
        <f t="shared" si="1"/>
        <v xml:space="preserve">-    </v>
      </c>
      <c r="Q36" s="886"/>
      <c r="R36" s="886"/>
      <c r="S36" s="886"/>
      <c r="T36" s="886"/>
    </row>
    <row r="37" spans="1:20" s="875" customFormat="1" ht="10.199999999999999">
      <c r="A37" s="1491" t="s">
        <v>2642</v>
      </c>
      <c r="B37" s="1492"/>
      <c r="C37" s="1492"/>
      <c r="D37" s="1492"/>
      <c r="E37" s="1492"/>
      <c r="F37" s="1492"/>
      <c r="G37" s="1493"/>
      <c r="H37" s="1492"/>
      <c r="I37" s="171">
        <f>I7+I13+I28</f>
        <v>26707028</v>
      </c>
      <c r="J37" s="171">
        <f>J7+J13+J28</f>
        <v>41895244</v>
      </c>
      <c r="K37" s="171">
        <f t="shared" si="0"/>
        <v>-15188216</v>
      </c>
      <c r="L37" s="171">
        <f t="shared" si="1"/>
        <v>-0.36252840537221837</v>
      </c>
      <c r="Q37" s="888"/>
      <c r="R37" s="888"/>
      <c r="S37" s="888"/>
      <c r="T37" s="888"/>
    </row>
    <row r="38" spans="1:20" s="875" customFormat="1" ht="10.199999999999999">
      <c r="A38" s="867"/>
      <c r="B38" s="869"/>
      <c r="C38" s="869"/>
      <c r="D38" s="869"/>
      <c r="E38" s="869"/>
      <c r="F38" s="910"/>
      <c r="G38" s="871"/>
      <c r="H38" s="871"/>
      <c r="I38" s="911"/>
      <c r="J38" s="911"/>
      <c r="K38" s="911"/>
      <c r="L38" s="912"/>
      <c r="Q38" s="888"/>
      <c r="R38" s="888"/>
      <c r="S38" s="888"/>
      <c r="T38" s="888"/>
    </row>
    <row r="39" spans="1:20" s="875" customFormat="1" ht="10.199999999999999">
      <c r="A39" s="913" t="s">
        <v>33</v>
      </c>
      <c r="B39" s="914" t="s">
        <v>2643</v>
      </c>
      <c r="C39" s="915"/>
      <c r="D39" s="915"/>
      <c r="E39" s="915"/>
      <c r="F39" s="870"/>
      <c r="G39" s="871"/>
      <c r="H39" s="871"/>
      <c r="I39" s="169"/>
      <c r="J39" s="873"/>
      <c r="K39" s="873"/>
      <c r="L39" s="874"/>
      <c r="Q39" s="888"/>
      <c r="R39" s="888"/>
      <c r="S39" s="888"/>
      <c r="T39" s="888"/>
    </row>
    <row r="40" spans="1:20" s="875" customFormat="1" ht="10.199999999999999">
      <c r="A40" s="913"/>
      <c r="B40" s="915" t="s">
        <v>123</v>
      </c>
      <c r="C40" s="916" t="s">
        <v>2644</v>
      </c>
      <c r="D40" s="915"/>
      <c r="E40" s="915"/>
      <c r="F40" s="910"/>
      <c r="G40" s="871"/>
      <c r="H40" s="871"/>
      <c r="I40" s="169">
        <f>SUM(I41:I44)</f>
        <v>1103264</v>
      </c>
      <c r="J40" s="169">
        <f>SUM(J41:J44)</f>
        <v>1072099</v>
      </c>
      <c r="K40" s="168">
        <f>+I40-J40</f>
        <v>31165</v>
      </c>
      <c r="L40" s="874">
        <f t="shared" ref="L40:L98" si="2">IF(J40=0,"-    ",K40/J40)</f>
        <v>2.9069143801085533E-2</v>
      </c>
      <c r="Q40" s="888"/>
      <c r="R40" s="888"/>
      <c r="S40" s="888"/>
      <c r="T40" s="888"/>
    </row>
    <row r="41" spans="1:20" s="883" customFormat="1" ht="10.199999999999999">
      <c r="A41" s="913"/>
      <c r="B41" s="915"/>
      <c r="C41" s="917" t="s">
        <v>86</v>
      </c>
      <c r="D41" s="917" t="s">
        <v>2645</v>
      </c>
      <c r="E41" s="915"/>
      <c r="F41" s="885"/>
      <c r="G41" s="880"/>
      <c r="H41" s="880"/>
      <c r="I41" s="157">
        <f>+ROUND('SP Min'!D110-'SP Min'!D119,0)</f>
        <v>997612</v>
      </c>
      <c r="J41" s="157">
        <f>+ROUND('SP Min'!E110-'SP Min'!E119,0)</f>
        <v>979730</v>
      </c>
      <c r="K41" s="168">
        <f t="shared" ref="K41:K90" si="3">+I41-J41</f>
        <v>17882</v>
      </c>
      <c r="L41" s="882">
        <f t="shared" si="2"/>
        <v>1.8251967378767619E-2</v>
      </c>
      <c r="Q41" s="886"/>
      <c r="R41" s="886"/>
      <c r="S41" s="886"/>
      <c r="T41" s="886"/>
    </row>
    <row r="42" spans="1:20" s="883" customFormat="1" ht="10.199999999999999">
      <c r="A42" s="913"/>
      <c r="B42" s="915"/>
      <c r="C42" s="917" t="s">
        <v>88</v>
      </c>
      <c r="D42" s="917" t="s">
        <v>2646</v>
      </c>
      <c r="E42" s="915"/>
      <c r="F42" s="153"/>
      <c r="G42" s="880"/>
      <c r="H42" s="880"/>
      <c r="I42" s="157">
        <f>+ROUND('SP Min'!D120-'SP Min'!D127,0)</f>
        <v>105652</v>
      </c>
      <c r="J42" s="157">
        <f>+ROUND('SP Min'!E120-'SP Min'!E127,0)</f>
        <v>92369</v>
      </c>
      <c r="K42" s="168">
        <f t="shared" si="3"/>
        <v>13283</v>
      </c>
      <c r="L42" s="882">
        <f t="shared" si="2"/>
        <v>0.14380365707109527</v>
      </c>
      <c r="Q42" s="886"/>
      <c r="R42" s="886"/>
      <c r="S42" s="886"/>
      <c r="T42" s="886"/>
    </row>
    <row r="43" spans="1:20" s="883" customFormat="1" ht="10.199999999999999">
      <c r="A43" s="913"/>
      <c r="B43" s="915"/>
      <c r="C43" s="917" t="s">
        <v>116</v>
      </c>
      <c r="D43" s="917" t="s">
        <v>2647</v>
      </c>
      <c r="E43" s="915"/>
      <c r="F43" s="918"/>
      <c r="G43" s="880"/>
      <c r="H43" s="880"/>
      <c r="I43" s="157">
        <f>+ROUND('SP Min'!D119,0)</f>
        <v>0</v>
      </c>
      <c r="J43" s="157">
        <f>+ROUND('SP Min'!E119,0)</f>
        <v>0</v>
      </c>
      <c r="K43" s="168">
        <f t="shared" si="3"/>
        <v>0</v>
      </c>
      <c r="L43" s="882" t="str">
        <f t="shared" si="2"/>
        <v xml:space="preserve">-    </v>
      </c>
      <c r="Q43" s="886"/>
      <c r="R43" s="886"/>
      <c r="S43" s="886"/>
      <c r="T43" s="886"/>
    </row>
    <row r="44" spans="1:20" s="883" customFormat="1" ht="10.199999999999999">
      <c r="A44" s="913"/>
      <c r="B44" s="915"/>
      <c r="C44" s="917" t="s">
        <v>2605</v>
      </c>
      <c r="D44" s="917" t="s">
        <v>2648</v>
      </c>
      <c r="E44" s="915"/>
      <c r="F44" s="153"/>
      <c r="G44" s="880"/>
      <c r="H44" s="880"/>
      <c r="I44" s="157">
        <f>+ROUND('SP Min'!D127,0)</f>
        <v>0</v>
      </c>
      <c r="J44" s="157">
        <f>+ROUND('SP Min'!E127,0)</f>
        <v>0</v>
      </c>
      <c r="K44" s="168">
        <f t="shared" si="3"/>
        <v>0</v>
      </c>
      <c r="L44" s="882" t="str">
        <f t="shared" si="2"/>
        <v xml:space="preserve">-    </v>
      </c>
      <c r="Q44" s="886"/>
      <c r="R44" s="886"/>
      <c r="S44" s="886"/>
      <c r="T44" s="886"/>
    </row>
    <row r="45" spans="1:20" s="883" customFormat="1" ht="10.199999999999999">
      <c r="A45" s="913"/>
      <c r="B45" s="915"/>
      <c r="C45" s="915"/>
      <c r="D45" s="915"/>
      <c r="E45" s="915"/>
      <c r="F45" s="153"/>
      <c r="G45" s="899" t="s">
        <v>2629</v>
      </c>
      <c r="H45" s="899" t="s">
        <v>2630</v>
      </c>
      <c r="I45" s="157"/>
      <c r="J45" s="157"/>
      <c r="K45" s="168">
        <f t="shared" si="3"/>
        <v>0</v>
      </c>
      <c r="L45" s="882" t="str">
        <f t="shared" si="2"/>
        <v xml:space="preserve">-    </v>
      </c>
      <c r="Q45" s="886"/>
      <c r="R45" s="886"/>
      <c r="S45" s="886"/>
      <c r="T45" s="886"/>
    </row>
    <row r="46" spans="1:20" s="875" customFormat="1" ht="25.5" customHeight="1">
      <c r="A46" s="876"/>
      <c r="B46" s="869" t="s">
        <v>124</v>
      </c>
      <c r="C46" s="1489" t="s">
        <v>2649</v>
      </c>
      <c r="D46" s="1489"/>
      <c r="E46" s="1489"/>
      <c r="F46" s="1490"/>
      <c r="G46" s="169">
        <f>G47+G58+G71+G72+G75+G76+G77</f>
        <v>6504331</v>
      </c>
      <c r="H46" s="169">
        <f>H47+H58+H71+H72+H75+H76+H77</f>
        <v>28905860</v>
      </c>
      <c r="I46" s="169">
        <f>I47+I58+I71+I72+I75+I76+I77</f>
        <v>35410191</v>
      </c>
      <c r="J46" s="169">
        <f>J47+J58+J71+J72+J75+J76+J77</f>
        <v>12844952</v>
      </c>
      <c r="K46" s="168">
        <f>+I46-J46</f>
        <v>22565239</v>
      </c>
      <c r="L46" s="874">
        <f t="shared" si="2"/>
        <v>1.7567398461278796</v>
      </c>
      <c r="Q46" s="888"/>
      <c r="R46" s="888"/>
      <c r="S46" s="888"/>
      <c r="T46" s="888"/>
    </row>
    <row r="47" spans="1:20" s="883" customFormat="1" ht="10.199999999999999">
      <c r="A47" s="884"/>
      <c r="B47" s="915"/>
      <c r="C47" s="917" t="s">
        <v>86</v>
      </c>
      <c r="D47" s="917" t="s">
        <v>2650</v>
      </c>
      <c r="E47" s="915"/>
      <c r="F47" s="919"/>
      <c r="G47" s="157">
        <f>G48+G51+G52+G57</f>
        <v>0</v>
      </c>
      <c r="H47" s="157">
        <f>H48+H51+H52+H57</f>
        <v>17600728</v>
      </c>
      <c r="I47" s="157">
        <f>I48+I51+I52+I57</f>
        <v>17600728</v>
      </c>
      <c r="J47" s="157">
        <f>J48+J51+J52+J57</f>
        <v>1861757</v>
      </c>
      <c r="K47" s="168">
        <f t="shared" si="3"/>
        <v>15738971</v>
      </c>
      <c r="L47" s="882">
        <f t="shared" si="2"/>
        <v>8.453826680925598</v>
      </c>
      <c r="Q47" s="886"/>
      <c r="R47" s="886"/>
      <c r="S47" s="886"/>
      <c r="T47" s="886"/>
    </row>
    <row r="48" spans="1:20" s="883" customFormat="1" ht="10.199999999999999">
      <c r="A48" s="884"/>
      <c r="B48" s="915"/>
      <c r="C48" s="917"/>
      <c r="D48" s="921" t="s">
        <v>2611</v>
      </c>
      <c r="E48" s="921" t="s">
        <v>2651</v>
      </c>
      <c r="F48" s="919"/>
      <c r="G48" s="920"/>
      <c r="H48" s="920"/>
      <c r="I48" s="157">
        <f>I49+I50</f>
        <v>0</v>
      </c>
      <c r="J48" s="157">
        <f>J49+J50</f>
        <v>0</v>
      </c>
      <c r="K48" s="168">
        <f t="shared" si="3"/>
        <v>0</v>
      </c>
      <c r="L48" s="882" t="str">
        <f t="shared" si="2"/>
        <v xml:space="preserve">-    </v>
      </c>
      <c r="Q48" s="886"/>
      <c r="R48" s="886"/>
      <c r="S48" s="886"/>
      <c r="T48" s="886"/>
    </row>
    <row r="49" spans="1:20" s="883" customFormat="1" ht="10.199999999999999">
      <c r="A49" s="884"/>
      <c r="B49" s="915"/>
      <c r="C49" s="917"/>
      <c r="D49" s="917"/>
      <c r="E49" s="917" t="s">
        <v>86</v>
      </c>
      <c r="F49" s="919" t="s">
        <v>2652</v>
      </c>
      <c r="G49" s="920"/>
      <c r="H49" s="920"/>
      <c r="I49" s="157">
        <f>+ROUND('SP Min'!D130+'SP Min'!D131+'SP Min'!D132+'SP Min'!D133+'SP Min'!D134+'SP Min'!D135+'SP Min'!D137,0)</f>
        <v>0</v>
      </c>
      <c r="J49" s="157">
        <f>+ROUND('SP Min'!E130+'SP Min'!E131+'SP Min'!E132+'SP Min'!E133+'SP Min'!E134+'SP Min'!E135+'SP Min'!E137,0)</f>
        <v>0</v>
      </c>
      <c r="K49" s="168">
        <f t="shared" si="3"/>
        <v>0</v>
      </c>
      <c r="L49" s="882" t="str">
        <f t="shared" si="2"/>
        <v xml:space="preserve">-    </v>
      </c>
      <c r="Q49" s="886"/>
      <c r="R49" s="886"/>
      <c r="S49" s="886"/>
      <c r="T49" s="886"/>
    </row>
    <row r="50" spans="1:20" s="883" customFormat="1" ht="10.199999999999999">
      <c r="A50" s="884"/>
      <c r="B50" s="915"/>
      <c r="C50" s="917"/>
      <c r="D50" s="917"/>
      <c r="E50" s="917" t="s">
        <v>88</v>
      </c>
      <c r="F50" s="919" t="s">
        <v>2653</v>
      </c>
      <c r="G50" s="920"/>
      <c r="H50" s="920"/>
      <c r="I50" s="157">
        <f>+ROUND('SP Min'!D136,0)</f>
        <v>0</v>
      </c>
      <c r="J50" s="157">
        <f>+ROUND('SP Min'!E136,0)</f>
        <v>0</v>
      </c>
      <c r="K50" s="168">
        <f t="shared" si="3"/>
        <v>0</v>
      </c>
      <c r="L50" s="882" t="str">
        <f t="shared" si="2"/>
        <v xml:space="preserve">-    </v>
      </c>
      <c r="Q50" s="886"/>
      <c r="R50" s="886"/>
      <c r="S50" s="886"/>
      <c r="T50" s="886"/>
    </row>
    <row r="51" spans="1:20" s="883" customFormat="1" ht="10.199999999999999">
      <c r="A51" s="884"/>
      <c r="B51" s="915"/>
      <c r="C51" s="917"/>
      <c r="D51" s="921" t="s">
        <v>2613</v>
      </c>
      <c r="E51" s="921" t="s">
        <v>2654</v>
      </c>
      <c r="F51" s="919"/>
      <c r="G51" s="920"/>
      <c r="H51" s="920">
        <v>15100509</v>
      </c>
      <c r="I51" s="157">
        <f>+ROUND('SP Min'!D138,0)</f>
        <v>15100509</v>
      </c>
      <c r="J51" s="157">
        <f>+ROUND('SP Min'!E138,0)</f>
        <v>0</v>
      </c>
      <c r="K51" s="168">
        <f t="shared" si="3"/>
        <v>15100509</v>
      </c>
      <c r="L51" s="882" t="str">
        <f t="shared" si="2"/>
        <v xml:space="preserve">-    </v>
      </c>
      <c r="Q51" s="886"/>
      <c r="R51" s="886"/>
      <c r="S51" s="886"/>
      <c r="T51" s="886"/>
    </row>
    <row r="52" spans="1:20" s="883" customFormat="1" ht="10.199999999999999">
      <c r="A52" s="884"/>
      <c r="B52" s="915"/>
      <c r="C52" s="917"/>
      <c r="D52" s="921" t="s">
        <v>2635</v>
      </c>
      <c r="E52" s="921" t="s">
        <v>2655</v>
      </c>
      <c r="F52" s="919"/>
      <c r="G52" s="157">
        <f>G53+G54+G55+G56</f>
        <v>0</v>
      </c>
      <c r="H52" s="157">
        <f>H53+H54+H55+H56</f>
        <v>2500219</v>
      </c>
      <c r="I52" s="157">
        <f>I53+I54+I55+I56</f>
        <v>2500219</v>
      </c>
      <c r="J52" s="157">
        <f>J53+J54+J55+J56</f>
        <v>1861757</v>
      </c>
      <c r="K52" s="168">
        <f t="shared" si="3"/>
        <v>638462</v>
      </c>
      <c r="L52" s="882">
        <f t="shared" si="2"/>
        <v>0.34293519508722137</v>
      </c>
      <c r="Q52" s="886"/>
      <c r="R52" s="886"/>
      <c r="S52" s="886"/>
      <c r="T52" s="886"/>
    </row>
    <row r="53" spans="1:20" s="883" customFormat="1" ht="10.199999999999999">
      <c r="A53" s="884"/>
      <c r="B53" s="915"/>
      <c r="C53" s="917"/>
      <c r="D53" s="917"/>
      <c r="E53" s="917" t="s">
        <v>86</v>
      </c>
      <c r="F53" s="919" t="s">
        <v>2656</v>
      </c>
      <c r="G53" s="920"/>
      <c r="H53" s="920"/>
      <c r="I53" s="157">
        <f>+ROUND('SP Min'!D140,0)</f>
        <v>0</v>
      </c>
      <c r="J53" s="157">
        <f>+ROUND('SP Min'!E140,0)</f>
        <v>0</v>
      </c>
      <c r="K53" s="168">
        <f t="shared" si="3"/>
        <v>0</v>
      </c>
      <c r="L53" s="882" t="str">
        <f t="shared" si="2"/>
        <v xml:space="preserve">-    </v>
      </c>
      <c r="Q53" s="886"/>
      <c r="R53" s="886"/>
      <c r="S53" s="886"/>
      <c r="T53" s="886"/>
    </row>
    <row r="54" spans="1:20" s="883" customFormat="1" ht="10.199999999999999">
      <c r="A54" s="884"/>
      <c r="B54" s="915"/>
      <c r="C54" s="917"/>
      <c r="D54" s="917"/>
      <c r="E54" s="917" t="s">
        <v>88</v>
      </c>
      <c r="F54" s="919" t="s">
        <v>2657</v>
      </c>
      <c r="G54" s="920"/>
      <c r="H54" s="920">
        <v>1475359</v>
      </c>
      <c r="I54" s="157">
        <f>+ROUND('SP Min'!D141,0)</f>
        <v>1475359</v>
      </c>
      <c r="J54" s="157">
        <f>+ROUND('SP Min'!E141,0)</f>
        <v>1861757</v>
      </c>
      <c r="K54" s="168">
        <f t="shared" si="3"/>
        <v>-386398</v>
      </c>
      <c r="L54" s="882">
        <f t="shared" si="2"/>
        <v>-0.20754480847930207</v>
      </c>
      <c r="Q54" s="886"/>
      <c r="R54" s="886"/>
      <c r="S54" s="886"/>
      <c r="T54" s="886"/>
    </row>
    <row r="55" spans="1:20" s="883" customFormat="1" ht="10.199999999999999">
      <c r="A55" s="884"/>
      <c r="B55" s="915"/>
      <c r="C55" s="917"/>
      <c r="D55" s="917"/>
      <c r="E55" s="917" t="s">
        <v>116</v>
      </c>
      <c r="F55" s="919" t="s">
        <v>2658</v>
      </c>
      <c r="G55" s="920"/>
      <c r="H55" s="920"/>
      <c r="I55" s="157">
        <f>+ROUND('SP Min'!D142,0)</f>
        <v>0</v>
      </c>
      <c r="J55" s="157">
        <f>+ROUND('SP Min'!E142,0)</f>
        <v>0</v>
      </c>
      <c r="K55" s="168">
        <f t="shared" si="3"/>
        <v>0</v>
      </c>
      <c r="L55" s="882" t="str">
        <f t="shared" si="2"/>
        <v xml:space="preserve">-    </v>
      </c>
      <c r="Q55" s="886"/>
      <c r="R55" s="886"/>
      <c r="S55" s="886"/>
      <c r="T55" s="886"/>
    </row>
    <row r="56" spans="1:20" s="883" customFormat="1" ht="10.199999999999999">
      <c r="A56" s="884"/>
      <c r="B56" s="915"/>
      <c r="C56" s="917"/>
      <c r="D56" s="917"/>
      <c r="E56" s="917" t="s">
        <v>2605</v>
      </c>
      <c r="F56" s="919" t="s">
        <v>2659</v>
      </c>
      <c r="G56" s="920"/>
      <c r="H56" s="920">
        <v>1024860</v>
      </c>
      <c r="I56" s="157">
        <f>+ROUND('SP Min'!D143,0)</f>
        <v>1024860</v>
      </c>
      <c r="J56" s="157">
        <f>+ROUND('SP Min'!E143,0)</f>
        <v>0</v>
      </c>
      <c r="K56" s="168">
        <f t="shared" si="3"/>
        <v>1024860</v>
      </c>
      <c r="L56" s="882" t="str">
        <f t="shared" si="2"/>
        <v xml:space="preserve">-    </v>
      </c>
      <c r="Q56" s="886"/>
      <c r="R56" s="886"/>
      <c r="S56" s="886"/>
      <c r="T56" s="886"/>
    </row>
    <row r="57" spans="1:20" s="883" customFormat="1" ht="10.199999999999999">
      <c r="A57" s="884"/>
      <c r="B57" s="917"/>
      <c r="C57" s="917"/>
      <c r="D57" s="921" t="s">
        <v>2637</v>
      </c>
      <c r="E57" s="921" t="s">
        <v>2660</v>
      </c>
      <c r="F57" s="922"/>
      <c r="G57" s="920"/>
      <c r="H57" s="920"/>
      <c r="I57" s="157">
        <f>+ROUND('SP Min'!D144,0)</f>
        <v>0</v>
      </c>
      <c r="J57" s="157">
        <f>+ROUND('SP Min'!E144,0)</f>
        <v>0</v>
      </c>
      <c r="K57" s="168">
        <f t="shared" si="3"/>
        <v>0</v>
      </c>
      <c r="L57" s="882" t="str">
        <f t="shared" si="2"/>
        <v xml:space="preserve">-    </v>
      </c>
      <c r="Q57" s="886"/>
      <c r="R57" s="886"/>
      <c r="S57" s="886"/>
      <c r="T57" s="886"/>
    </row>
    <row r="58" spans="1:20" s="883" customFormat="1" ht="10.199999999999999">
      <c r="A58" s="884"/>
      <c r="B58" s="917"/>
      <c r="C58" s="917" t="s">
        <v>88</v>
      </c>
      <c r="D58" s="917" t="s">
        <v>2661</v>
      </c>
      <c r="E58" s="917"/>
      <c r="F58" s="919"/>
      <c r="G58" s="157">
        <f>G59+G66</f>
        <v>34819</v>
      </c>
      <c r="H58" s="157">
        <f>H59+H66</f>
        <v>10670380</v>
      </c>
      <c r="I58" s="157">
        <f>I59+I66</f>
        <v>10705199</v>
      </c>
      <c r="J58" s="157">
        <f>J59+J66</f>
        <v>7225378</v>
      </c>
      <c r="K58" s="168">
        <f t="shared" si="3"/>
        <v>3479821</v>
      </c>
      <c r="L58" s="882">
        <f t="shared" si="2"/>
        <v>0.48161092748365553</v>
      </c>
      <c r="Q58" s="886"/>
      <c r="R58" s="886"/>
      <c r="S58" s="886"/>
      <c r="T58" s="886"/>
    </row>
    <row r="59" spans="1:20" s="883" customFormat="1" ht="10.199999999999999">
      <c r="A59" s="884"/>
      <c r="B59" s="917"/>
      <c r="C59" s="917"/>
      <c r="D59" s="921" t="s">
        <v>2611</v>
      </c>
      <c r="E59" s="921" t="s">
        <v>2662</v>
      </c>
      <c r="F59" s="922"/>
      <c r="G59" s="157">
        <f>G60+G65</f>
        <v>34819</v>
      </c>
      <c r="H59" s="157">
        <f>H60+H65</f>
        <v>2747304</v>
      </c>
      <c r="I59" s="157">
        <f>I60+I65</f>
        <v>2782123</v>
      </c>
      <c r="J59" s="157">
        <f>J60+J65</f>
        <v>3616748</v>
      </c>
      <c r="K59" s="168">
        <f t="shared" si="3"/>
        <v>-834625</v>
      </c>
      <c r="L59" s="882">
        <f t="shared" si="2"/>
        <v>-0.23076669980877848</v>
      </c>
      <c r="Q59" s="886"/>
      <c r="R59" s="886"/>
      <c r="S59" s="886"/>
      <c r="T59" s="886"/>
    </row>
    <row r="60" spans="1:20" s="883" customFormat="1" ht="10.199999999999999">
      <c r="A60" s="884"/>
      <c r="B60" s="917"/>
      <c r="C60" s="917"/>
      <c r="D60" s="917"/>
      <c r="E60" s="917" t="s">
        <v>86</v>
      </c>
      <c r="F60" s="922" t="s">
        <v>2663</v>
      </c>
      <c r="G60" s="157">
        <f>G61+G62+G63+G64</f>
        <v>34819</v>
      </c>
      <c r="H60" s="157">
        <f>H61+H62+H63+H64</f>
        <v>734805</v>
      </c>
      <c r="I60" s="157">
        <f>I61+I62+I63+I64</f>
        <v>769624</v>
      </c>
      <c r="J60" s="157">
        <f>J61+J62+J63+J64</f>
        <v>832540</v>
      </c>
      <c r="K60" s="168">
        <f t="shared" si="3"/>
        <v>-62916</v>
      </c>
      <c r="L60" s="882">
        <f t="shared" si="2"/>
        <v>-7.5571143728829851E-2</v>
      </c>
      <c r="Q60" s="886"/>
      <c r="R60" s="886"/>
      <c r="S60" s="886"/>
      <c r="T60" s="886"/>
    </row>
    <row r="61" spans="1:20" s="883" customFormat="1" ht="20.399999999999999">
      <c r="A61" s="884"/>
      <c r="B61" s="917"/>
      <c r="C61" s="917"/>
      <c r="D61" s="917"/>
      <c r="E61" s="917"/>
      <c r="F61" s="923" t="s">
        <v>2664</v>
      </c>
      <c r="G61" s="920"/>
      <c r="H61" s="920">
        <v>526805</v>
      </c>
      <c r="I61" s="157">
        <f>+ROUND('SP Min'!D147+'SP Min'!D148+'SP Min'!D149+'SP Min'!D150+'SP Min'!D154+'SP Min'!D156,0)</f>
        <v>526805</v>
      </c>
      <c r="J61" s="157">
        <f>+ROUND('SP Min'!E147+'SP Min'!E148+'SP Min'!E149+'SP Min'!E150+'SP Min'!E154+'SP Min'!E156,0)</f>
        <v>526805</v>
      </c>
      <c r="K61" s="168">
        <f t="shared" si="3"/>
        <v>0</v>
      </c>
      <c r="L61" s="882">
        <f t="shared" si="2"/>
        <v>0</v>
      </c>
      <c r="Q61" s="886"/>
      <c r="R61" s="886"/>
      <c r="S61" s="886"/>
      <c r="T61" s="886"/>
    </row>
    <row r="62" spans="1:20" s="883" customFormat="1" ht="20.399999999999999">
      <c r="A62" s="884"/>
      <c r="B62" s="917"/>
      <c r="C62" s="917"/>
      <c r="D62" s="917"/>
      <c r="E62" s="917"/>
      <c r="F62" s="923" t="s">
        <v>2665</v>
      </c>
      <c r="G62" s="920"/>
      <c r="H62" s="920"/>
      <c r="I62" s="157">
        <f>+ROUND('SP Min'!D151,0)</f>
        <v>0</v>
      </c>
      <c r="J62" s="157">
        <f>+ROUND('SP Min'!E151,0)</f>
        <v>0</v>
      </c>
      <c r="K62" s="168">
        <f t="shared" si="3"/>
        <v>0</v>
      </c>
      <c r="L62" s="882" t="str">
        <f t="shared" si="2"/>
        <v xml:space="preserve">-    </v>
      </c>
      <c r="Q62" s="886"/>
      <c r="R62" s="886"/>
      <c r="S62" s="886"/>
      <c r="T62" s="886"/>
    </row>
    <row r="63" spans="1:20" s="883" customFormat="1" ht="20.399999999999999">
      <c r="A63" s="884"/>
      <c r="B63" s="917"/>
      <c r="C63" s="917"/>
      <c r="D63" s="917"/>
      <c r="E63" s="917"/>
      <c r="F63" s="923" t="s">
        <v>2666</v>
      </c>
      <c r="G63" s="920"/>
      <c r="H63" s="920"/>
      <c r="I63" s="157">
        <f>+ROUND('SP Min'!D152,0)</f>
        <v>0</v>
      </c>
      <c r="J63" s="157">
        <f>+ROUND('SP Min'!E152,0)</f>
        <v>0</v>
      </c>
      <c r="K63" s="168">
        <f t="shared" si="3"/>
        <v>0</v>
      </c>
      <c r="L63" s="882" t="str">
        <f t="shared" si="2"/>
        <v xml:space="preserve">-    </v>
      </c>
      <c r="Q63" s="886"/>
      <c r="R63" s="886"/>
      <c r="S63" s="886"/>
      <c r="T63" s="886"/>
    </row>
    <row r="64" spans="1:20" s="883" customFormat="1" ht="10.199999999999999">
      <c r="A64" s="884"/>
      <c r="B64" s="917"/>
      <c r="C64" s="917"/>
      <c r="D64" s="917"/>
      <c r="E64" s="917"/>
      <c r="F64" s="924" t="s">
        <v>2667</v>
      </c>
      <c r="G64" s="920">
        <v>34819</v>
      </c>
      <c r="H64" s="925">
        <v>208000</v>
      </c>
      <c r="I64" s="157">
        <f>+ROUND('SP Min'!D153,0)</f>
        <v>242819</v>
      </c>
      <c r="J64" s="157">
        <f>+ROUND('SP Min'!E153,0)</f>
        <v>305735</v>
      </c>
      <c r="K64" s="168">
        <f t="shared" si="3"/>
        <v>-62916</v>
      </c>
      <c r="L64" s="882">
        <f t="shared" si="2"/>
        <v>-0.20578605655224297</v>
      </c>
      <c r="Q64" s="886"/>
      <c r="R64" s="886"/>
      <c r="S64" s="886"/>
      <c r="T64" s="886"/>
    </row>
    <row r="65" spans="1:20" s="883" customFormat="1" ht="10.199999999999999">
      <c r="A65" s="884"/>
      <c r="B65" s="917"/>
      <c r="C65" s="917"/>
      <c r="D65" s="917"/>
      <c r="E65" s="917" t="s">
        <v>88</v>
      </c>
      <c r="F65" s="917" t="s">
        <v>2668</v>
      </c>
      <c r="G65" s="920"/>
      <c r="H65" s="925">
        <v>2012499</v>
      </c>
      <c r="I65" s="157">
        <f>+ROUND('SP Min'!D155,0)</f>
        <v>2012499</v>
      </c>
      <c r="J65" s="157">
        <f>+ROUND('SP Min'!E155,0)</f>
        <v>2784208</v>
      </c>
      <c r="K65" s="168">
        <f t="shared" si="3"/>
        <v>-771709</v>
      </c>
      <c r="L65" s="882">
        <f t="shared" si="2"/>
        <v>-0.27717361633900917</v>
      </c>
      <c r="Q65" s="886"/>
      <c r="R65" s="886"/>
      <c r="S65" s="886"/>
      <c r="T65" s="886"/>
    </row>
    <row r="66" spans="1:20" s="883" customFormat="1" ht="10.199999999999999">
      <c r="A66" s="884"/>
      <c r="B66" s="917"/>
      <c r="C66" s="917"/>
      <c r="D66" s="921" t="s">
        <v>2613</v>
      </c>
      <c r="E66" s="921" t="s">
        <v>2669</v>
      </c>
      <c r="F66" s="922"/>
      <c r="G66" s="157">
        <f>G67+G68+G69+G70</f>
        <v>0</v>
      </c>
      <c r="H66" s="157">
        <f>H67+H68+H69+H70</f>
        <v>7923076</v>
      </c>
      <c r="I66" s="157">
        <f>I67+I68+I69+I70</f>
        <v>7923076</v>
      </c>
      <c r="J66" s="157">
        <f>J67+J68+J69+J70</f>
        <v>3608630</v>
      </c>
      <c r="K66" s="168">
        <f t="shared" si="3"/>
        <v>4314446</v>
      </c>
      <c r="L66" s="882">
        <f t="shared" si="2"/>
        <v>1.1955911246096165</v>
      </c>
      <c r="Q66" s="886"/>
      <c r="R66" s="886"/>
      <c r="S66" s="886"/>
      <c r="T66" s="886"/>
    </row>
    <row r="67" spans="1:20" s="883" customFormat="1" ht="10.199999999999999">
      <c r="A67" s="884"/>
      <c r="B67" s="917"/>
      <c r="C67" s="917"/>
      <c r="D67" s="917"/>
      <c r="E67" s="917" t="s">
        <v>86</v>
      </c>
      <c r="F67" s="922" t="s">
        <v>2670</v>
      </c>
      <c r="G67" s="920"/>
      <c r="H67" s="925">
        <v>7923076</v>
      </c>
      <c r="I67" s="157">
        <f>+ROUND('SP Min'!D158,0)</f>
        <v>7923076</v>
      </c>
      <c r="J67" s="157">
        <f>+ROUND('SP Min'!E158,0)</f>
        <v>3608630</v>
      </c>
      <c r="K67" s="168">
        <f t="shared" si="3"/>
        <v>4314446</v>
      </c>
      <c r="L67" s="882">
        <f t="shared" si="2"/>
        <v>1.1955911246096165</v>
      </c>
      <c r="Q67" s="886"/>
      <c r="R67" s="886"/>
      <c r="S67" s="886"/>
      <c r="T67" s="886"/>
    </row>
    <row r="68" spans="1:20" s="883" customFormat="1" ht="10.199999999999999">
      <c r="A68" s="884"/>
      <c r="B68" s="917"/>
      <c r="C68" s="917"/>
      <c r="D68" s="917"/>
      <c r="E68" s="917" t="s">
        <v>88</v>
      </c>
      <c r="F68" s="922" t="s">
        <v>2671</v>
      </c>
      <c r="G68" s="920"/>
      <c r="H68" s="925"/>
      <c r="I68" s="157">
        <f>+ROUND('SP Min'!D159,0)</f>
        <v>0</v>
      </c>
      <c r="J68" s="157">
        <f>+ROUND('SP Min'!E159,0)</f>
        <v>0</v>
      </c>
      <c r="K68" s="168">
        <f t="shared" si="3"/>
        <v>0</v>
      </c>
      <c r="L68" s="882" t="str">
        <f t="shared" si="2"/>
        <v xml:space="preserve">-    </v>
      </c>
      <c r="Q68" s="886"/>
      <c r="R68" s="886"/>
      <c r="S68" s="886"/>
      <c r="T68" s="886"/>
    </row>
    <row r="69" spans="1:20" s="883" customFormat="1" ht="10.199999999999999">
      <c r="A69" s="884"/>
      <c r="B69" s="917"/>
      <c r="C69" s="917"/>
      <c r="D69" s="917"/>
      <c r="E69" s="917" t="s">
        <v>116</v>
      </c>
      <c r="F69" s="922" t="s">
        <v>2672</v>
      </c>
      <c r="G69" s="920"/>
      <c r="H69" s="925"/>
      <c r="I69" s="157">
        <f>+ROUND('SP Min'!D160+'SP Min'!D161+'SP Min'!D164+'SP Min'!D165,0)</f>
        <v>0</v>
      </c>
      <c r="J69" s="157">
        <f>+ROUND('SP Min'!E160+'SP Min'!E161+'SP Min'!E164+'SP Min'!E165,0)</f>
        <v>0</v>
      </c>
      <c r="K69" s="168">
        <f t="shared" si="3"/>
        <v>0</v>
      </c>
      <c r="L69" s="882" t="str">
        <f t="shared" si="2"/>
        <v xml:space="preserve">-    </v>
      </c>
      <c r="Q69" s="886"/>
      <c r="R69" s="886"/>
      <c r="S69" s="886"/>
      <c r="T69" s="886"/>
    </row>
    <row r="70" spans="1:20" s="883" customFormat="1" ht="20.399999999999999">
      <c r="A70" s="884"/>
      <c r="B70" s="915"/>
      <c r="C70" s="917"/>
      <c r="D70" s="915"/>
      <c r="E70" s="917" t="s">
        <v>2605</v>
      </c>
      <c r="F70" s="926" t="s">
        <v>2673</v>
      </c>
      <c r="G70" s="920"/>
      <c r="H70" s="920"/>
      <c r="I70" s="157">
        <f>+ROUND('SP Min'!D163,0)</f>
        <v>0</v>
      </c>
      <c r="J70" s="157">
        <f>+ROUND('SP Min'!E163,0)</f>
        <v>0</v>
      </c>
      <c r="K70" s="168">
        <f t="shared" si="3"/>
        <v>0</v>
      </c>
      <c r="L70" s="882" t="str">
        <f t="shared" si="2"/>
        <v xml:space="preserve">-    </v>
      </c>
      <c r="Q70" s="886"/>
      <c r="R70" s="886"/>
      <c r="S70" s="886"/>
      <c r="T70" s="886"/>
    </row>
    <row r="71" spans="1:20" s="883" customFormat="1" ht="10.199999999999999">
      <c r="A71" s="884"/>
      <c r="B71" s="915"/>
      <c r="C71" s="917" t="s">
        <v>116</v>
      </c>
      <c r="D71" s="917" t="s">
        <v>2674</v>
      </c>
      <c r="E71" s="885"/>
      <c r="F71" s="922"/>
      <c r="G71" s="920"/>
      <c r="H71" s="920"/>
      <c r="I71" s="157">
        <f>+ROUND('SP Min'!D166,0)</f>
        <v>0</v>
      </c>
      <c r="J71" s="157">
        <f>+ROUND('SP Min'!E166,0)</f>
        <v>0</v>
      </c>
      <c r="K71" s="168">
        <f t="shared" si="3"/>
        <v>0</v>
      </c>
      <c r="L71" s="882" t="str">
        <f t="shared" si="2"/>
        <v xml:space="preserve">-    </v>
      </c>
      <c r="Q71" s="886"/>
      <c r="R71" s="886"/>
      <c r="S71" s="886"/>
      <c r="T71" s="886"/>
    </row>
    <row r="72" spans="1:20" s="883" customFormat="1" ht="10.199999999999999">
      <c r="A72" s="884"/>
      <c r="B72" s="915"/>
      <c r="C72" s="917" t="s">
        <v>2605</v>
      </c>
      <c r="D72" s="917" t="s">
        <v>2675</v>
      </c>
      <c r="E72" s="917"/>
      <c r="F72" s="922"/>
      <c r="G72" s="157">
        <f>G73+G74</f>
        <v>5107453</v>
      </c>
      <c r="H72" s="157">
        <f>H73+H74</f>
        <v>0</v>
      </c>
      <c r="I72" s="157">
        <f>I73+I74</f>
        <v>5107453</v>
      </c>
      <c r="J72" s="157">
        <f>J73+J74</f>
        <v>2178189</v>
      </c>
      <c r="K72" s="168">
        <f t="shared" si="3"/>
        <v>2929264</v>
      </c>
      <c r="L72" s="882">
        <f t="shared" si="2"/>
        <v>1.3448162670916068</v>
      </c>
      <c r="Q72" s="886"/>
      <c r="R72" s="886"/>
      <c r="S72" s="886"/>
      <c r="T72" s="886"/>
    </row>
    <row r="73" spans="1:20" s="883" customFormat="1" ht="10.199999999999999">
      <c r="A73" s="884"/>
      <c r="B73" s="915"/>
      <c r="C73" s="917"/>
      <c r="D73" s="921" t="s">
        <v>2611</v>
      </c>
      <c r="E73" s="921" t="s">
        <v>2676</v>
      </c>
      <c r="F73" s="922"/>
      <c r="G73" s="920">
        <v>5000028</v>
      </c>
      <c r="H73" s="920"/>
      <c r="I73" s="157">
        <f>+ROUND('SP Min'!D168+'SP Min'!D172+'SP Min'!D173+'SP Min'!D175,0)</f>
        <v>5000028</v>
      </c>
      <c r="J73" s="157">
        <f>+ROUND('SP Min'!E168+'SP Min'!E172+'SP Min'!E173+'SP Min'!E175,0)</f>
        <v>2035955</v>
      </c>
      <c r="K73" s="168">
        <f t="shared" si="3"/>
        <v>2964073</v>
      </c>
      <c r="L73" s="882">
        <f t="shared" si="2"/>
        <v>1.4558637101507645</v>
      </c>
      <c r="Q73" s="886"/>
      <c r="R73" s="886"/>
      <c r="S73" s="886"/>
      <c r="T73" s="886"/>
    </row>
    <row r="74" spans="1:20" s="883" customFormat="1" ht="10.199999999999999">
      <c r="A74" s="884"/>
      <c r="B74" s="915"/>
      <c r="C74" s="917"/>
      <c r="D74" s="921" t="s">
        <v>2613</v>
      </c>
      <c r="E74" s="921" t="s">
        <v>2677</v>
      </c>
      <c r="F74" s="922"/>
      <c r="G74" s="920">
        <v>107425</v>
      </c>
      <c r="H74" s="920"/>
      <c r="I74" s="157">
        <f>+ROUND('SP Min'!D174,0)</f>
        <v>107425</v>
      </c>
      <c r="J74" s="157">
        <f>+ROUND('SP Min'!E174,0)</f>
        <v>142234</v>
      </c>
      <c r="K74" s="168">
        <f t="shared" si="3"/>
        <v>-34809</v>
      </c>
      <c r="L74" s="882">
        <f t="shared" si="2"/>
        <v>-0.24473051450426761</v>
      </c>
      <c r="Q74" s="886"/>
      <c r="R74" s="886"/>
      <c r="S74" s="886"/>
      <c r="T74" s="886"/>
    </row>
    <row r="75" spans="1:20" s="883" customFormat="1" ht="10.199999999999999">
      <c r="A75" s="884"/>
      <c r="B75" s="915"/>
      <c r="C75" s="917" t="s">
        <v>2607</v>
      </c>
      <c r="D75" s="917" t="s">
        <v>2678</v>
      </c>
      <c r="E75" s="917"/>
      <c r="F75" s="922"/>
      <c r="G75" s="920"/>
      <c r="H75" s="920"/>
      <c r="I75" s="157">
        <f>+ROUND('SP Min'!D176,0)</f>
        <v>0</v>
      </c>
      <c r="J75" s="157">
        <f>+ROUND('SP Min'!E176,0)</f>
        <v>0</v>
      </c>
      <c r="K75" s="168">
        <f t="shared" si="3"/>
        <v>0</v>
      </c>
      <c r="L75" s="882" t="str">
        <f t="shared" si="2"/>
        <v xml:space="preserve">-    </v>
      </c>
      <c r="Q75" s="886"/>
      <c r="R75" s="886"/>
      <c r="S75" s="886"/>
      <c r="T75" s="886"/>
    </row>
    <row r="76" spans="1:20" s="883" customFormat="1" ht="10.199999999999999">
      <c r="A76" s="884"/>
      <c r="B76" s="915"/>
      <c r="C76" s="917" t="s">
        <v>2621</v>
      </c>
      <c r="D76" s="917" t="s">
        <v>2679</v>
      </c>
      <c r="E76" s="917"/>
      <c r="F76" s="922"/>
      <c r="G76" s="920"/>
      <c r="H76" s="920"/>
      <c r="I76" s="904">
        <f>+ROUND('SP Min'!D180,0)</f>
        <v>0</v>
      </c>
      <c r="J76" s="904">
        <f>+ROUND('SP Min'!E180,0)</f>
        <v>0</v>
      </c>
      <c r="K76" s="168">
        <f t="shared" si="3"/>
        <v>0</v>
      </c>
      <c r="L76" s="882" t="str">
        <f t="shared" si="2"/>
        <v xml:space="preserve">-    </v>
      </c>
      <c r="Q76" s="886"/>
      <c r="R76" s="886"/>
      <c r="S76" s="886"/>
      <c r="T76" s="886"/>
    </row>
    <row r="77" spans="1:20" s="883" customFormat="1" ht="10.199999999999999">
      <c r="A77" s="884"/>
      <c r="B77" s="915"/>
      <c r="C77" s="917" t="s">
        <v>2623</v>
      </c>
      <c r="D77" s="917" t="s">
        <v>2680</v>
      </c>
      <c r="E77" s="917"/>
      <c r="F77" s="922"/>
      <c r="G77" s="927">
        <v>1362059</v>
      </c>
      <c r="H77" s="927">
        <v>634752</v>
      </c>
      <c r="I77" s="904">
        <f>+ROUND('SP Min'!D181,0)</f>
        <v>1996811</v>
      </c>
      <c r="J77" s="904">
        <f>+ROUND('SP Min'!E181,0)</f>
        <v>1579628</v>
      </c>
      <c r="K77" s="168">
        <f t="shared" si="3"/>
        <v>417183</v>
      </c>
      <c r="L77" s="882">
        <f t="shared" si="2"/>
        <v>0.26410205440774664</v>
      </c>
      <c r="Q77" s="886"/>
      <c r="R77" s="886"/>
      <c r="S77" s="886"/>
      <c r="T77" s="886"/>
    </row>
    <row r="78" spans="1:20" s="875" customFormat="1" ht="10.199999999999999">
      <c r="A78" s="913"/>
      <c r="B78" s="915" t="s">
        <v>125</v>
      </c>
      <c r="C78" s="928" t="s">
        <v>2681</v>
      </c>
      <c r="D78" s="915"/>
      <c r="E78" s="915"/>
      <c r="F78" s="928"/>
      <c r="G78" s="915"/>
      <c r="H78" s="915"/>
      <c r="I78" s="168">
        <f>SUM(I79:I80)</f>
        <v>0</v>
      </c>
      <c r="J78" s="168">
        <f>SUM(J79:J80)</f>
        <v>0</v>
      </c>
      <c r="K78" s="168">
        <f t="shared" si="3"/>
        <v>0</v>
      </c>
      <c r="L78" s="874" t="str">
        <f t="shared" si="2"/>
        <v xml:space="preserve">-    </v>
      </c>
      <c r="Q78" s="888"/>
      <c r="R78" s="888"/>
      <c r="S78" s="888"/>
      <c r="T78" s="888"/>
    </row>
    <row r="79" spans="1:20" s="883" customFormat="1" ht="10.199999999999999">
      <c r="A79" s="884"/>
      <c r="B79" s="915"/>
      <c r="C79" s="917" t="s">
        <v>86</v>
      </c>
      <c r="D79" s="917" t="s">
        <v>2682</v>
      </c>
      <c r="E79" s="915"/>
      <c r="F79" s="885"/>
      <c r="G79" s="917"/>
      <c r="H79" s="917"/>
      <c r="I79" s="904">
        <f>+ROUND('SP Min'!D193,0)</f>
        <v>0</v>
      </c>
      <c r="J79" s="904">
        <f>+ROUND('SP Min'!E193,0)</f>
        <v>0</v>
      </c>
      <c r="K79" s="168">
        <f t="shared" si="3"/>
        <v>0</v>
      </c>
      <c r="L79" s="882" t="str">
        <f t="shared" si="2"/>
        <v xml:space="preserve">-    </v>
      </c>
      <c r="Q79" s="886"/>
      <c r="R79" s="886"/>
      <c r="S79" s="886"/>
      <c r="T79" s="886"/>
    </row>
    <row r="80" spans="1:20" s="883" customFormat="1" ht="10.199999999999999">
      <c r="A80" s="913"/>
      <c r="B80" s="915"/>
      <c r="C80" s="917" t="s">
        <v>88</v>
      </c>
      <c r="D80" s="917" t="s">
        <v>2683</v>
      </c>
      <c r="E80" s="915"/>
      <c r="F80" s="924"/>
      <c r="G80" s="917"/>
      <c r="H80" s="917"/>
      <c r="I80" s="904">
        <f>+ROUND('SP Min'!D194,0)</f>
        <v>0</v>
      </c>
      <c r="J80" s="904">
        <f>+ROUND('SP Min'!E194,0)</f>
        <v>0</v>
      </c>
      <c r="K80" s="168">
        <f t="shared" si="3"/>
        <v>0</v>
      </c>
      <c r="L80" s="882" t="str">
        <f t="shared" si="2"/>
        <v xml:space="preserve">-    </v>
      </c>
      <c r="Q80" s="886"/>
      <c r="R80" s="886"/>
      <c r="S80" s="886"/>
      <c r="T80" s="886"/>
    </row>
    <row r="81" spans="1:20" s="875" customFormat="1" ht="10.199999999999999">
      <c r="A81" s="876"/>
      <c r="B81" s="915" t="s">
        <v>126</v>
      </c>
      <c r="C81" s="928" t="s">
        <v>2684</v>
      </c>
      <c r="D81" s="915"/>
      <c r="E81" s="915"/>
      <c r="F81" s="870"/>
      <c r="G81" s="915"/>
      <c r="H81" s="915"/>
      <c r="I81" s="929">
        <f>SUM(I82:I85)</f>
        <v>27110112</v>
      </c>
      <c r="J81" s="929">
        <f>SUM(J82:J85)</f>
        <v>21056258</v>
      </c>
      <c r="K81" s="168">
        <f t="shared" si="3"/>
        <v>6053854</v>
      </c>
      <c r="L81" s="874">
        <f t="shared" si="2"/>
        <v>0.28750854021640504</v>
      </c>
      <c r="Q81" s="888"/>
      <c r="R81" s="888"/>
      <c r="S81" s="888"/>
      <c r="T81" s="888"/>
    </row>
    <row r="82" spans="1:20" s="883" customFormat="1" ht="10.199999999999999">
      <c r="A82" s="913"/>
      <c r="B82" s="915"/>
      <c r="C82" s="915" t="s">
        <v>86</v>
      </c>
      <c r="D82" s="922" t="s">
        <v>2685</v>
      </c>
      <c r="E82" s="915"/>
      <c r="F82" s="922"/>
      <c r="G82" s="917"/>
      <c r="H82" s="917"/>
      <c r="I82" s="904">
        <f>+ROUND('SP Min'!D196,0)</f>
        <v>42168</v>
      </c>
      <c r="J82" s="904">
        <f>+ROUND('SP Min'!E196,0)</f>
        <v>69666</v>
      </c>
      <c r="K82" s="168">
        <f t="shared" si="3"/>
        <v>-27498</v>
      </c>
      <c r="L82" s="882">
        <f t="shared" si="2"/>
        <v>-0.39471191111876669</v>
      </c>
      <c r="Q82" s="886"/>
      <c r="R82" s="886"/>
      <c r="S82" s="886"/>
      <c r="T82" s="886"/>
    </row>
    <row r="83" spans="1:20" s="883" customFormat="1" ht="10.199999999999999">
      <c r="A83" s="884"/>
      <c r="B83" s="915"/>
      <c r="C83" s="915" t="s">
        <v>88</v>
      </c>
      <c r="D83" s="922" t="s">
        <v>2686</v>
      </c>
      <c r="E83" s="915"/>
      <c r="F83" s="885"/>
      <c r="G83" s="917"/>
      <c r="H83" s="917"/>
      <c r="I83" s="904">
        <f>+ROUND('SP Min'!D197,0)</f>
        <v>27066853</v>
      </c>
      <c r="J83" s="904">
        <f>+ROUND('SP Min'!E197,0)</f>
        <v>20980526</v>
      </c>
      <c r="K83" s="168">
        <f t="shared" si="3"/>
        <v>6086327</v>
      </c>
      <c r="L83" s="882">
        <f t="shared" si="2"/>
        <v>0.29009410917533718</v>
      </c>
      <c r="Q83" s="886"/>
      <c r="R83" s="886"/>
      <c r="S83" s="886"/>
      <c r="T83" s="886"/>
    </row>
    <row r="84" spans="1:20" s="883" customFormat="1" ht="10.199999999999999">
      <c r="A84" s="884"/>
      <c r="B84" s="915"/>
      <c r="C84" s="915" t="s">
        <v>116</v>
      </c>
      <c r="D84" s="922" t="s">
        <v>2687</v>
      </c>
      <c r="E84" s="915"/>
      <c r="F84" s="885"/>
      <c r="G84" s="917"/>
      <c r="H84" s="917"/>
      <c r="I84" s="904">
        <f>+ROUND('SP Min'!D198,0)</f>
        <v>0</v>
      </c>
      <c r="J84" s="904">
        <f>+ROUND('SP Min'!E198,0)</f>
        <v>0</v>
      </c>
      <c r="K84" s="168">
        <f t="shared" si="3"/>
        <v>0</v>
      </c>
      <c r="L84" s="882" t="str">
        <f t="shared" si="2"/>
        <v xml:space="preserve">-    </v>
      </c>
      <c r="Q84" s="886"/>
      <c r="R84" s="886"/>
      <c r="S84" s="886"/>
      <c r="T84" s="886"/>
    </row>
    <row r="85" spans="1:20" s="883" customFormat="1" ht="10.199999999999999">
      <c r="A85" s="884"/>
      <c r="B85" s="915"/>
      <c r="C85" s="915" t="s">
        <v>2605</v>
      </c>
      <c r="D85" s="922" t="s">
        <v>2688</v>
      </c>
      <c r="E85" s="915"/>
      <c r="F85" s="885"/>
      <c r="G85" s="917"/>
      <c r="H85" s="917"/>
      <c r="I85" s="904">
        <f>+ROUND('SP Min'!D199,0)</f>
        <v>1091</v>
      </c>
      <c r="J85" s="904">
        <f>+ROUND('SP Min'!E199,0)</f>
        <v>6066</v>
      </c>
      <c r="K85" s="168">
        <f t="shared" si="3"/>
        <v>-4975</v>
      </c>
      <c r="L85" s="882">
        <f t="shared" si="2"/>
        <v>-0.82014507088691069</v>
      </c>
      <c r="Q85" s="886"/>
      <c r="R85" s="886"/>
      <c r="S85" s="886"/>
      <c r="T85" s="886"/>
    </row>
    <row r="86" spans="1:20" s="875" customFormat="1" ht="10.199999999999999">
      <c r="A86" s="1524" t="s">
        <v>2689</v>
      </c>
      <c r="B86" s="1525"/>
      <c r="C86" s="1525"/>
      <c r="D86" s="1525"/>
      <c r="E86" s="1525"/>
      <c r="F86" s="1525"/>
      <c r="G86" s="1526"/>
      <c r="H86" s="1525"/>
      <c r="I86" s="171">
        <f>I40+I46+I78+I81</f>
        <v>63623567</v>
      </c>
      <c r="J86" s="171">
        <f>J40+J46+J78+J81</f>
        <v>34973309</v>
      </c>
      <c r="K86" s="171">
        <f t="shared" si="3"/>
        <v>28650258</v>
      </c>
      <c r="L86" s="930">
        <f t="shared" si="2"/>
        <v>0.81920352460786594</v>
      </c>
      <c r="Q86" s="888"/>
      <c r="R86" s="888"/>
      <c r="S86" s="888"/>
      <c r="T86" s="888"/>
    </row>
    <row r="87" spans="1:20" s="875" customFormat="1" ht="10.199999999999999">
      <c r="A87" s="913" t="s">
        <v>84</v>
      </c>
      <c r="B87" s="914" t="s">
        <v>2690</v>
      </c>
      <c r="C87" s="915"/>
      <c r="D87" s="915"/>
      <c r="E87" s="915"/>
      <c r="F87" s="870"/>
      <c r="G87" s="931"/>
      <c r="H87" s="932"/>
      <c r="I87" s="932"/>
      <c r="J87" s="932"/>
      <c r="K87" s="168">
        <f t="shared" si="3"/>
        <v>0</v>
      </c>
      <c r="L87" s="882" t="str">
        <f>IF(J87=0,"-    ",K87/K87)</f>
        <v xml:space="preserve">-    </v>
      </c>
      <c r="Q87" s="888"/>
      <c r="R87" s="888"/>
      <c r="S87" s="888"/>
      <c r="T87" s="888"/>
    </row>
    <row r="88" spans="1:20" s="875" customFormat="1" ht="10.199999999999999">
      <c r="A88" s="913"/>
      <c r="B88" s="915" t="s">
        <v>123</v>
      </c>
      <c r="C88" s="914" t="s">
        <v>2691</v>
      </c>
      <c r="D88" s="915"/>
      <c r="E88" s="915"/>
      <c r="F88" s="928"/>
      <c r="G88" s="915"/>
      <c r="H88" s="932"/>
      <c r="I88" s="904">
        <f>+ROUND('SP Min'!D201,0)</f>
        <v>17752</v>
      </c>
      <c r="J88" s="904">
        <f>+ROUND('SP Min'!E201,0)</f>
        <v>39861</v>
      </c>
      <c r="K88" s="168">
        <f t="shared" si="3"/>
        <v>-22109</v>
      </c>
      <c r="L88" s="882">
        <f t="shared" si="2"/>
        <v>-0.55465241714959479</v>
      </c>
      <c r="Q88" s="888"/>
      <c r="R88" s="888"/>
      <c r="S88" s="888"/>
      <c r="T88" s="888"/>
    </row>
    <row r="89" spans="1:20" s="875" customFormat="1" ht="10.199999999999999">
      <c r="A89" s="913"/>
      <c r="B89" s="915" t="s">
        <v>124</v>
      </c>
      <c r="C89" s="914" t="s">
        <v>2692</v>
      </c>
      <c r="D89" s="915"/>
      <c r="E89" s="915"/>
      <c r="F89" s="870"/>
      <c r="G89" s="933"/>
      <c r="H89" s="932"/>
      <c r="I89" s="904">
        <f>+ROUND('SP Min'!D204,0)</f>
        <v>18353</v>
      </c>
      <c r="J89" s="904">
        <f>+ROUND('SP Min'!E204,0)</f>
        <v>60353</v>
      </c>
      <c r="K89" s="168">
        <f t="shared" si="3"/>
        <v>-42000</v>
      </c>
      <c r="L89" s="882">
        <f t="shared" si="2"/>
        <v>-0.6959057544778221</v>
      </c>
      <c r="Q89" s="888"/>
      <c r="R89" s="888"/>
      <c r="S89" s="888"/>
      <c r="T89" s="888"/>
    </row>
    <row r="90" spans="1:20" s="875" customFormat="1" ht="10.199999999999999">
      <c r="A90" s="1524" t="s">
        <v>2693</v>
      </c>
      <c r="B90" s="1525"/>
      <c r="C90" s="1525"/>
      <c r="D90" s="1525"/>
      <c r="E90" s="1525"/>
      <c r="F90" s="1525"/>
      <c r="G90" s="1527"/>
      <c r="H90" s="1525"/>
      <c r="I90" s="171">
        <f>SUM(I88:I89)</f>
        <v>36105</v>
      </c>
      <c r="J90" s="171">
        <f>SUM(J88:J89)</f>
        <v>100214</v>
      </c>
      <c r="K90" s="171">
        <f t="shared" si="3"/>
        <v>-64109</v>
      </c>
      <c r="L90" s="930">
        <f t="shared" si="2"/>
        <v>-0.63972099706627816</v>
      </c>
      <c r="Q90" s="888"/>
      <c r="R90" s="888"/>
      <c r="S90" s="888"/>
      <c r="T90" s="888"/>
    </row>
    <row r="91" spans="1:20" s="875" customFormat="1" ht="5.4" customHeight="1" thickBot="1">
      <c r="A91" s="934"/>
      <c r="B91" s="928"/>
      <c r="C91" s="928"/>
      <c r="D91" s="928"/>
      <c r="E91" s="928"/>
      <c r="F91" s="928"/>
      <c r="G91" s="928"/>
      <c r="H91" s="928"/>
      <c r="I91" s="928"/>
      <c r="J91" s="928"/>
      <c r="K91" s="904"/>
      <c r="L91" s="882"/>
      <c r="Q91" s="888"/>
      <c r="R91" s="888"/>
      <c r="S91" s="888"/>
      <c r="T91" s="888"/>
    </row>
    <row r="92" spans="1:20" s="875" customFormat="1" ht="10.8" thickBot="1">
      <c r="A92" s="1512" t="s">
        <v>2694</v>
      </c>
      <c r="B92" s="1513"/>
      <c r="C92" s="1513"/>
      <c r="D92" s="1513"/>
      <c r="E92" s="1513"/>
      <c r="F92" s="1513"/>
      <c r="G92" s="1513"/>
      <c r="H92" s="1513"/>
      <c r="I92" s="174">
        <f>I37+I86+I90</f>
        <v>90366700</v>
      </c>
      <c r="J92" s="174">
        <f>J37+J86+J90</f>
        <v>76968767</v>
      </c>
      <c r="K92" s="174">
        <f>+I92-J92</f>
        <v>13397933</v>
      </c>
      <c r="L92" s="935">
        <f t="shared" si="2"/>
        <v>0.17406973662446742</v>
      </c>
      <c r="Q92" s="888"/>
      <c r="R92" s="888"/>
      <c r="S92" s="888"/>
      <c r="T92" s="888"/>
    </row>
    <row r="93" spans="1:20" s="875" customFormat="1" ht="10.199999999999999">
      <c r="A93" s="913" t="s">
        <v>92</v>
      </c>
      <c r="B93" s="914" t="s">
        <v>2695</v>
      </c>
      <c r="C93" s="915"/>
      <c r="D93" s="915"/>
      <c r="E93" s="915"/>
      <c r="F93" s="870"/>
      <c r="G93" s="915"/>
      <c r="H93" s="932"/>
      <c r="I93" s="932"/>
      <c r="J93" s="932"/>
      <c r="K93" s="904"/>
      <c r="L93" s="882"/>
      <c r="Q93" s="888"/>
      <c r="R93" s="888"/>
      <c r="S93" s="888"/>
      <c r="T93" s="888"/>
    </row>
    <row r="94" spans="1:20" s="875" customFormat="1" ht="10.199999999999999">
      <c r="A94" s="913"/>
      <c r="B94" s="917" t="s">
        <v>2696</v>
      </c>
      <c r="C94" s="936" t="s">
        <v>2697</v>
      </c>
      <c r="D94" s="917"/>
      <c r="E94" s="917"/>
      <c r="F94" s="922"/>
      <c r="G94" s="915"/>
      <c r="H94" s="932"/>
      <c r="I94" s="904">
        <f>+ROUND('SP Min'!D209,0)</f>
        <v>42910</v>
      </c>
      <c r="J94" s="904">
        <f>+ROUND('SP Min'!E209,0)</f>
        <v>0</v>
      </c>
      <c r="K94" s="168">
        <f>+I94-J94</f>
        <v>42910</v>
      </c>
      <c r="L94" s="874" t="str">
        <f t="shared" si="2"/>
        <v xml:space="preserve">-    </v>
      </c>
      <c r="Q94" s="888"/>
      <c r="R94" s="888"/>
      <c r="S94" s="888"/>
      <c r="T94" s="888"/>
    </row>
    <row r="95" spans="1:20" s="875" customFormat="1" ht="10.199999999999999">
      <c r="A95" s="913"/>
      <c r="B95" s="917" t="s">
        <v>88</v>
      </c>
      <c r="C95" s="922" t="s">
        <v>2698</v>
      </c>
      <c r="D95" s="917"/>
      <c r="E95" s="917"/>
      <c r="F95" s="885"/>
      <c r="G95" s="915"/>
      <c r="H95" s="932"/>
      <c r="I95" s="904">
        <f>+ROUND('SP Min'!D210,0)</f>
        <v>0</v>
      </c>
      <c r="J95" s="904">
        <f>+ROUND('SP Min'!E210,0)</f>
        <v>0</v>
      </c>
      <c r="K95" s="168">
        <f>+I95-J95</f>
        <v>0</v>
      </c>
      <c r="L95" s="874" t="str">
        <f t="shared" si="2"/>
        <v xml:space="preserve">-    </v>
      </c>
      <c r="Q95" s="888"/>
      <c r="R95" s="888"/>
      <c r="S95" s="888"/>
      <c r="T95" s="888"/>
    </row>
    <row r="96" spans="1:20" s="875" customFormat="1" ht="10.199999999999999">
      <c r="A96" s="913"/>
      <c r="B96" s="922" t="s">
        <v>116</v>
      </c>
      <c r="C96" s="917" t="s">
        <v>2699</v>
      </c>
      <c r="D96" s="917"/>
      <c r="E96" s="917"/>
      <c r="F96" s="885"/>
      <c r="G96" s="915"/>
      <c r="H96" s="932"/>
      <c r="I96" s="904">
        <f>+ROUND('SP Min'!D211,0)</f>
        <v>0</v>
      </c>
      <c r="J96" s="904">
        <f>+ROUND('SP Min'!E211,0)</f>
        <v>0</v>
      </c>
      <c r="K96" s="168">
        <f>+I96-J96</f>
        <v>0</v>
      </c>
      <c r="L96" s="874" t="str">
        <f t="shared" si="2"/>
        <v xml:space="preserve">-    </v>
      </c>
      <c r="Q96" s="888"/>
      <c r="R96" s="888"/>
      <c r="S96" s="888"/>
      <c r="T96" s="888"/>
    </row>
    <row r="97" spans="1:20" s="875" customFormat="1" ht="10.199999999999999">
      <c r="A97" s="913"/>
      <c r="B97" s="917" t="s">
        <v>2605</v>
      </c>
      <c r="C97" s="936" t="s">
        <v>2700</v>
      </c>
      <c r="D97" s="917"/>
      <c r="E97" s="917"/>
      <c r="F97" s="922"/>
      <c r="G97" s="933"/>
      <c r="H97" s="932"/>
      <c r="I97" s="904">
        <f>+ROUND('SP Min'!D212+'SP Min'!D213,0)</f>
        <v>2782163</v>
      </c>
      <c r="J97" s="904">
        <f>+ROUND('SP Min'!E212+'SP Min'!E213,0)</f>
        <v>2782163</v>
      </c>
      <c r="K97" s="168">
        <f>+I97-J97</f>
        <v>0</v>
      </c>
      <c r="L97" s="874">
        <f t="shared" si="2"/>
        <v>0</v>
      </c>
      <c r="Q97" s="888"/>
      <c r="R97" s="888"/>
      <c r="S97" s="888"/>
      <c r="T97" s="888"/>
    </row>
    <row r="98" spans="1:20" s="875" customFormat="1" ht="10.8" thickBot="1">
      <c r="A98" s="1514" t="s">
        <v>2701</v>
      </c>
      <c r="B98" s="1515"/>
      <c r="C98" s="1515"/>
      <c r="D98" s="1515"/>
      <c r="E98" s="1515"/>
      <c r="F98" s="1515"/>
      <c r="G98" s="1516"/>
      <c r="H98" s="1517"/>
      <c r="I98" s="937">
        <f>SUM(I94:I97)</f>
        <v>2825073</v>
      </c>
      <c r="J98" s="937">
        <f>SUM(J94:J97)</f>
        <v>2782163</v>
      </c>
      <c r="K98" s="937">
        <f>+I98-J98</f>
        <v>42910</v>
      </c>
      <c r="L98" s="938">
        <f t="shared" si="2"/>
        <v>1.5423251621130753E-2</v>
      </c>
      <c r="Q98" s="888"/>
      <c r="R98" s="888"/>
      <c r="S98" s="888"/>
      <c r="T98" s="888"/>
    </row>
    <row r="99" spans="1:20" s="883" customFormat="1" ht="10.199999999999999">
      <c r="A99" s="910"/>
      <c r="B99" s="910"/>
      <c r="C99" s="910"/>
      <c r="D99" s="910"/>
      <c r="E99" s="910"/>
      <c r="F99" s="910"/>
      <c r="G99" s="910"/>
      <c r="H99" s="910"/>
      <c r="I99" s="910"/>
      <c r="J99" s="154"/>
      <c r="K99" s="154"/>
      <c r="L99" s="939"/>
      <c r="Q99" s="886"/>
      <c r="R99" s="886"/>
      <c r="S99" s="886"/>
      <c r="T99" s="886"/>
    </row>
    <row r="100" spans="1:20" s="883" customFormat="1" ht="10.199999999999999">
      <c r="A100" s="910"/>
      <c r="B100" s="910"/>
      <c r="C100" s="910"/>
      <c r="D100" s="910"/>
      <c r="E100" s="910"/>
      <c r="F100" s="910"/>
      <c r="G100" s="910"/>
      <c r="H100" s="910"/>
      <c r="I100" s="910"/>
      <c r="J100" s="154"/>
      <c r="K100" s="154"/>
      <c r="L100" s="939"/>
      <c r="Q100" s="886"/>
      <c r="R100" s="886"/>
      <c r="S100" s="886"/>
      <c r="T100" s="886"/>
    </row>
    <row r="101" spans="1:20" s="883" customFormat="1" ht="10.8" thickBot="1">
      <c r="A101" s="856"/>
      <c r="B101" s="856"/>
      <c r="C101" s="856"/>
      <c r="D101" s="856"/>
      <c r="E101" s="856"/>
      <c r="F101" s="919"/>
      <c r="G101" s="855"/>
      <c r="H101" s="855"/>
      <c r="I101" s="855"/>
      <c r="J101" s="855"/>
      <c r="K101" s="855"/>
      <c r="L101" s="940"/>
      <c r="Q101" s="886"/>
      <c r="R101" s="886"/>
      <c r="S101" s="886"/>
      <c r="T101" s="886"/>
    </row>
    <row r="102" spans="1:20" ht="32.25" customHeight="1" thickBot="1">
      <c r="A102" s="1528" t="s">
        <v>2702</v>
      </c>
      <c r="B102" s="1529"/>
      <c r="C102" s="1529"/>
      <c r="D102" s="1529"/>
      <c r="E102" s="1529"/>
      <c r="F102" s="1529"/>
      <c r="G102" s="1529"/>
      <c r="H102" s="1529"/>
      <c r="I102" s="1529"/>
      <c r="J102" s="1529"/>
      <c r="K102" s="1496" t="s">
        <v>2703</v>
      </c>
      <c r="L102" s="1497"/>
    </row>
    <row r="103" spans="1:20" ht="13.8" thickBot="1">
      <c r="A103" s="941"/>
      <c r="B103" s="941"/>
      <c r="C103" s="941"/>
      <c r="D103" s="941"/>
      <c r="E103" s="941"/>
      <c r="F103" s="942"/>
      <c r="G103" s="855"/>
      <c r="H103" s="855"/>
      <c r="I103" s="855"/>
      <c r="J103" s="856"/>
      <c r="K103" s="857"/>
      <c r="L103" s="858"/>
    </row>
    <row r="104" spans="1:20" ht="13.2" customHeight="1">
      <c r="A104" s="1507" t="s">
        <v>2122</v>
      </c>
      <c r="B104" s="1508"/>
      <c r="C104" s="1508"/>
      <c r="D104" s="1508"/>
      <c r="E104" s="1508"/>
      <c r="F104" s="1508"/>
      <c r="G104" s="1508"/>
      <c r="H104" s="1508"/>
      <c r="I104" s="1503" t="s">
        <v>3937</v>
      </c>
      <c r="J104" s="1503" t="s">
        <v>2598</v>
      </c>
      <c r="K104" s="1505" t="s">
        <v>2599</v>
      </c>
      <c r="L104" s="1506"/>
    </row>
    <row r="105" spans="1:20" ht="39.75" customHeight="1">
      <c r="A105" s="1509"/>
      <c r="B105" s="1510"/>
      <c r="C105" s="1510"/>
      <c r="D105" s="1510"/>
      <c r="E105" s="1510"/>
      <c r="F105" s="1510"/>
      <c r="G105" s="1511"/>
      <c r="H105" s="1510"/>
      <c r="I105" s="1504"/>
      <c r="J105" s="1504"/>
      <c r="K105" s="197" t="s">
        <v>2</v>
      </c>
      <c r="L105" s="859" t="s">
        <v>3</v>
      </c>
    </row>
    <row r="106" spans="1:20" s="883" customFormat="1" ht="10.199999999999999">
      <c r="A106" s="943"/>
      <c r="B106" s="944"/>
      <c r="C106" s="944"/>
      <c r="D106" s="944"/>
      <c r="E106" s="944"/>
      <c r="F106" s="945"/>
      <c r="G106" s="946"/>
      <c r="H106" s="947"/>
      <c r="I106" s="947"/>
      <c r="J106" s="948"/>
      <c r="K106" s="948"/>
      <c r="L106" s="949"/>
      <c r="Q106" s="886"/>
      <c r="R106" s="886"/>
      <c r="S106" s="886"/>
      <c r="T106" s="886"/>
    </row>
    <row r="107" spans="1:20" s="875" customFormat="1" ht="10.199999999999999">
      <c r="A107" s="867" t="s">
        <v>4</v>
      </c>
      <c r="B107" s="156" t="s">
        <v>2704</v>
      </c>
      <c r="C107" s="869"/>
      <c r="D107" s="869"/>
      <c r="E107" s="869"/>
      <c r="F107" s="870"/>
      <c r="G107" s="871"/>
      <c r="H107" s="165"/>
      <c r="I107" s="165"/>
      <c r="J107" s="168"/>
      <c r="K107" s="168"/>
      <c r="L107" s="950"/>
      <c r="Q107" s="888"/>
      <c r="R107" s="888"/>
      <c r="S107" s="888"/>
      <c r="T107" s="888"/>
    </row>
    <row r="108" spans="1:20" s="875" customFormat="1" ht="10.199999999999999">
      <c r="A108" s="867"/>
      <c r="B108" s="869"/>
      <c r="C108" s="869"/>
      <c r="D108" s="869"/>
      <c r="E108" s="869"/>
      <c r="F108" s="910"/>
      <c r="G108" s="871"/>
      <c r="H108" s="165"/>
      <c r="I108" s="165"/>
      <c r="J108" s="168"/>
      <c r="K108" s="168"/>
      <c r="L108" s="950"/>
      <c r="Q108" s="888"/>
      <c r="R108" s="888"/>
      <c r="S108" s="888"/>
      <c r="T108" s="888"/>
    </row>
    <row r="109" spans="1:20" s="875" customFormat="1" ht="10.199999999999999">
      <c r="A109" s="876"/>
      <c r="B109" s="869" t="s">
        <v>123</v>
      </c>
      <c r="C109" s="877" t="s">
        <v>2705</v>
      </c>
      <c r="D109" s="869"/>
      <c r="E109" s="869"/>
      <c r="F109" s="870"/>
      <c r="G109" s="871"/>
      <c r="H109" s="165"/>
      <c r="I109" s="168">
        <f>+ROUND('SP Min'!D215,0)</f>
        <v>103489</v>
      </c>
      <c r="J109" s="168">
        <f>+ROUND('SP Min'!E215,0)</f>
        <v>103489</v>
      </c>
      <c r="K109" s="904">
        <f>+I109-J109</f>
        <v>0</v>
      </c>
      <c r="L109" s="882">
        <f t="shared" ref="L109:L168" si="4">IF(J109=0,"-    ",K109/J109)</f>
        <v>0</v>
      </c>
      <c r="N109" s="951"/>
      <c r="Q109" s="888"/>
      <c r="R109" s="888"/>
      <c r="S109" s="888"/>
      <c r="T109" s="888"/>
    </row>
    <row r="110" spans="1:20" s="875" customFormat="1" ht="10.199999999999999">
      <c r="A110" s="876"/>
      <c r="B110" s="869" t="s">
        <v>124</v>
      </c>
      <c r="C110" s="952" t="s">
        <v>2706</v>
      </c>
      <c r="D110" s="869"/>
      <c r="E110" s="869"/>
      <c r="F110" s="877"/>
      <c r="G110" s="871"/>
      <c r="H110" s="165"/>
      <c r="I110" s="168">
        <f>I111+I112+SUM(I116:I118)</f>
        <v>47109138</v>
      </c>
      <c r="J110" s="168">
        <f>J111+J112+SUM(J116:J118)</f>
        <v>38681677</v>
      </c>
      <c r="K110" s="904">
        <f t="shared" ref="K110:K168" si="5">+I110-J110</f>
        <v>8427461</v>
      </c>
      <c r="L110" s="882">
        <f t="shared" si="4"/>
        <v>0.2178670019916665</v>
      </c>
      <c r="Q110" s="888"/>
      <c r="R110" s="888"/>
      <c r="S110" s="888"/>
      <c r="T110" s="888"/>
    </row>
    <row r="111" spans="1:20" s="883" customFormat="1" ht="10.199999999999999">
      <c r="A111" s="884"/>
      <c r="B111" s="869"/>
      <c r="C111" s="917" t="s">
        <v>86</v>
      </c>
      <c r="D111" s="917" t="s">
        <v>2707</v>
      </c>
      <c r="E111" s="915"/>
      <c r="F111" s="879"/>
      <c r="G111" s="880"/>
      <c r="H111" s="164"/>
      <c r="I111" s="904">
        <f>+ROUND('SP Min'!D217,0)</f>
        <v>3493368</v>
      </c>
      <c r="J111" s="904">
        <f>+ROUND('SP Min'!E217,0)</f>
        <v>3682720</v>
      </c>
      <c r="K111" s="904">
        <f t="shared" si="5"/>
        <v>-189352</v>
      </c>
      <c r="L111" s="882">
        <f t="shared" si="4"/>
        <v>-5.1416344441065298E-2</v>
      </c>
      <c r="Q111" s="886"/>
      <c r="R111" s="886"/>
      <c r="S111" s="886"/>
      <c r="T111" s="886"/>
    </row>
    <row r="112" spans="1:20" s="883" customFormat="1" ht="10.199999999999999">
      <c r="A112" s="884"/>
      <c r="B112" s="869"/>
      <c r="C112" s="917" t="s">
        <v>88</v>
      </c>
      <c r="D112" s="917" t="s">
        <v>2708</v>
      </c>
      <c r="E112" s="915"/>
      <c r="F112" s="879"/>
      <c r="G112" s="880"/>
      <c r="H112" s="164"/>
      <c r="I112" s="904">
        <f>SUM(I113:I115)</f>
        <v>22688701</v>
      </c>
      <c r="J112" s="904">
        <f>SUM(J113:J115)</f>
        <v>22690829</v>
      </c>
      <c r="K112" s="904">
        <f t="shared" si="5"/>
        <v>-2128</v>
      </c>
      <c r="L112" s="882">
        <f t="shared" si="4"/>
        <v>-9.3782382300796506E-5</v>
      </c>
      <c r="Q112" s="886"/>
      <c r="R112" s="886"/>
      <c r="S112" s="886"/>
      <c r="T112" s="886"/>
    </row>
    <row r="113" spans="1:20" s="883" customFormat="1" ht="10.199999999999999">
      <c r="A113" s="884"/>
      <c r="B113" s="915"/>
      <c r="C113" s="917"/>
      <c r="D113" s="921" t="s">
        <v>2709</v>
      </c>
      <c r="E113" s="921" t="s">
        <v>2710</v>
      </c>
      <c r="F113" s="922"/>
      <c r="G113" s="917"/>
      <c r="H113" s="917"/>
      <c r="I113" s="904">
        <f>+ROUND('SP Min'!D219,0)</f>
        <v>15117545</v>
      </c>
      <c r="J113" s="904">
        <f>+ROUND('SP Min'!E219,0)</f>
        <v>15142619</v>
      </c>
      <c r="K113" s="904">
        <f t="shared" si="5"/>
        <v>-25074</v>
      </c>
      <c r="L113" s="882">
        <f t="shared" si="4"/>
        <v>-1.6558562293616447E-3</v>
      </c>
      <c r="Q113" s="886"/>
      <c r="R113" s="886"/>
      <c r="S113" s="886"/>
      <c r="T113" s="886"/>
    </row>
    <row r="114" spans="1:20" s="883" customFormat="1" ht="10.199999999999999">
      <c r="A114" s="884"/>
      <c r="B114" s="915"/>
      <c r="C114" s="917"/>
      <c r="D114" s="921" t="s">
        <v>2613</v>
      </c>
      <c r="E114" s="921" t="s">
        <v>2711</v>
      </c>
      <c r="F114" s="922"/>
      <c r="G114" s="917"/>
      <c r="H114" s="917"/>
      <c r="I114" s="904">
        <f>+ROUND('SP Min'!D220,0)</f>
        <v>1191403</v>
      </c>
      <c r="J114" s="904">
        <f>+ROUND('SP Min'!E220,0)</f>
        <v>900730</v>
      </c>
      <c r="K114" s="904">
        <f t="shared" si="5"/>
        <v>290673</v>
      </c>
      <c r="L114" s="882">
        <f t="shared" si="4"/>
        <v>0.32270824775459905</v>
      </c>
      <c r="Q114" s="886"/>
      <c r="R114" s="886"/>
      <c r="S114" s="886"/>
      <c r="T114" s="886"/>
    </row>
    <row r="115" spans="1:20" s="883" customFormat="1" ht="10.199999999999999">
      <c r="A115" s="884"/>
      <c r="B115" s="915"/>
      <c r="C115" s="917"/>
      <c r="D115" s="921" t="s">
        <v>2712</v>
      </c>
      <c r="E115" s="921" t="s">
        <v>2713</v>
      </c>
      <c r="F115" s="922"/>
      <c r="G115" s="917"/>
      <c r="H115" s="917"/>
      <c r="I115" s="904">
        <f>+ROUND('SP Min'!D221,0)</f>
        <v>6379753</v>
      </c>
      <c r="J115" s="904">
        <f>+ROUND('SP Min'!E221,0)</f>
        <v>6647480</v>
      </c>
      <c r="K115" s="904">
        <f t="shared" si="5"/>
        <v>-267727</v>
      </c>
      <c r="L115" s="882">
        <f t="shared" si="4"/>
        <v>-4.0274961338732873E-2</v>
      </c>
      <c r="Q115" s="886"/>
      <c r="R115" s="886"/>
      <c r="S115" s="886"/>
      <c r="T115" s="886"/>
    </row>
    <row r="116" spans="1:20" s="883" customFormat="1" ht="10.199999999999999">
      <c r="A116" s="884"/>
      <c r="B116" s="915"/>
      <c r="C116" s="953" t="s">
        <v>116</v>
      </c>
      <c r="D116" s="953" t="s">
        <v>2714</v>
      </c>
      <c r="E116" s="917"/>
      <c r="F116" s="922"/>
      <c r="G116" s="917"/>
      <c r="H116" s="917"/>
      <c r="I116" s="904">
        <f>+ROUND('SP Min'!D222,0)</f>
        <v>20875968</v>
      </c>
      <c r="J116" s="904">
        <f>+ROUND('SP Min'!E222,0)</f>
        <v>12256669</v>
      </c>
      <c r="K116" s="904">
        <f t="shared" si="5"/>
        <v>8619299</v>
      </c>
      <c r="L116" s="882">
        <f t="shared" si="4"/>
        <v>0.70323339889491998</v>
      </c>
      <c r="Q116" s="886"/>
      <c r="R116" s="886"/>
      <c r="S116" s="886"/>
      <c r="T116" s="886"/>
    </row>
    <row r="117" spans="1:20" s="883" customFormat="1" ht="10.199999999999999">
      <c r="A117" s="884"/>
      <c r="B117" s="915"/>
      <c r="C117" s="953" t="s">
        <v>2605</v>
      </c>
      <c r="D117" s="953" t="s">
        <v>2715</v>
      </c>
      <c r="E117" s="917"/>
      <c r="F117" s="922"/>
      <c r="G117" s="917"/>
      <c r="H117" s="917"/>
      <c r="I117" s="904">
        <f>+ROUND('SP Min'!D223,0)</f>
        <v>51101</v>
      </c>
      <c r="J117" s="904">
        <f>+ROUND('SP Min'!E223,0)</f>
        <v>51459</v>
      </c>
      <c r="K117" s="904">
        <f t="shared" si="5"/>
        <v>-358</v>
      </c>
      <c r="L117" s="882">
        <f t="shared" si="4"/>
        <v>-6.9569948891350392E-3</v>
      </c>
      <c r="Q117" s="886"/>
      <c r="R117" s="886"/>
      <c r="S117" s="886"/>
      <c r="T117" s="886"/>
    </row>
    <row r="118" spans="1:20" s="883" customFormat="1" ht="10.199999999999999">
      <c r="A118" s="884"/>
      <c r="B118" s="869"/>
      <c r="C118" s="953" t="s">
        <v>2607</v>
      </c>
      <c r="D118" s="953" t="s">
        <v>2716</v>
      </c>
      <c r="E118" s="869"/>
      <c r="F118" s="879"/>
      <c r="G118" s="880"/>
      <c r="H118" s="164"/>
      <c r="I118" s="904">
        <f>+ROUND('SP Min'!D224,0)</f>
        <v>0</v>
      </c>
      <c r="J118" s="904">
        <f>+ROUND('SP Min'!E224,0)</f>
        <v>0</v>
      </c>
      <c r="K118" s="904">
        <f t="shared" si="5"/>
        <v>0</v>
      </c>
      <c r="L118" s="882" t="str">
        <f t="shared" si="4"/>
        <v xml:space="preserve">-    </v>
      </c>
      <c r="Q118" s="886"/>
      <c r="R118" s="886"/>
      <c r="S118" s="886"/>
      <c r="T118" s="886"/>
    </row>
    <row r="119" spans="1:20" s="875" customFormat="1" ht="10.199999999999999">
      <c r="A119" s="876"/>
      <c r="B119" s="952" t="s">
        <v>125</v>
      </c>
      <c r="C119" s="952" t="s">
        <v>2717</v>
      </c>
      <c r="D119" s="869"/>
      <c r="E119" s="869"/>
      <c r="F119" s="877"/>
      <c r="G119" s="871"/>
      <c r="H119" s="165"/>
      <c r="I119" s="168">
        <f>+ROUND('SP Min'!D225,0)</f>
        <v>1687551</v>
      </c>
      <c r="J119" s="168">
        <f>+ROUND('SP Min'!E225,0)</f>
        <v>1981749</v>
      </c>
      <c r="K119" s="904">
        <f t="shared" si="5"/>
        <v>-294198</v>
      </c>
      <c r="L119" s="882">
        <f t="shared" si="4"/>
        <v>-0.14845371437048788</v>
      </c>
      <c r="Q119" s="888"/>
      <c r="R119" s="888"/>
      <c r="S119" s="888"/>
      <c r="T119" s="888"/>
    </row>
    <row r="120" spans="1:20" s="875" customFormat="1" ht="10.199999999999999">
      <c r="A120" s="876"/>
      <c r="B120" s="952" t="s">
        <v>126</v>
      </c>
      <c r="C120" s="910" t="s">
        <v>2718</v>
      </c>
      <c r="D120" s="869"/>
      <c r="E120" s="869"/>
      <c r="F120" s="877"/>
      <c r="G120" s="871"/>
      <c r="H120" s="165"/>
      <c r="I120" s="168">
        <f>+ROUND('SP Min'!D226,0)</f>
        <v>2964614</v>
      </c>
      <c r="J120" s="168">
        <f>+ROUND('SP Min'!E226,0)</f>
        <v>2949689</v>
      </c>
      <c r="K120" s="904">
        <f t="shared" si="5"/>
        <v>14925</v>
      </c>
      <c r="L120" s="882">
        <f t="shared" si="4"/>
        <v>5.0598554627284435E-3</v>
      </c>
      <c r="Q120" s="888"/>
      <c r="R120" s="888"/>
      <c r="S120" s="888"/>
      <c r="T120" s="888"/>
    </row>
    <row r="121" spans="1:20" s="875" customFormat="1" ht="10.199999999999999">
      <c r="A121" s="876"/>
      <c r="B121" s="952" t="s">
        <v>127</v>
      </c>
      <c r="C121" s="910" t="s">
        <v>2719</v>
      </c>
      <c r="D121" s="869"/>
      <c r="E121" s="869"/>
      <c r="F121" s="870"/>
      <c r="G121" s="871"/>
      <c r="H121" s="165"/>
      <c r="I121" s="168">
        <f>+ROUND('SP Min'!D232,0)</f>
        <v>0</v>
      </c>
      <c r="J121" s="168">
        <f>+ROUND('SP Min'!E232,0)</f>
        <v>0</v>
      </c>
      <c r="K121" s="904">
        <f t="shared" si="5"/>
        <v>0</v>
      </c>
      <c r="L121" s="882" t="str">
        <f t="shared" si="4"/>
        <v xml:space="preserve">-    </v>
      </c>
      <c r="Q121" s="888"/>
      <c r="R121" s="888"/>
      <c r="S121" s="888"/>
      <c r="T121" s="888"/>
    </row>
    <row r="122" spans="1:20" s="875" customFormat="1" ht="10.199999999999999">
      <c r="A122" s="876"/>
      <c r="B122" s="952" t="s">
        <v>128</v>
      </c>
      <c r="C122" s="910" t="s">
        <v>2720</v>
      </c>
      <c r="D122" s="869"/>
      <c r="E122" s="869"/>
      <c r="F122" s="877"/>
      <c r="G122" s="871"/>
      <c r="H122" s="165"/>
      <c r="I122" s="168">
        <f>+ROUND('SP Min'!D236,0)</f>
        <v>0</v>
      </c>
      <c r="J122" s="168">
        <f>+ROUND('SP Min'!E236,0)</f>
        <v>0</v>
      </c>
      <c r="K122" s="904">
        <f t="shared" si="5"/>
        <v>0</v>
      </c>
      <c r="L122" s="882" t="str">
        <f t="shared" si="4"/>
        <v xml:space="preserve">-    </v>
      </c>
      <c r="Q122" s="888"/>
      <c r="R122" s="888"/>
      <c r="S122" s="888"/>
      <c r="T122" s="888"/>
    </row>
    <row r="123" spans="1:20" s="875" customFormat="1" ht="10.199999999999999">
      <c r="A123" s="876"/>
      <c r="B123" s="952" t="s">
        <v>2721</v>
      </c>
      <c r="C123" s="910" t="s">
        <v>2722</v>
      </c>
      <c r="D123" s="869"/>
      <c r="E123" s="869"/>
      <c r="F123" s="877"/>
      <c r="G123" s="871"/>
      <c r="H123" s="165"/>
      <c r="I123" s="168">
        <f>+ROUND('SP Min'!D237,0)</f>
        <v>19878</v>
      </c>
      <c r="J123" s="168">
        <f>+ROUND('SP Min'!E237,0)</f>
        <v>106863</v>
      </c>
      <c r="K123" s="904">
        <f t="shared" si="5"/>
        <v>-86985</v>
      </c>
      <c r="L123" s="882">
        <f t="shared" si="4"/>
        <v>-0.81398613177619938</v>
      </c>
      <c r="Q123" s="888"/>
      <c r="R123" s="888"/>
      <c r="S123" s="888"/>
      <c r="T123" s="888"/>
    </row>
    <row r="124" spans="1:20" s="875" customFormat="1" ht="10.199999999999999">
      <c r="A124" s="1491" t="s">
        <v>2642</v>
      </c>
      <c r="B124" s="1492"/>
      <c r="C124" s="1492"/>
      <c r="D124" s="1492"/>
      <c r="E124" s="1492"/>
      <c r="F124" s="1492"/>
      <c r="G124" s="1532"/>
      <c r="H124" s="1492"/>
      <c r="I124" s="171">
        <f>I109+I110+SUM(I119:I123)</f>
        <v>51884670</v>
      </c>
      <c r="J124" s="171">
        <f>J109+J110+SUM(J119:J123)</f>
        <v>43823467</v>
      </c>
      <c r="K124" s="172">
        <f t="shared" si="5"/>
        <v>8061203</v>
      </c>
      <c r="L124" s="930">
        <f t="shared" si="4"/>
        <v>0.18394717606436753</v>
      </c>
      <c r="Q124" s="888"/>
      <c r="R124" s="888"/>
      <c r="S124" s="888"/>
      <c r="T124" s="888"/>
    </row>
    <row r="125" spans="1:20" s="875" customFormat="1" ht="10.199999999999999">
      <c r="A125" s="954" t="s">
        <v>33</v>
      </c>
      <c r="B125" s="156" t="s">
        <v>2723</v>
      </c>
      <c r="C125" s="952"/>
      <c r="D125" s="869"/>
      <c r="E125" s="869"/>
      <c r="F125" s="870"/>
      <c r="G125" s="955"/>
      <c r="H125" s="165"/>
      <c r="I125" s="911"/>
      <c r="J125" s="911"/>
      <c r="K125" s="168">
        <f t="shared" si="5"/>
        <v>0</v>
      </c>
      <c r="L125" s="956" t="str">
        <f t="shared" si="4"/>
        <v xml:space="preserve">-    </v>
      </c>
      <c r="Q125" s="888"/>
      <c r="R125" s="888"/>
      <c r="S125" s="888"/>
      <c r="T125" s="888"/>
    </row>
    <row r="126" spans="1:20" s="875" customFormat="1" ht="10.199999999999999">
      <c r="A126" s="954"/>
      <c r="B126" s="952" t="s">
        <v>86</v>
      </c>
      <c r="C126" s="156" t="s">
        <v>2724</v>
      </c>
      <c r="D126" s="869"/>
      <c r="E126" s="869"/>
      <c r="F126" s="870"/>
      <c r="G126" s="871"/>
      <c r="H126" s="165"/>
      <c r="I126" s="168">
        <f>+ROUND('SP Min'!D239,0)</f>
        <v>0</v>
      </c>
      <c r="J126" s="168">
        <f>+ROUND('SP Min'!E239,0)</f>
        <v>0</v>
      </c>
      <c r="K126" s="904">
        <f t="shared" si="5"/>
        <v>0</v>
      </c>
      <c r="L126" s="882" t="str">
        <f t="shared" si="4"/>
        <v xml:space="preserve">-    </v>
      </c>
      <c r="Q126" s="888"/>
      <c r="R126" s="888"/>
      <c r="S126" s="888"/>
      <c r="T126" s="888"/>
    </row>
    <row r="127" spans="1:20" s="875" customFormat="1" ht="10.199999999999999">
      <c r="A127" s="954"/>
      <c r="B127" s="952" t="s">
        <v>88</v>
      </c>
      <c r="C127" s="156" t="s">
        <v>2725</v>
      </c>
      <c r="D127" s="869"/>
      <c r="E127" s="869"/>
      <c r="F127" s="910"/>
      <c r="G127" s="871"/>
      <c r="H127" s="165"/>
      <c r="I127" s="168">
        <f>+ROUND('SP Min'!D240,0)</f>
        <v>4417457</v>
      </c>
      <c r="J127" s="168">
        <f>+ROUND('SP Min'!E240,0)</f>
        <v>4631092</v>
      </c>
      <c r="K127" s="904">
        <f t="shared" si="5"/>
        <v>-213635</v>
      </c>
      <c r="L127" s="882">
        <f t="shared" si="4"/>
        <v>-4.6130588638705512E-2</v>
      </c>
      <c r="Q127" s="888"/>
      <c r="R127" s="888"/>
      <c r="S127" s="888"/>
      <c r="T127" s="888"/>
    </row>
    <row r="128" spans="1:20" s="875" customFormat="1" ht="10.199999999999999">
      <c r="A128" s="954"/>
      <c r="B128" s="952" t="s">
        <v>116</v>
      </c>
      <c r="C128" s="156" t="s">
        <v>2726</v>
      </c>
      <c r="D128" s="869"/>
      <c r="E128" s="869"/>
      <c r="F128" s="870"/>
      <c r="G128" s="871"/>
      <c r="H128" s="165"/>
      <c r="I128" s="168">
        <f>+ROUND('SP Min'!D248,0)</f>
        <v>0</v>
      </c>
      <c r="J128" s="168">
        <f>+ROUND('SP Min'!E248,0)</f>
        <v>0</v>
      </c>
      <c r="K128" s="904">
        <f t="shared" si="5"/>
        <v>0</v>
      </c>
      <c r="L128" s="882" t="str">
        <f t="shared" si="4"/>
        <v xml:space="preserve">-    </v>
      </c>
      <c r="Q128" s="888"/>
      <c r="R128" s="888"/>
      <c r="S128" s="888"/>
      <c r="T128" s="888"/>
    </row>
    <row r="129" spans="1:20" s="875" customFormat="1" ht="10.199999999999999">
      <c r="A129" s="954"/>
      <c r="B129" s="952" t="s">
        <v>2605</v>
      </c>
      <c r="C129" s="952" t="s">
        <v>2727</v>
      </c>
      <c r="D129" s="869"/>
      <c r="E129" s="869"/>
      <c r="F129" s="910"/>
      <c r="G129" s="871"/>
      <c r="H129" s="165"/>
      <c r="I129" s="168">
        <f>+ROUND('SP Min'!D257,0)</f>
        <v>13665598</v>
      </c>
      <c r="J129" s="168">
        <f>+ROUND('SP Min'!E257,0)</f>
        <v>10724301</v>
      </c>
      <c r="K129" s="904">
        <f t="shared" si="5"/>
        <v>2941297</v>
      </c>
      <c r="L129" s="882">
        <f t="shared" si="4"/>
        <v>0.27426468167948664</v>
      </c>
      <c r="Q129" s="888"/>
      <c r="R129" s="888"/>
      <c r="S129" s="888"/>
      <c r="T129" s="888"/>
    </row>
    <row r="130" spans="1:20" s="875" customFormat="1" ht="10.199999999999999">
      <c r="A130" s="954"/>
      <c r="B130" s="952" t="s">
        <v>2607</v>
      </c>
      <c r="C130" s="952" t="s">
        <v>2728</v>
      </c>
      <c r="D130" s="869"/>
      <c r="E130" s="869"/>
      <c r="F130" s="910"/>
      <c r="G130" s="957"/>
      <c r="H130" s="165"/>
      <c r="I130" s="168">
        <f>+ROUND('SP Min'!D263,0)</f>
        <v>1114223</v>
      </c>
      <c r="J130" s="168">
        <f>+ROUND('SP Min'!E263,0)</f>
        <v>799954</v>
      </c>
      <c r="K130" s="904">
        <f t="shared" si="5"/>
        <v>314269</v>
      </c>
      <c r="L130" s="882">
        <f t="shared" si="4"/>
        <v>0.39285883938326455</v>
      </c>
      <c r="Q130" s="888"/>
      <c r="R130" s="888"/>
      <c r="S130" s="888"/>
      <c r="T130" s="888"/>
    </row>
    <row r="131" spans="1:20" s="875" customFormat="1" ht="10.199999999999999">
      <c r="A131" s="1524" t="s">
        <v>2689</v>
      </c>
      <c r="B131" s="1525"/>
      <c r="C131" s="1525"/>
      <c r="D131" s="1525"/>
      <c r="E131" s="1525"/>
      <c r="F131" s="1525"/>
      <c r="G131" s="1533"/>
      <c r="H131" s="1525"/>
      <c r="I131" s="171">
        <f>SUM(I126:I130)</f>
        <v>19197278</v>
      </c>
      <c r="J131" s="171">
        <f>SUM(J126:J130)</f>
        <v>16155347</v>
      </c>
      <c r="K131" s="172">
        <f t="shared" si="5"/>
        <v>3041931</v>
      </c>
      <c r="L131" s="930">
        <f t="shared" si="4"/>
        <v>0.1882925201173333</v>
      </c>
      <c r="Q131" s="888"/>
      <c r="R131" s="888"/>
      <c r="S131" s="888"/>
      <c r="T131" s="888"/>
    </row>
    <row r="132" spans="1:20" s="875" customFormat="1" ht="10.199999999999999">
      <c r="A132" s="954" t="s">
        <v>84</v>
      </c>
      <c r="B132" s="952" t="s">
        <v>2729</v>
      </c>
      <c r="C132" s="952"/>
      <c r="D132" s="869"/>
      <c r="E132" s="869"/>
      <c r="F132" s="910"/>
      <c r="G132" s="955"/>
      <c r="H132" s="165"/>
      <c r="I132" s="168"/>
      <c r="J132" s="168"/>
      <c r="K132" s="168">
        <f t="shared" si="5"/>
        <v>0</v>
      </c>
      <c r="L132" s="956" t="str">
        <f t="shared" si="4"/>
        <v xml:space="preserve">-    </v>
      </c>
      <c r="Q132" s="888"/>
      <c r="R132" s="888"/>
      <c r="S132" s="888"/>
      <c r="T132" s="888"/>
    </row>
    <row r="133" spans="1:20" s="875" customFormat="1" ht="10.199999999999999">
      <c r="A133" s="954"/>
      <c r="B133" s="952" t="s">
        <v>86</v>
      </c>
      <c r="C133" s="952" t="s">
        <v>2730</v>
      </c>
      <c r="D133" s="869"/>
      <c r="E133" s="869"/>
      <c r="F133" s="910"/>
      <c r="G133" s="871"/>
      <c r="H133" s="165"/>
      <c r="I133" s="168">
        <f>+ROUND('SP Min'!D272,0)</f>
        <v>0</v>
      </c>
      <c r="J133" s="168">
        <f>+ROUND('SP Min'!E272,0)</f>
        <v>0</v>
      </c>
      <c r="K133" s="904">
        <f t="shared" si="5"/>
        <v>0</v>
      </c>
      <c r="L133" s="882" t="str">
        <f t="shared" si="4"/>
        <v xml:space="preserve">-    </v>
      </c>
      <c r="Q133" s="888"/>
      <c r="R133" s="888"/>
      <c r="S133" s="888"/>
      <c r="T133" s="888"/>
    </row>
    <row r="134" spans="1:20" s="875" customFormat="1" ht="10.199999999999999">
      <c r="A134" s="954"/>
      <c r="B134" s="952" t="s">
        <v>88</v>
      </c>
      <c r="C134" s="952" t="s">
        <v>2731</v>
      </c>
      <c r="D134" s="869"/>
      <c r="E134" s="869"/>
      <c r="F134" s="910"/>
      <c r="G134" s="957"/>
      <c r="H134" s="165"/>
      <c r="I134" s="168">
        <f>+ROUND('SP Min'!D273+'SP Min'!D274,0)</f>
        <v>0</v>
      </c>
      <c r="J134" s="168">
        <f>+ROUND('SP Min'!E273+'SP Min'!E274,0)</f>
        <v>0</v>
      </c>
      <c r="K134" s="904">
        <f t="shared" si="5"/>
        <v>0</v>
      </c>
      <c r="L134" s="882" t="str">
        <f t="shared" si="4"/>
        <v xml:space="preserve">-    </v>
      </c>
      <c r="Q134" s="888"/>
      <c r="R134" s="888"/>
      <c r="S134" s="888"/>
      <c r="T134" s="888"/>
    </row>
    <row r="135" spans="1:20" s="875" customFormat="1" ht="10.199999999999999">
      <c r="A135" s="1524" t="s">
        <v>2693</v>
      </c>
      <c r="B135" s="1525"/>
      <c r="C135" s="1525"/>
      <c r="D135" s="1525"/>
      <c r="E135" s="1525"/>
      <c r="F135" s="1525"/>
      <c r="G135" s="1527"/>
      <c r="H135" s="1525"/>
      <c r="I135" s="171">
        <f>SUM(I133:I134)</f>
        <v>0</v>
      </c>
      <c r="J135" s="171">
        <f>SUM(J133:J134)</f>
        <v>0</v>
      </c>
      <c r="K135" s="172">
        <f t="shared" si="5"/>
        <v>0</v>
      </c>
      <c r="L135" s="930" t="str">
        <f t="shared" si="4"/>
        <v xml:space="preserve">-    </v>
      </c>
      <c r="Q135" s="888"/>
      <c r="R135" s="888"/>
      <c r="S135" s="888"/>
      <c r="T135" s="888"/>
    </row>
    <row r="136" spans="1:20" s="875" customFormat="1" ht="10.199999999999999">
      <c r="A136" s="958" t="s">
        <v>92</v>
      </c>
      <c r="B136" s="156" t="s">
        <v>2732</v>
      </c>
      <c r="C136" s="959"/>
      <c r="D136" s="959"/>
      <c r="E136" s="959"/>
      <c r="F136" s="870"/>
      <c r="G136" s="870"/>
      <c r="H136" s="870"/>
      <c r="I136" s="901"/>
      <c r="J136" s="901"/>
      <c r="K136" s="168">
        <f t="shared" si="5"/>
        <v>0</v>
      </c>
      <c r="L136" s="956" t="str">
        <f t="shared" si="4"/>
        <v xml:space="preserve">-    </v>
      </c>
      <c r="Q136" s="888"/>
      <c r="R136" s="888"/>
      <c r="S136" s="888"/>
      <c r="T136" s="888"/>
    </row>
    <row r="137" spans="1:20" s="875" customFormat="1" ht="10.199999999999999">
      <c r="A137" s="867"/>
      <c r="B137" s="869"/>
      <c r="C137" s="869"/>
      <c r="D137" s="869"/>
      <c r="E137" s="869"/>
      <c r="F137" s="156"/>
      <c r="G137" s="960" t="s">
        <v>2629</v>
      </c>
      <c r="H137" s="961" t="s">
        <v>2630</v>
      </c>
      <c r="I137" s="962"/>
      <c r="J137" s="962"/>
      <c r="K137" s="168">
        <f t="shared" si="5"/>
        <v>0</v>
      </c>
      <c r="L137" s="956" t="str">
        <f t="shared" si="4"/>
        <v xml:space="preserve">-    </v>
      </c>
      <c r="Q137" s="888"/>
      <c r="R137" s="888"/>
      <c r="S137" s="888"/>
      <c r="T137" s="888"/>
    </row>
    <row r="138" spans="1:20" s="875" customFormat="1" ht="10.199999999999999">
      <c r="A138" s="867"/>
      <c r="B138" s="952" t="s">
        <v>86</v>
      </c>
      <c r="C138" s="156" t="s">
        <v>2733</v>
      </c>
      <c r="D138" s="869"/>
      <c r="E138" s="869"/>
      <c r="F138" s="156"/>
      <c r="G138" s="168"/>
      <c r="H138" s="165"/>
      <c r="I138" s="168">
        <f>+ROUND('SP Min'!D276,0)</f>
        <v>0</v>
      </c>
      <c r="J138" s="168">
        <f>+ROUND('SP Min'!E276,0)</f>
        <v>0</v>
      </c>
      <c r="K138" s="904">
        <f t="shared" si="5"/>
        <v>0</v>
      </c>
      <c r="L138" s="882" t="str">
        <f t="shared" si="4"/>
        <v xml:space="preserve">-    </v>
      </c>
      <c r="Q138" s="888"/>
      <c r="R138" s="888"/>
      <c r="S138" s="888"/>
      <c r="T138" s="888"/>
    </row>
    <row r="139" spans="1:20" s="875" customFormat="1" ht="10.199999999999999">
      <c r="A139" s="867"/>
      <c r="B139" s="952" t="s">
        <v>88</v>
      </c>
      <c r="C139" s="963" t="s">
        <v>2734</v>
      </c>
      <c r="D139" s="869"/>
      <c r="E139" s="869"/>
      <c r="F139" s="870"/>
      <c r="G139" s="168"/>
      <c r="H139" s="168"/>
      <c r="I139" s="168">
        <f>+ROUND('SP Min'!D277,0)</f>
        <v>0</v>
      </c>
      <c r="J139" s="168">
        <f>+ROUND('SP Min'!E277,0)</f>
        <v>0</v>
      </c>
      <c r="K139" s="904">
        <f t="shared" si="5"/>
        <v>0</v>
      </c>
      <c r="L139" s="882" t="str">
        <f t="shared" si="4"/>
        <v xml:space="preserve">-    </v>
      </c>
      <c r="Q139" s="888"/>
      <c r="R139" s="888"/>
      <c r="S139" s="888"/>
      <c r="T139" s="888"/>
    </row>
    <row r="140" spans="1:20" s="875" customFormat="1" ht="10.199999999999999">
      <c r="A140" s="867"/>
      <c r="B140" s="952" t="s">
        <v>116</v>
      </c>
      <c r="C140" s="156" t="s">
        <v>2735</v>
      </c>
      <c r="D140" s="869"/>
      <c r="E140" s="869"/>
      <c r="F140" s="870"/>
      <c r="G140" s="168">
        <v>418186</v>
      </c>
      <c r="H140" s="168">
        <v>423959</v>
      </c>
      <c r="I140" s="168">
        <f>+ROUND('SP Min'!D283,0)</f>
        <v>842145</v>
      </c>
      <c r="J140" s="168">
        <f>+ROUND('SP Min'!E283,0)</f>
        <v>561852</v>
      </c>
      <c r="K140" s="904">
        <f t="shared" si="5"/>
        <v>280293</v>
      </c>
      <c r="L140" s="882">
        <f t="shared" si="4"/>
        <v>0.49887336878750987</v>
      </c>
      <c r="Q140" s="888"/>
      <c r="R140" s="888"/>
      <c r="S140" s="888"/>
      <c r="T140" s="888"/>
    </row>
    <row r="141" spans="1:20" s="875" customFormat="1" ht="10.199999999999999">
      <c r="A141" s="867"/>
      <c r="B141" s="952" t="s">
        <v>2605</v>
      </c>
      <c r="C141" s="963" t="s">
        <v>2736</v>
      </c>
      <c r="D141" s="869"/>
      <c r="E141" s="869"/>
      <c r="F141" s="156"/>
      <c r="G141" s="168"/>
      <c r="H141" s="168"/>
      <c r="I141" s="168">
        <f>+ROUND('SP Min'!D294,0)</f>
        <v>0</v>
      </c>
      <c r="J141" s="168">
        <f>+ROUND('SP Min'!E294,0)</f>
        <v>1626</v>
      </c>
      <c r="K141" s="904">
        <f t="shared" si="5"/>
        <v>-1626</v>
      </c>
      <c r="L141" s="882">
        <f t="shared" si="4"/>
        <v>-1</v>
      </c>
      <c r="Q141" s="888"/>
      <c r="R141" s="888"/>
      <c r="S141" s="888"/>
      <c r="T141" s="888"/>
    </row>
    <row r="142" spans="1:20" s="875" customFormat="1" ht="10.199999999999999">
      <c r="A142" s="867"/>
      <c r="B142" s="952" t="s">
        <v>2607</v>
      </c>
      <c r="C142" s="156" t="s">
        <v>2737</v>
      </c>
      <c r="D142" s="869"/>
      <c r="E142" s="869"/>
      <c r="F142" s="870"/>
      <c r="G142" s="168">
        <f>G143+G144+G145+G146+G147+G148</f>
        <v>4622351</v>
      </c>
      <c r="H142" s="165">
        <f>H143+H144+H145+H146+H147+H148</f>
        <v>0</v>
      </c>
      <c r="I142" s="165">
        <f>I143+I144+I145+I146+I147+I148</f>
        <v>4622351</v>
      </c>
      <c r="J142" s="165">
        <f>J143+J144+J145+J146+J147+J148</f>
        <v>3155272</v>
      </c>
      <c r="K142" s="904">
        <f t="shared" si="5"/>
        <v>1467079</v>
      </c>
      <c r="L142" s="882">
        <f t="shared" si="4"/>
        <v>0.46496118242737866</v>
      </c>
      <c r="Q142" s="888"/>
      <c r="R142" s="888"/>
      <c r="S142" s="888"/>
      <c r="T142" s="888"/>
    </row>
    <row r="143" spans="1:20" s="883" customFormat="1" ht="18" customHeight="1">
      <c r="A143" s="867"/>
      <c r="B143" s="869"/>
      <c r="C143" s="879" t="s">
        <v>2611</v>
      </c>
      <c r="D143" s="1518" t="s">
        <v>2738</v>
      </c>
      <c r="E143" s="1518"/>
      <c r="F143" s="1519"/>
      <c r="G143" s="904">
        <v>2350828</v>
      </c>
      <c r="H143" s="964"/>
      <c r="I143" s="904">
        <f>+ROUND('SP Min'!D297+'SP Min'!D300+'SP Min'!D301+'SP Min'!D304+'SP Min'!D305,0)</f>
        <v>2350828</v>
      </c>
      <c r="J143" s="904">
        <f>+ROUND('SP Min'!E297+'SP Min'!E300+'SP Min'!E301+'SP Min'!E304+'SP Min'!E305,0)</f>
        <v>1189484</v>
      </c>
      <c r="K143" s="904">
        <f t="shared" si="5"/>
        <v>1161344</v>
      </c>
      <c r="L143" s="882">
        <f t="shared" si="4"/>
        <v>0.97634268304575766</v>
      </c>
      <c r="Q143" s="886"/>
      <c r="R143" s="886"/>
      <c r="S143" s="886"/>
      <c r="T143" s="886"/>
    </row>
    <row r="144" spans="1:20" s="883" customFormat="1" ht="22.5" customHeight="1">
      <c r="A144" s="867"/>
      <c r="B144" s="869"/>
      <c r="C144" s="879" t="s">
        <v>2613</v>
      </c>
      <c r="D144" s="1518" t="s">
        <v>2739</v>
      </c>
      <c r="E144" s="1518"/>
      <c r="F144" s="1519"/>
      <c r="G144" s="904">
        <v>0</v>
      </c>
      <c r="H144" s="964"/>
      <c r="I144" s="904">
        <f>+ROUND('SP Min'!D298,0)</f>
        <v>0</v>
      </c>
      <c r="J144" s="904">
        <f>+ROUND('SP Min'!E298,0)</f>
        <v>0</v>
      </c>
      <c r="K144" s="904">
        <f t="shared" si="5"/>
        <v>0</v>
      </c>
      <c r="L144" s="882" t="str">
        <f t="shared" si="4"/>
        <v xml:space="preserve">-    </v>
      </c>
      <c r="Q144" s="886"/>
      <c r="R144" s="886"/>
      <c r="S144" s="886"/>
      <c r="T144" s="886"/>
    </row>
    <row r="145" spans="1:20" s="883" customFormat="1" ht="22.5" customHeight="1">
      <c r="A145" s="867"/>
      <c r="B145" s="869"/>
      <c r="C145" s="879" t="s">
        <v>2635</v>
      </c>
      <c r="D145" s="1518" t="s">
        <v>2740</v>
      </c>
      <c r="E145" s="1518"/>
      <c r="F145" s="1519"/>
      <c r="G145" s="904">
        <v>0</v>
      </c>
      <c r="H145" s="964"/>
      <c r="I145" s="904">
        <f>+ROUND('SP Min'!D299,0)</f>
        <v>0</v>
      </c>
      <c r="J145" s="904">
        <f>+ROUND('SP Min'!E299,0)</f>
        <v>0</v>
      </c>
      <c r="K145" s="904">
        <f t="shared" si="5"/>
        <v>0</v>
      </c>
      <c r="L145" s="882" t="str">
        <f t="shared" si="4"/>
        <v xml:space="preserve">-    </v>
      </c>
      <c r="Q145" s="886"/>
      <c r="R145" s="886"/>
      <c r="S145" s="886"/>
      <c r="T145" s="886"/>
    </row>
    <row r="146" spans="1:20" s="883" customFormat="1" ht="10.199999999999999">
      <c r="A146" s="867"/>
      <c r="B146" s="869"/>
      <c r="C146" s="879" t="s">
        <v>2637</v>
      </c>
      <c r="D146" s="1518" t="s">
        <v>2741</v>
      </c>
      <c r="E146" s="1518"/>
      <c r="F146" s="1519"/>
      <c r="G146" s="904">
        <v>1876607</v>
      </c>
      <c r="H146" s="964"/>
      <c r="I146" s="904">
        <f>+ROUND('SP Min'!D302+'SP Min'!D303,0)</f>
        <v>1876607</v>
      </c>
      <c r="J146" s="904">
        <f>+ROUND('SP Min'!E302+'SP Min'!E303,0)</f>
        <v>1783778</v>
      </c>
      <c r="K146" s="904">
        <f t="shared" si="5"/>
        <v>92829</v>
      </c>
      <c r="L146" s="882">
        <f t="shared" si="4"/>
        <v>5.2040668737925906E-2</v>
      </c>
      <c r="Q146" s="886"/>
      <c r="R146" s="886"/>
      <c r="S146" s="886"/>
      <c r="T146" s="886"/>
    </row>
    <row r="147" spans="1:20" s="883" customFormat="1" ht="21.6" customHeight="1">
      <c r="A147" s="867"/>
      <c r="B147" s="869"/>
      <c r="C147" s="879" t="s">
        <v>2742</v>
      </c>
      <c r="D147" s="1518" t="s">
        <v>2743</v>
      </c>
      <c r="E147" s="1518"/>
      <c r="F147" s="1519"/>
      <c r="G147" s="904">
        <v>0</v>
      </c>
      <c r="H147" s="964"/>
      <c r="I147" s="904">
        <f>+ROUND('SP Min'!D307,0)</f>
        <v>0</v>
      </c>
      <c r="J147" s="904">
        <f>+ROUND('SP Min'!E307,0)</f>
        <v>0</v>
      </c>
      <c r="K147" s="904">
        <f t="shared" si="5"/>
        <v>0</v>
      </c>
      <c r="L147" s="882" t="str">
        <f t="shared" si="4"/>
        <v xml:space="preserve">-    </v>
      </c>
      <c r="Q147" s="886"/>
      <c r="R147" s="886"/>
      <c r="S147" s="886"/>
      <c r="T147" s="886"/>
    </row>
    <row r="148" spans="1:20" s="883" customFormat="1" ht="10.199999999999999">
      <c r="A148" s="867"/>
      <c r="B148" s="869"/>
      <c r="C148" s="879" t="s">
        <v>2744</v>
      </c>
      <c r="D148" s="1518" t="s">
        <v>2745</v>
      </c>
      <c r="E148" s="1518"/>
      <c r="F148" s="1519"/>
      <c r="G148" s="904">
        <v>394916</v>
      </c>
      <c r="H148" s="964"/>
      <c r="I148" s="904">
        <f>+ROUND('SP Min'!D306,0)</f>
        <v>394916</v>
      </c>
      <c r="J148" s="904">
        <f>+ROUND('SP Min'!E306,0)</f>
        <v>182010</v>
      </c>
      <c r="K148" s="904">
        <f t="shared" si="5"/>
        <v>212906</v>
      </c>
      <c r="L148" s="882">
        <f t="shared" si="4"/>
        <v>1.1697489148947859</v>
      </c>
      <c r="Q148" s="886"/>
      <c r="R148" s="886"/>
      <c r="S148" s="886"/>
      <c r="T148" s="886"/>
    </row>
    <row r="149" spans="1:20" s="875" customFormat="1" ht="10.199999999999999">
      <c r="A149" s="867"/>
      <c r="B149" s="952" t="s">
        <v>2621</v>
      </c>
      <c r="C149" s="952" t="s">
        <v>2746</v>
      </c>
      <c r="D149" s="952"/>
      <c r="E149" s="869"/>
      <c r="F149" s="156"/>
      <c r="G149" s="168">
        <v>77</v>
      </c>
      <c r="H149" s="165"/>
      <c r="I149" s="168">
        <f>+ROUND('SP Min'!D313,0)</f>
        <v>77</v>
      </c>
      <c r="J149" s="168">
        <f>+ROUND('SP Min'!E313,0)</f>
        <v>77</v>
      </c>
      <c r="K149" s="168">
        <f t="shared" si="5"/>
        <v>0</v>
      </c>
      <c r="L149" s="874">
        <f t="shared" si="4"/>
        <v>0</v>
      </c>
      <c r="Q149" s="888"/>
      <c r="R149" s="888"/>
      <c r="S149" s="888"/>
      <c r="T149" s="888"/>
    </row>
    <row r="150" spans="1:20" s="875" customFormat="1" ht="10.199999999999999">
      <c r="A150" s="867"/>
      <c r="B150" s="952" t="s">
        <v>2623</v>
      </c>
      <c r="C150" s="156" t="s">
        <v>2747</v>
      </c>
      <c r="D150" s="952"/>
      <c r="E150" s="869"/>
      <c r="F150" s="156"/>
      <c r="G150" s="168">
        <v>6938441</v>
      </c>
      <c r="H150" s="165"/>
      <c r="I150" s="168">
        <f>+ROUND('SP Min'!D317,0)</f>
        <v>6331593</v>
      </c>
      <c r="J150" s="168">
        <f>+ROUND('SP Min'!E317,0)</f>
        <v>4911794</v>
      </c>
      <c r="K150" s="168">
        <f t="shared" si="5"/>
        <v>1419799</v>
      </c>
      <c r="L150" s="874">
        <f t="shared" si="4"/>
        <v>0.289059150281954</v>
      </c>
      <c r="Q150" s="888"/>
      <c r="R150" s="888"/>
      <c r="S150" s="888"/>
      <c r="T150" s="888"/>
    </row>
    <row r="151" spans="1:20" s="875" customFormat="1" ht="10.199999999999999">
      <c r="A151" s="867"/>
      <c r="B151" s="952" t="s">
        <v>2625</v>
      </c>
      <c r="C151" s="156" t="s">
        <v>2748</v>
      </c>
      <c r="D151" s="952"/>
      <c r="E151" s="869"/>
      <c r="F151" s="156"/>
      <c r="G151" s="168"/>
      <c r="H151" s="165"/>
      <c r="I151" s="168">
        <f>+ROUND('SP Min'!D324,0)</f>
        <v>0</v>
      </c>
      <c r="J151" s="168">
        <f>+ROUND('SP Min'!E324,0)</f>
        <v>0</v>
      </c>
      <c r="K151" s="168">
        <f t="shared" si="5"/>
        <v>0</v>
      </c>
      <c r="L151" s="874" t="str">
        <f t="shared" si="4"/>
        <v xml:space="preserve">-    </v>
      </c>
      <c r="Q151" s="888"/>
      <c r="R151" s="888"/>
      <c r="S151" s="888"/>
      <c r="T151" s="888"/>
    </row>
    <row r="152" spans="1:20" s="875" customFormat="1" ht="10.199999999999999">
      <c r="A152" s="867"/>
      <c r="B152" s="952" t="s">
        <v>2627</v>
      </c>
      <c r="C152" s="156" t="s">
        <v>2749</v>
      </c>
      <c r="D152" s="952"/>
      <c r="E152" s="869"/>
      <c r="F152" s="965"/>
      <c r="G152" s="168">
        <v>1915937</v>
      </c>
      <c r="H152" s="165"/>
      <c r="I152" s="168">
        <f>+ROUND('SP Min'!D325,0)</f>
        <v>1915937</v>
      </c>
      <c r="J152" s="168">
        <f>+ROUND('SP Min'!E325,0)</f>
        <v>2004759</v>
      </c>
      <c r="K152" s="168">
        <f t="shared" si="5"/>
        <v>-88822</v>
      </c>
      <c r="L152" s="874">
        <f t="shared" si="4"/>
        <v>-4.4305574884562188E-2</v>
      </c>
      <c r="Q152" s="888"/>
      <c r="R152" s="888"/>
      <c r="S152" s="888"/>
      <c r="T152" s="888"/>
    </row>
    <row r="153" spans="1:20" s="875" customFormat="1" ht="10.199999999999999">
      <c r="A153" s="966"/>
      <c r="B153" s="967" t="s">
        <v>2750</v>
      </c>
      <c r="C153" s="156" t="s">
        <v>2751</v>
      </c>
      <c r="D153" s="967"/>
      <c r="E153" s="857"/>
      <c r="F153" s="965"/>
      <c r="G153" s="169">
        <v>0</v>
      </c>
      <c r="H153" s="162"/>
      <c r="I153" s="168">
        <f>+ROUND('SP Min'!D328,0)</f>
        <v>0</v>
      </c>
      <c r="J153" s="168">
        <f>+ROUND('SP Min'!E328,0)</f>
        <v>0</v>
      </c>
      <c r="K153" s="168">
        <f t="shared" si="5"/>
        <v>0</v>
      </c>
      <c r="L153" s="874" t="str">
        <f t="shared" si="4"/>
        <v xml:space="preserve">-    </v>
      </c>
      <c r="Q153" s="888"/>
      <c r="R153" s="888"/>
      <c r="S153" s="888"/>
      <c r="T153" s="888"/>
    </row>
    <row r="154" spans="1:20" s="875" customFormat="1" ht="10.199999999999999">
      <c r="A154" s="867"/>
      <c r="B154" s="952" t="s">
        <v>2752</v>
      </c>
      <c r="C154" s="156" t="s">
        <v>2753</v>
      </c>
      <c r="D154" s="952"/>
      <c r="E154" s="869"/>
      <c r="F154" s="156"/>
      <c r="G154" s="168">
        <v>1766780</v>
      </c>
      <c r="H154" s="165"/>
      <c r="I154" s="168">
        <f>+ROUND(+'SP Min'!D326,0)</f>
        <v>1766780</v>
      </c>
      <c r="J154" s="168">
        <f>+ROUND(+'SP Min'!E326,0)</f>
        <v>1796410</v>
      </c>
      <c r="K154" s="168">
        <f t="shared" si="5"/>
        <v>-29630</v>
      </c>
      <c r="L154" s="874">
        <f t="shared" si="4"/>
        <v>-1.6494007492721594E-2</v>
      </c>
      <c r="Q154" s="888"/>
      <c r="R154" s="888"/>
      <c r="S154" s="888"/>
      <c r="T154" s="888"/>
    </row>
    <row r="155" spans="1:20" s="875" customFormat="1" ht="10.199999999999999">
      <c r="A155" s="867"/>
      <c r="B155" s="952" t="s">
        <v>2754</v>
      </c>
      <c r="C155" s="156" t="s">
        <v>2755</v>
      </c>
      <c r="D155" s="952"/>
      <c r="E155" s="869"/>
      <c r="F155" s="870"/>
      <c r="G155" s="968">
        <v>3796644</v>
      </c>
      <c r="H155" s="968"/>
      <c r="I155" s="168">
        <f>+ROUND('SP Min'!D331+'SP Min'!D329+'SP Min'!D330,0)</f>
        <v>3796644</v>
      </c>
      <c r="J155" s="168">
        <f>+ROUND('SP Min'!E331+'SP Min'!E329+'SP Min'!E330,0)</f>
        <v>4548873</v>
      </c>
      <c r="K155" s="168">
        <f t="shared" si="5"/>
        <v>-752229</v>
      </c>
      <c r="L155" s="874">
        <f t="shared" si="4"/>
        <v>-0.16536601483488328</v>
      </c>
      <c r="Q155" s="888"/>
      <c r="R155" s="888"/>
      <c r="S155" s="888"/>
      <c r="T155" s="888"/>
    </row>
    <row r="156" spans="1:20" s="875" customFormat="1" ht="10.199999999999999">
      <c r="A156" s="1520" t="s">
        <v>2701</v>
      </c>
      <c r="B156" s="1521"/>
      <c r="C156" s="1521"/>
      <c r="D156" s="1521"/>
      <c r="E156" s="1521"/>
      <c r="F156" s="1521"/>
      <c r="G156" s="1522"/>
      <c r="H156" s="1523"/>
      <c r="I156" s="171">
        <f>SUM(I138:I142)+SUM(I149:I155)</f>
        <v>19275527</v>
      </c>
      <c r="J156" s="171">
        <f>SUM(J138:J142)+SUM(J149:J155)</f>
        <v>16980663</v>
      </c>
      <c r="K156" s="172">
        <f t="shared" si="5"/>
        <v>2294864</v>
      </c>
      <c r="L156" s="930">
        <f t="shared" si="4"/>
        <v>0.13514572428650165</v>
      </c>
      <c r="Q156" s="888"/>
      <c r="R156" s="888"/>
      <c r="S156" s="888"/>
      <c r="T156" s="888"/>
    </row>
    <row r="157" spans="1:20" s="875" customFormat="1" ht="10.199999999999999">
      <c r="A157" s="954" t="s">
        <v>97</v>
      </c>
      <c r="B157" s="156" t="s">
        <v>2756</v>
      </c>
      <c r="C157" s="952"/>
      <c r="D157" s="952"/>
      <c r="E157" s="869"/>
      <c r="F157" s="870"/>
      <c r="G157" s="955"/>
      <c r="H157" s="165"/>
      <c r="I157" s="165"/>
      <c r="J157" s="165"/>
      <c r="K157" s="168">
        <f t="shared" si="5"/>
        <v>0</v>
      </c>
      <c r="L157" s="956" t="str">
        <f t="shared" si="4"/>
        <v xml:space="preserve">-    </v>
      </c>
      <c r="Q157" s="888"/>
      <c r="R157" s="888"/>
      <c r="S157" s="888"/>
      <c r="T157" s="888"/>
    </row>
    <row r="158" spans="1:20" s="875" customFormat="1" ht="10.199999999999999">
      <c r="A158" s="954"/>
      <c r="B158" s="952" t="s">
        <v>86</v>
      </c>
      <c r="C158" s="156" t="s">
        <v>2757</v>
      </c>
      <c r="D158" s="952"/>
      <c r="E158" s="869"/>
      <c r="F158" s="910"/>
      <c r="G158" s="871"/>
      <c r="H158" s="165"/>
      <c r="I158" s="168">
        <f>+ROUND(+'SP Min'!D333,0)</f>
        <v>9225</v>
      </c>
      <c r="J158" s="168">
        <f>+ROUND(+'SP Min'!E333,0)</f>
        <v>9279</v>
      </c>
      <c r="K158" s="904">
        <f t="shared" si="5"/>
        <v>-54</v>
      </c>
      <c r="L158" s="882">
        <f t="shared" si="4"/>
        <v>-5.8195926285160042E-3</v>
      </c>
      <c r="Q158" s="888"/>
      <c r="R158" s="888"/>
      <c r="S158" s="888"/>
      <c r="T158" s="888"/>
    </row>
    <row r="159" spans="1:20" s="875" customFormat="1" ht="10.199999999999999">
      <c r="A159" s="954"/>
      <c r="B159" s="952" t="s">
        <v>88</v>
      </c>
      <c r="C159" s="156" t="s">
        <v>2758</v>
      </c>
      <c r="D159" s="952"/>
      <c r="E159" s="869"/>
      <c r="F159" s="870"/>
      <c r="G159" s="957"/>
      <c r="H159" s="165"/>
      <c r="I159" s="168">
        <f>+ROUND(+'SP Min'!D336,0)</f>
        <v>0</v>
      </c>
      <c r="J159" s="168">
        <f>+ROUND(+'SP Min'!E336,0)</f>
        <v>11</v>
      </c>
      <c r="K159" s="904">
        <f t="shared" si="5"/>
        <v>-11</v>
      </c>
      <c r="L159" s="882">
        <f t="shared" si="4"/>
        <v>-1</v>
      </c>
      <c r="Q159" s="888"/>
      <c r="R159" s="888"/>
      <c r="S159" s="888"/>
      <c r="T159" s="888"/>
    </row>
    <row r="160" spans="1:20" s="875" customFormat="1" ht="10.199999999999999">
      <c r="A160" s="1520" t="s">
        <v>2759</v>
      </c>
      <c r="B160" s="1521"/>
      <c r="C160" s="1521"/>
      <c r="D160" s="1521"/>
      <c r="E160" s="1521"/>
      <c r="F160" s="1521"/>
      <c r="G160" s="1530"/>
      <c r="H160" s="1523"/>
      <c r="I160" s="171">
        <f>SUM(I158:I159)</f>
        <v>9225</v>
      </c>
      <c r="J160" s="171">
        <f>SUM(J158:J159)</f>
        <v>9290</v>
      </c>
      <c r="K160" s="172">
        <f t="shared" si="5"/>
        <v>-65</v>
      </c>
      <c r="L160" s="930">
        <f t="shared" si="4"/>
        <v>-6.9967707212055972E-3</v>
      </c>
      <c r="Q160" s="888"/>
      <c r="R160" s="888"/>
      <c r="S160" s="888"/>
      <c r="T160" s="888"/>
    </row>
    <row r="161" spans="1:20" s="875" customFormat="1" ht="10.8" thickBot="1">
      <c r="A161" s="867"/>
      <c r="B161" s="869"/>
      <c r="C161" s="869"/>
      <c r="D161" s="869"/>
      <c r="E161" s="869"/>
      <c r="F161" s="910"/>
      <c r="G161" s="955"/>
      <c r="H161" s="165"/>
      <c r="I161" s="165"/>
      <c r="J161" s="165"/>
      <c r="K161" s="168">
        <f t="shared" si="5"/>
        <v>0</v>
      </c>
      <c r="L161" s="956" t="str">
        <f t="shared" si="4"/>
        <v xml:space="preserve">-    </v>
      </c>
      <c r="Q161" s="888"/>
      <c r="R161" s="888"/>
      <c r="S161" s="888"/>
      <c r="T161" s="888"/>
    </row>
    <row r="162" spans="1:20" s="875" customFormat="1" ht="10.8" thickBot="1">
      <c r="A162" s="1512" t="s">
        <v>2760</v>
      </c>
      <c r="B162" s="1513"/>
      <c r="C162" s="1513"/>
      <c r="D162" s="1513"/>
      <c r="E162" s="1513"/>
      <c r="F162" s="1513"/>
      <c r="G162" s="1513"/>
      <c r="H162" s="1531"/>
      <c r="I162" s="174">
        <f>I124+I131+I135+I156+I160</f>
        <v>90366700</v>
      </c>
      <c r="J162" s="174">
        <f>J124+J131+J135+J156+J160</f>
        <v>76968767</v>
      </c>
      <c r="K162" s="175">
        <f t="shared" si="5"/>
        <v>13397933</v>
      </c>
      <c r="L162" s="935">
        <f t="shared" si="4"/>
        <v>0.17406973662446742</v>
      </c>
      <c r="Q162" s="888"/>
      <c r="R162" s="888"/>
      <c r="S162" s="888"/>
      <c r="T162" s="888"/>
    </row>
    <row r="163" spans="1:20" s="875" customFormat="1" ht="10.199999999999999">
      <c r="A163" s="954" t="s">
        <v>2761</v>
      </c>
      <c r="B163" s="156" t="s">
        <v>2695</v>
      </c>
      <c r="C163" s="952"/>
      <c r="D163" s="952"/>
      <c r="E163" s="952"/>
      <c r="F163" s="967"/>
      <c r="G163" s="915"/>
      <c r="H163" s="932"/>
      <c r="I163" s="932"/>
      <c r="J163" s="932"/>
      <c r="K163" s="168">
        <f t="shared" si="5"/>
        <v>0</v>
      </c>
      <c r="L163" s="956" t="str">
        <f t="shared" si="4"/>
        <v xml:space="preserve">-    </v>
      </c>
      <c r="Q163" s="888"/>
      <c r="R163" s="888"/>
      <c r="S163" s="888"/>
      <c r="T163" s="888"/>
    </row>
    <row r="164" spans="1:20" s="875" customFormat="1" ht="10.199999999999999">
      <c r="A164" s="954"/>
      <c r="B164" s="952" t="s">
        <v>2696</v>
      </c>
      <c r="C164" s="156" t="s">
        <v>2697</v>
      </c>
      <c r="D164" s="952"/>
      <c r="E164" s="952"/>
      <c r="F164" s="910"/>
      <c r="G164" s="915"/>
      <c r="H164" s="932"/>
      <c r="I164" s="168">
        <f>+ROUND(+'SP Min'!D342,0)</f>
        <v>42910</v>
      </c>
      <c r="J164" s="168">
        <f>+ROUND(+'SP Min'!E342,0)</f>
        <v>0</v>
      </c>
      <c r="K164" s="904">
        <f t="shared" si="5"/>
        <v>42910</v>
      </c>
      <c r="L164" s="882" t="str">
        <f t="shared" si="4"/>
        <v xml:space="preserve">-    </v>
      </c>
      <c r="Q164" s="888"/>
      <c r="R164" s="888"/>
      <c r="S164" s="888"/>
      <c r="T164" s="888"/>
    </row>
    <row r="165" spans="1:20" s="875" customFormat="1" ht="10.199999999999999">
      <c r="A165" s="954"/>
      <c r="B165" s="952" t="s">
        <v>88</v>
      </c>
      <c r="C165" s="910" t="s">
        <v>2698</v>
      </c>
      <c r="D165" s="952"/>
      <c r="E165" s="952"/>
      <c r="F165" s="967"/>
      <c r="G165" s="915"/>
      <c r="H165" s="932"/>
      <c r="I165" s="168">
        <f>+ROUND(+'SP Min'!D343,0)</f>
        <v>0</v>
      </c>
      <c r="J165" s="168">
        <f>+ROUND(+'SP Min'!E343,0)</f>
        <v>0</v>
      </c>
      <c r="K165" s="904">
        <f t="shared" si="5"/>
        <v>0</v>
      </c>
      <c r="L165" s="882" t="str">
        <f t="shared" si="4"/>
        <v xml:space="preserve">-    </v>
      </c>
      <c r="Q165" s="888"/>
      <c r="R165" s="888"/>
      <c r="S165" s="888"/>
      <c r="T165" s="888"/>
    </row>
    <row r="166" spans="1:20" s="875" customFormat="1" ht="10.199999999999999">
      <c r="A166" s="954"/>
      <c r="B166" s="910" t="s">
        <v>116</v>
      </c>
      <c r="C166" s="952" t="s">
        <v>2699</v>
      </c>
      <c r="D166" s="952"/>
      <c r="E166" s="952"/>
      <c r="F166" s="967"/>
      <c r="G166" s="915"/>
      <c r="H166" s="932"/>
      <c r="I166" s="168">
        <f>+ROUND(+'SP Min'!D344,0)</f>
        <v>0</v>
      </c>
      <c r="J166" s="168">
        <f>+ROUND(+'SP Min'!E344,0)</f>
        <v>0</v>
      </c>
      <c r="K166" s="904">
        <f t="shared" si="5"/>
        <v>0</v>
      </c>
      <c r="L166" s="882" t="str">
        <f t="shared" si="4"/>
        <v xml:space="preserve">-    </v>
      </c>
      <c r="Q166" s="888"/>
      <c r="R166" s="888"/>
      <c r="S166" s="888"/>
      <c r="T166" s="888"/>
    </row>
    <row r="167" spans="1:20" s="875" customFormat="1" ht="10.199999999999999">
      <c r="A167" s="954"/>
      <c r="B167" s="952" t="s">
        <v>2605</v>
      </c>
      <c r="C167" s="156" t="s">
        <v>2700</v>
      </c>
      <c r="D167" s="952"/>
      <c r="E167" s="952"/>
      <c r="F167" s="910"/>
      <c r="G167" s="933"/>
      <c r="H167" s="932"/>
      <c r="I167" s="168">
        <f>+ROUND(+'SP Min'!D345+'SP Min'!D346,0)</f>
        <v>2782163</v>
      </c>
      <c r="J167" s="168">
        <f>+ROUND(+'SP Min'!E345+'SP Min'!E346,0)</f>
        <v>2782163</v>
      </c>
      <c r="K167" s="904">
        <f t="shared" si="5"/>
        <v>0</v>
      </c>
      <c r="L167" s="882">
        <f t="shared" si="4"/>
        <v>0</v>
      </c>
      <c r="Q167" s="888"/>
      <c r="R167" s="888"/>
      <c r="S167" s="888"/>
      <c r="T167" s="888"/>
    </row>
    <row r="168" spans="1:20" s="875" customFormat="1" ht="10.8" thickBot="1">
      <c r="A168" s="1514" t="s">
        <v>2762</v>
      </c>
      <c r="B168" s="1515"/>
      <c r="C168" s="1515"/>
      <c r="D168" s="1515"/>
      <c r="E168" s="1515"/>
      <c r="F168" s="1515"/>
      <c r="G168" s="1516"/>
      <c r="H168" s="1517"/>
      <c r="I168" s="937">
        <f>SUM(I164:I167)</f>
        <v>2825073</v>
      </c>
      <c r="J168" s="937">
        <f>SUM(J164:J167)</f>
        <v>2782163</v>
      </c>
      <c r="K168" s="937">
        <f t="shared" si="5"/>
        <v>42910</v>
      </c>
      <c r="L168" s="938">
        <f t="shared" si="4"/>
        <v>1.5423251621130753E-2</v>
      </c>
      <c r="Q168" s="888"/>
      <c r="R168" s="888"/>
      <c r="S168" s="888"/>
      <c r="T168" s="888"/>
    </row>
    <row r="169" spans="1:20" s="883" customFormat="1" ht="10.199999999999999">
      <c r="A169" s="969"/>
      <c r="B169" s="969"/>
      <c r="C169" s="969"/>
      <c r="D169" s="969"/>
      <c r="E169" s="969"/>
      <c r="I169" s="970"/>
      <c r="J169" s="970"/>
      <c r="K169" s="970"/>
      <c r="L169" s="971"/>
    </row>
    <row r="170" spans="1:20" s="883" customFormat="1" ht="10.199999999999999">
      <c r="A170" s="969"/>
      <c r="B170" s="969"/>
      <c r="C170" s="969"/>
      <c r="D170" s="969"/>
      <c r="E170" s="969"/>
      <c r="I170" s="970">
        <f>+I162-I92</f>
        <v>0</v>
      </c>
      <c r="J170" s="970"/>
      <c r="K170" s="970"/>
      <c r="L170" s="971"/>
    </row>
    <row r="171" spans="1:20" s="883" customFormat="1" ht="10.199999999999999">
      <c r="A171" s="969"/>
      <c r="B171" s="969"/>
      <c r="C171" s="969"/>
      <c r="D171" s="969"/>
      <c r="E171" s="969"/>
      <c r="I171" s="970"/>
      <c r="J171" s="970"/>
      <c r="K171" s="970"/>
      <c r="L171" s="971"/>
    </row>
    <row r="172" spans="1:20" s="883" customFormat="1" ht="10.199999999999999">
      <c r="A172" s="969"/>
      <c r="B172" s="969"/>
      <c r="C172" s="969"/>
      <c r="D172" s="969"/>
      <c r="E172" s="969"/>
      <c r="I172" s="970"/>
      <c r="J172" s="970"/>
      <c r="K172" s="970"/>
      <c r="L172" s="971"/>
    </row>
    <row r="173" spans="1:20" s="883" customFormat="1" ht="10.199999999999999">
      <c r="A173" s="969"/>
      <c r="B173" s="969"/>
      <c r="C173" s="969"/>
      <c r="D173" s="969"/>
      <c r="E173" s="969"/>
      <c r="I173" s="970"/>
      <c r="J173" s="970"/>
      <c r="K173" s="970"/>
      <c r="L173" s="971"/>
    </row>
    <row r="174" spans="1:20" s="883" customFormat="1" ht="10.199999999999999">
      <c r="A174" s="969"/>
      <c r="B174" s="969"/>
      <c r="C174" s="969"/>
      <c r="D174" s="969"/>
      <c r="E174" s="969"/>
      <c r="I174" s="970"/>
      <c r="J174" s="970"/>
      <c r="K174" s="970"/>
      <c r="L174" s="971"/>
    </row>
    <row r="175" spans="1:20" s="883" customFormat="1" ht="10.199999999999999">
      <c r="A175" s="969"/>
      <c r="B175" s="969"/>
      <c r="C175" s="969"/>
      <c r="D175" s="969"/>
      <c r="E175" s="969"/>
      <c r="I175" s="970"/>
      <c r="J175" s="970"/>
      <c r="K175" s="970"/>
      <c r="L175" s="971"/>
    </row>
    <row r="176" spans="1:20" s="883" customFormat="1" ht="10.199999999999999">
      <c r="A176" s="969"/>
      <c r="B176" s="969"/>
      <c r="C176" s="969"/>
      <c r="D176" s="969"/>
      <c r="E176" s="969"/>
      <c r="I176" s="970"/>
      <c r="J176" s="970"/>
      <c r="K176" s="970"/>
      <c r="L176" s="971"/>
    </row>
    <row r="177" spans="1:12" s="883" customFormat="1" ht="10.199999999999999">
      <c r="A177" s="969"/>
      <c r="B177" s="969"/>
      <c r="C177" s="969"/>
      <c r="D177" s="969"/>
      <c r="E177" s="969"/>
      <c r="I177" s="970"/>
      <c r="J177" s="970"/>
      <c r="K177" s="970"/>
      <c r="L177" s="971"/>
    </row>
    <row r="178" spans="1:12" s="883" customFormat="1" ht="10.199999999999999">
      <c r="A178" s="969"/>
      <c r="B178" s="969"/>
      <c r="C178" s="969"/>
      <c r="D178" s="969"/>
      <c r="E178" s="969"/>
      <c r="I178" s="970"/>
      <c r="J178" s="970"/>
      <c r="K178" s="970"/>
      <c r="L178" s="971"/>
    </row>
    <row r="179" spans="1:12" s="883" customFormat="1" ht="10.199999999999999">
      <c r="A179" s="969"/>
      <c r="B179" s="969"/>
      <c r="C179" s="969"/>
      <c r="D179" s="969"/>
      <c r="E179" s="969"/>
      <c r="I179" s="970"/>
      <c r="J179" s="970"/>
      <c r="K179" s="970"/>
      <c r="L179" s="971"/>
    </row>
    <row r="180" spans="1:12" s="883" customFormat="1" ht="10.199999999999999">
      <c r="A180" s="969"/>
      <c r="B180" s="969"/>
      <c r="C180" s="969"/>
      <c r="D180" s="969"/>
      <c r="E180" s="969"/>
      <c r="I180" s="970"/>
      <c r="J180" s="970"/>
      <c r="K180" s="970"/>
      <c r="L180" s="971"/>
    </row>
    <row r="181" spans="1:12" s="883" customFormat="1" ht="10.199999999999999">
      <c r="A181" s="969"/>
      <c r="B181" s="969"/>
      <c r="C181" s="969"/>
      <c r="D181" s="969"/>
      <c r="E181" s="969"/>
      <c r="I181" s="970"/>
      <c r="J181" s="970"/>
      <c r="K181" s="970"/>
      <c r="L181" s="971"/>
    </row>
    <row r="182" spans="1:12" s="883" customFormat="1" ht="10.199999999999999">
      <c r="A182" s="969"/>
      <c r="B182" s="969"/>
      <c r="C182" s="969"/>
      <c r="D182" s="969"/>
      <c r="E182" s="969"/>
      <c r="I182" s="970"/>
      <c r="J182" s="970"/>
      <c r="K182" s="970"/>
      <c r="L182" s="971"/>
    </row>
    <row r="183" spans="1:12" s="883" customFormat="1" ht="10.199999999999999">
      <c r="A183" s="969"/>
      <c r="B183" s="969"/>
      <c r="C183" s="969"/>
      <c r="D183" s="969"/>
      <c r="E183" s="969"/>
      <c r="I183" s="970"/>
      <c r="J183" s="970"/>
      <c r="K183" s="970"/>
      <c r="L183" s="971"/>
    </row>
    <row r="184" spans="1:12" s="883" customFormat="1" ht="10.199999999999999">
      <c r="A184" s="969"/>
      <c r="B184" s="969"/>
      <c r="C184" s="969"/>
      <c r="D184" s="969"/>
      <c r="E184" s="969"/>
      <c r="I184" s="970"/>
      <c r="J184" s="970"/>
      <c r="K184" s="970"/>
      <c r="L184" s="971"/>
    </row>
    <row r="185" spans="1:12" s="883" customFormat="1" ht="10.199999999999999">
      <c r="A185" s="969"/>
      <c r="B185" s="969"/>
      <c r="C185" s="969"/>
      <c r="D185" s="969"/>
      <c r="E185" s="969"/>
      <c r="I185" s="970"/>
      <c r="J185" s="970"/>
      <c r="K185" s="970"/>
      <c r="L185" s="971"/>
    </row>
    <row r="186" spans="1:12" s="883" customFormat="1" ht="10.199999999999999">
      <c r="A186" s="969"/>
      <c r="B186" s="969"/>
      <c r="C186" s="969"/>
      <c r="D186" s="969"/>
      <c r="E186" s="969"/>
      <c r="I186" s="970"/>
      <c r="J186" s="970"/>
      <c r="K186" s="970"/>
      <c r="L186" s="971"/>
    </row>
    <row r="187" spans="1:12" s="883" customFormat="1" ht="10.199999999999999">
      <c r="A187" s="969"/>
      <c r="B187" s="969"/>
      <c r="C187" s="969"/>
      <c r="D187" s="969"/>
      <c r="E187" s="969"/>
      <c r="I187" s="970"/>
      <c r="J187" s="970"/>
      <c r="K187" s="970"/>
      <c r="L187" s="971"/>
    </row>
    <row r="188" spans="1:12" s="883" customFormat="1" ht="10.199999999999999">
      <c r="A188" s="969"/>
      <c r="B188" s="969"/>
      <c r="C188" s="969"/>
      <c r="D188" s="969"/>
      <c r="E188" s="969"/>
      <c r="I188" s="970"/>
      <c r="J188" s="970"/>
      <c r="K188" s="970"/>
      <c r="L188" s="971"/>
    </row>
    <row r="189" spans="1:12" s="883" customFormat="1" ht="10.199999999999999">
      <c r="A189" s="969"/>
      <c r="B189" s="969"/>
      <c r="C189" s="969"/>
      <c r="D189" s="969"/>
      <c r="E189" s="969"/>
      <c r="I189" s="970"/>
      <c r="J189" s="970"/>
      <c r="K189" s="970"/>
      <c r="L189" s="971"/>
    </row>
    <row r="190" spans="1:12" s="883" customFormat="1" ht="10.199999999999999">
      <c r="A190" s="969"/>
      <c r="B190" s="969"/>
      <c r="C190" s="969"/>
      <c r="D190" s="969"/>
      <c r="E190" s="969"/>
      <c r="I190" s="970"/>
      <c r="J190" s="970"/>
      <c r="K190" s="970"/>
      <c r="L190" s="971"/>
    </row>
    <row r="191" spans="1:12" s="883" customFormat="1" ht="10.199999999999999">
      <c r="A191" s="969"/>
      <c r="B191" s="969"/>
      <c r="C191" s="969"/>
      <c r="D191" s="969"/>
      <c r="E191" s="969"/>
      <c r="I191" s="970"/>
      <c r="J191" s="970"/>
      <c r="K191" s="970"/>
      <c r="L191" s="971"/>
    </row>
    <row r="192" spans="1:12" s="883" customFormat="1" ht="10.199999999999999">
      <c r="A192" s="969"/>
      <c r="B192" s="969"/>
      <c r="C192" s="969"/>
      <c r="D192" s="969"/>
      <c r="E192" s="969"/>
      <c r="I192" s="970"/>
      <c r="J192" s="970"/>
      <c r="K192" s="970"/>
      <c r="L192" s="971"/>
    </row>
    <row r="193" spans="1:12" s="883" customFormat="1" ht="10.199999999999999">
      <c r="A193" s="969"/>
      <c r="B193" s="969"/>
      <c r="C193" s="969"/>
      <c r="D193" s="969"/>
      <c r="E193" s="969"/>
      <c r="I193" s="970"/>
      <c r="J193" s="970"/>
      <c r="K193" s="970"/>
      <c r="L193" s="971"/>
    </row>
    <row r="194" spans="1:12" s="883" customFormat="1" ht="10.199999999999999">
      <c r="A194" s="969"/>
      <c r="B194" s="969"/>
      <c r="C194" s="969"/>
      <c r="D194" s="969"/>
      <c r="E194" s="969"/>
      <c r="I194" s="970"/>
      <c r="J194" s="970"/>
      <c r="K194" s="970"/>
      <c r="L194" s="971"/>
    </row>
    <row r="195" spans="1:12" s="883" customFormat="1" ht="10.199999999999999">
      <c r="A195" s="969"/>
      <c r="B195" s="969"/>
      <c r="C195" s="969"/>
      <c r="D195" s="969"/>
      <c r="E195" s="969"/>
      <c r="I195" s="970"/>
      <c r="J195" s="970"/>
      <c r="K195" s="970"/>
      <c r="L195" s="971"/>
    </row>
    <row r="196" spans="1:12" s="883" customFormat="1" ht="10.199999999999999">
      <c r="A196" s="969"/>
      <c r="B196" s="969"/>
      <c r="C196" s="969"/>
      <c r="D196" s="969"/>
      <c r="E196" s="969"/>
      <c r="I196" s="970"/>
      <c r="J196" s="970"/>
      <c r="K196" s="970"/>
      <c r="L196" s="971"/>
    </row>
    <row r="197" spans="1:12" s="883" customFormat="1" ht="10.199999999999999">
      <c r="A197" s="969"/>
      <c r="B197" s="969"/>
      <c r="C197" s="969"/>
      <c r="D197" s="969"/>
      <c r="E197" s="969"/>
      <c r="I197" s="970"/>
      <c r="J197" s="970"/>
      <c r="K197" s="970"/>
      <c r="L197" s="971"/>
    </row>
    <row r="198" spans="1:12" s="883" customFormat="1" ht="10.199999999999999">
      <c r="A198" s="969"/>
      <c r="B198" s="969"/>
      <c r="C198" s="969"/>
      <c r="D198" s="969"/>
      <c r="E198" s="969"/>
      <c r="I198" s="970"/>
      <c r="J198" s="970"/>
      <c r="K198" s="970"/>
      <c r="L198" s="971"/>
    </row>
    <row r="199" spans="1:12" s="883" customFormat="1" ht="10.199999999999999">
      <c r="A199" s="969"/>
      <c r="B199" s="969"/>
      <c r="C199" s="969"/>
      <c r="D199" s="969"/>
      <c r="E199" s="969"/>
      <c r="I199" s="970"/>
      <c r="J199" s="970"/>
      <c r="K199" s="970"/>
      <c r="L199" s="971"/>
    </row>
    <row r="200" spans="1:12" s="883" customFormat="1" ht="10.199999999999999">
      <c r="A200" s="969"/>
      <c r="B200" s="969"/>
      <c r="C200" s="969"/>
      <c r="D200" s="969"/>
      <c r="E200" s="969"/>
      <c r="I200" s="970"/>
      <c r="J200" s="970"/>
      <c r="K200" s="970"/>
      <c r="L200" s="971"/>
    </row>
    <row r="201" spans="1:12" s="883" customFormat="1" ht="10.199999999999999">
      <c r="A201" s="969"/>
      <c r="B201" s="969"/>
      <c r="C201" s="969"/>
      <c r="D201" s="969"/>
      <c r="E201" s="969"/>
      <c r="I201" s="970"/>
      <c r="J201" s="970"/>
      <c r="K201" s="970"/>
      <c r="L201" s="971"/>
    </row>
    <row r="202" spans="1:12" s="883" customFormat="1" ht="10.199999999999999">
      <c r="A202" s="969"/>
      <c r="B202" s="969"/>
      <c r="C202" s="969"/>
      <c r="D202" s="969"/>
      <c r="E202" s="969"/>
      <c r="I202" s="970"/>
      <c r="J202" s="970"/>
      <c r="K202" s="970"/>
      <c r="L202" s="971"/>
    </row>
    <row r="203" spans="1:12" s="883" customFormat="1" ht="10.199999999999999">
      <c r="A203" s="969"/>
      <c r="B203" s="969"/>
      <c r="C203" s="969"/>
      <c r="D203" s="969"/>
      <c r="E203" s="969"/>
      <c r="I203" s="970"/>
      <c r="J203" s="970"/>
      <c r="K203" s="970"/>
      <c r="L203" s="971"/>
    </row>
    <row r="204" spans="1:12" s="883" customFormat="1" ht="10.199999999999999">
      <c r="A204" s="969"/>
      <c r="B204" s="969"/>
      <c r="C204" s="969"/>
      <c r="D204" s="969"/>
      <c r="E204" s="969"/>
      <c r="I204" s="970"/>
      <c r="J204" s="970"/>
      <c r="K204" s="970"/>
      <c r="L204" s="971"/>
    </row>
    <row r="205" spans="1:12" s="883" customFormat="1" ht="10.199999999999999">
      <c r="A205" s="969"/>
      <c r="B205" s="969"/>
      <c r="C205" s="969"/>
      <c r="D205" s="969"/>
      <c r="E205" s="969"/>
      <c r="I205" s="970"/>
      <c r="J205" s="970"/>
      <c r="K205" s="970"/>
      <c r="L205" s="971"/>
    </row>
    <row r="206" spans="1:12" s="883" customFormat="1" ht="10.199999999999999">
      <c r="A206" s="969"/>
      <c r="B206" s="969"/>
      <c r="C206" s="969"/>
      <c r="D206" s="969"/>
      <c r="E206" s="969"/>
      <c r="I206" s="970"/>
      <c r="J206" s="970"/>
      <c r="K206" s="970"/>
      <c r="L206" s="971"/>
    </row>
    <row r="207" spans="1:12" s="883" customFormat="1" ht="10.199999999999999">
      <c r="A207" s="969"/>
      <c r="B207" s="969"/>
      <c r="C207" s="969"/>
      <c r="D207" s="969"/>
      <c r="E207" s="969"/>
      <c r="I207" s="970"/>
      <c r="J207" s="970"/>
      <c r="K207" s="970"/>
      <c r="L207" s="971"/>
    </row>
    <row r="208" spans="1:12" s="883" customFormat="1" ht="10.199999999999999">
      <c r="A208" s="969"/>
      <c r="B208" s="969"/>
      <c r="C208" s="969"/>
      <c r="D208" s="969"/>
      <c r="E208" s="969"/>
      <c r="I208" s="970"/>
      <c r="J208" s="970"/>
      <c r="K208" s="970"/>
      <c r="L208" s="971"/>
    </row>
    <row r="209" spans="1:12" s="883" customFormat="1" ht="10.199999999999999">
      <c r="A209" s="969"/>
      <c r="B209" s="969"/>
      <c r="C209" s="969"/>
      <c r="D209" s="969"/>
      <c r="E209" s="969"/>
      <c r="I209" s="970"/>
      <c r="J209" s="970"/>
      <c r="K209" s="970"/>
      <c r="L209" s="971"/>
    </row>
    <row r="210" spans="1:12" s="883" customFormat="1" ht="10.199999999999999">
      <c r="A210" s="969"/>
      <c r="B210" s="969"/>
      <c r="C210" s="969"/>
      <c r="D210" s="969"/>
      <c r="E210" s="969"/>
      <c r="I210" s="970"/>
      <c r="J210" s="970"/>
      <c r="K210" s="970"/>
      <c r="L210" s="971"/>
    </row>
    <row r="211" spans="1:12" s="883" customFormat="1" ht="10.199999999999999">
      <c r="A211" s="969"/>
      <c r="B211" s="969"/>
      <c r="C211" s="969"/>
      <c r="D211" s="969"/>
      <c r="E211" s="969"/>
      <c r="I211" s="970"/>
      <c r="J211" s="970"/>
      <c r="K211" s="970"/>
      <c r="L211" s="971"/>
    </row>
    <row r="212" spans="1:12" s="883" customFormat="1" ht="10.199999999999999">
      <c r="A212" s="969"/>
      <c r="B212" s="969"/>
      <c r="C212" s="969"/>
      <c r="D212" s="969"/>
      <c r="E212" s="969"/>
      <c r="I212" s="970"/>
      <c r="J212" s="970"/>
      <c r="K212" s="970"/>
      <c r="L212" s="971"/>
    </row>
    <row r="213" spans="1:12" s="883" customFormat="1" ht="10.199999999999999">
      <c r="A213" s="969"/>
      <c r="B213" s="969"/>
      <c r="C213" s="969"/>
      <c r="D213" s="969"/>
      <c r="E213" s="969"/>
      <c r="I213" s="970"/>
      <c r="J213" s="970"/>
      <c r="K213" s="970"/>
      <c r="L213" s="971"/>
    </row>
    <row r="214" spans="1:12" s="883" customFormat="1" ht="10.199999999999999">
      <c r="A214" s="969"/>
      <c r="B214" s="969"/>
      <c r="C214" s="969"/>
      <c r="D214" s="969"/>
      <c r="E214" s="969"/>
      <c r="I214" s="970"/>
      <c r="J214" s="970"/>
      <c r="K214" s="970"/>
      <c r="L214" s="971"/>
    </row>
    <row r="215" spans="1:12" s="883" customFormat="1" ht="10.199999999999999">
      <c r="A215" s="969"/>
      <c r="B215" s="969"/>
      <c r="C215" s="969"/>
      <c r="D215" s="969"/>
      <c r="E215" s="969"/>
      <c r="I215" s="970"/>
      <c r="J215" s="970"/>
      <c r="K215" s="970"/>
      <c r="L215" s="971"/>
    </row>
    <row r="216" spans="1:12" s="883" customFormat="1" ht="10.199999999999999">
      <c r="A216" s="969"/>
      <c r="B216" s="969"/>
      <c r="C216" s="969"/>
      <c r="D216" s="969"/>
      <c r="E216" s="969"/>
      <c r="I216" s="970"/>
      <c r="J216" s="970"/>
      <c r="K216" s="970"/>
      <c r="L216" s="971"/>
    </row>
    <row r="217" spans="1:12" s="883" customFormat="1" ht="10.199999999999999">
      <c r="A217" s="969"/>
      <c r="B217" s="969"/>
      <c r="C217" s="969"/>
      <c r="D217" s="969"/>
      <c r="E217" s="969"/>
      <c r="I217" s="970"/>
      <c r="J217" s="970"/>
      <c r="K217" s="970"/>
      <c r="L217" s="971"/>
    </row>
    <row r="225" spans="1:12" s="883" customFormat="1">
      <c r="A225" s="972"/>
      <c r="B225" s="972"/>
      <c r="C225" s="972"/>
      <c r="D225" s="972"/>
      <c r="E225" s="972"/>
      <c r="F225" s="851"/>
      <c r="I225" s="970"/>
      <c r="J225" s="970"/>
      <c r="K225" s="970"/>
      <c r="L225" s="971"/>
    </row>
    <row r="226" spans="1:12" s="883" customFormat="1">
      <c r="A226" s="972"/>
      <c r="B226" s="972"/>
      <c r="C226" s="972"/>
      <c r="D226" s="972"/>
      <c r="E226" s="972"/>
      <c r="F226" s="851"/>
      <c r="I226" s="970"/>
      <c r="J226" s="970"/>
      <c r="K226" s="970"/>
      <c r="L226" s="971"/>
    </row>
    <row r="227" spans="1:12" s="883" customFormat="1">
      <c r="A227" s="972"/>
      <c r="B227" s="972"/>
      <c r="C227" s="972"/>
      <c r="D227" s="972"/>
      <c r="E227" s="972"/>
      <c r="F227" s="851"/>
      <c r="I227" s="970"/>
      <c r="J227" s="970"/>
      <c r="K227" s="970"/>
      <c r="L227" s="971"/>
    </row>
    <row r="228" spans="1:12" s="883" customFormat="1">
      <c r="A228" s="972"/>
      <c r="B228" s="972"/>
      <c r="C228" s="972"/>
      <c r="D228" s="972"/>
      <c r="E228" s="972"/>
      <c r="F228" s="851"/>
      <c r="I228" s="970"/>
      <c r="J228" s="970"/>
      <c r="K228" s="970"/>
      <c r="L228" s="971"/>
    </row>
    <row r="229" spans="1:12" s="883" customFormat="1">
      <c r="A229" s="972"/>
      <c r="B229" s="972"/>
      <c r="C229" s="972"/>
      <c r="D229" s="972"/>
      <c r="E229" s="972"/>
      <c r="F229" s="851"/>
      <c r="I229" s="970"/>
      <c r="J229" s="970"/>
      <c r="K229" s="970"/>
      <c r="L229" s="971"/>
    </row>
    <row r="230" spans="1:12" s="883" customFormat="1">
      <c r="A230" s="972"/>
      <c r="B230" s="972"/>
      <c r="C230" s="972"/>
      <c r="D230" s="972"/>
      <c r="E230" s="972"/>
      <c r="F230" s="851"/>
      <c r="I230" s="970"/>
      <c r="J230" s="970"/>
      <c r="K230" s="970"/>
      <c r="L230" s="971"/>
    </row>
    <row r="231" spans="1:12" s="883" customFormat="1">
      <c r="A231" s="972"/>
      <c r="B231" s="972"/>
      <c r="C231" s="972"/>
      <c r="D231" s="972"/>
      <c r="E231" s="972"/>
      <c r="F231" s="851"/>
      <c r="I231" s="970"/>
      <c r="J231" s="970"/>
      <c r="K231" s="970"/>
      <c r="L231" s="971"/>
    </row>
    <row r="232" spans="1:12" s="883" customFormat="1">
      <c r="A232" s="972"/>
      <c r="B232" s="972"/>
      <c r="C232" s="972"/>
      <c r="D232" s="972"/>
      <c r="E232" s="972"/>
      <c r="F232" s="851"/>
      <c r="I232" s="970"/>
      <c r="J232" s="970"/>
      <c r="K232" s="970"/>
      <c r="L232" s="971"/>
    </row>
    <row r="233" spans="1:12" s="883" customFormat="1">
      <c r="A233" s="972"/>
      <c r="B233" s="972"/>
      <c r="C233" s="972"/>
      <c r="D233" s="972"/>
      <c r="E233" s="972"/>
      <c r="F233" s="851"/>
      <c r="I233" s="970"/>
      <c r="J233" s="970"/>
      <c r="K233" s="970"/>
      <c r="L233" s="971"/>
    </row>
    <row r="234" spans="1:12" s="883" customFormat="1">
      <c r="A234" s="972"/>
      <c r="B234" s="972"/>
      <c r="C234" s="972"/>
      <c r="D234" s="972"/>
      <c r="E234" s="972"/>
      <c r="F234" s="851"/>
      <c r="I234" s="970"/>
      <c r="J234" s="970"/>
      <c r="K234" s="970"/>
      <c r="L234" s="971"/>
    </row>
    <row r="235" spans="1:12" s="883" customFormat="1">
      <c r="A235" s="972"/>
      <c r="B235" s="972"/>
      <c r="C235" s="972"/>
      <c r="D235" s="972"/>
      <c r="E235" s="972"/>
      <c r="F235" s="851"/>
      <c r="I235" s="970"/>
      <c r="J235" s="970"/>
      <c r="K235" s="970"/>
      <c r="L235" s="971"/>
    </row>
    <row r="236" spans="1:12" s="883" customFormat="1">
      <c r="A236" s="972"/>
      <c r="B236" s="972"/>
      <c r="C236" s="972"/>
      <c r="D236" s="972"/>
      <c r="E236" s="972"/>
      <c r="F236" s="851"/>
      <c r="I236" s="970"/>
      <c r="J236" s="970"/>
      <c r="K236" s="970"/>
      <c r="L236" s="971"/>
    </row>
    <row r="237" spans="1:12" s="883" customFormat="1">
      <c r="A237" s="972"/>
      <c r="B237" s="972"/>
      <c r="C237" s="972"/>
      <c r="D237" s="972"/>
      <c r="E237" s="972"/>
      <c r="F237" s="851"/>
      <c r="I237" s="970"/>
      <c r="J237" s="970"/>
      <c r="K237" s="970"/>
      <c r="L237" s="971"/>
    </row>
    <row r="238" spans="1:12" s="883" customFormat="1">
      <c r="A238" s="972"/>
      <c r="B238" s="972"/>
      <c r="C238" s="972"/>
      <c r="D238" s="972"/>
      <c r="E238" s="972"/>
      <c r="F238" s="851"/>
      <c r="I238" s="970"/>
      <c r="J238" s="970"/>
      <c r="K238" s="970"/>
      <c r="L238" s="971"/>
    </row>
    <row r="239" spans="1:12" s="883" customFormat="1">
      <c r="A239" s="972"/>
      <c r="B239" s="972"/>
      <c r="C239" s="972"/>
      <c r="D239" s="972"/>
      <c r="E239" s="972"/>
      <c r="F239" s="851"/>
      <c r="I239" s="970"/>
      <c r="J239" s="970"/>
      <c r="K239" s="970"/>
      <c r="L239" s="971"/>
    </row>
    <row r="240" spans="1:12" s="883" customFormat="1">
      <c r="A240" s="972"/>
      <c r="B240" s="972"/>
      <c r="C240" s="972"/>
      <c r="D240" s="972"/>
      <c r="E240" s="972"/>
      <c r="F240" s="851"/>
      <c r="I240" s="970"/>
      <c r="J240" s="970"/>
      <c r="K240" s="970"/>
      <c r="L240" s="971"/>
    </row>
    <row r="241" spans="1:12" s="883" customFormat="1">
      <c r="A241" s="972"/>
      <c r="B241" s="972"/>
      <c r="C241" s="972"/>
      <c r="D241" s="972"/>
      <c r="E241" s="972"/>
      <c r="F241" s="851"/>
      <c r="I241" s="970"/>
      <c r="J241" s="970"/>
      <c r="K241" s="970"/>
      <c r="L241" s="971"/>
    </row>
    <row r="242" spans="1:12" s="883" customFormat="1">
      <c r="A242" s="972"/>
      <c r="B242" s="972"/>
      <c r="C242" s="972"/>
      <c r="D242" s="972"/>
      <c r="E242" s="972"/>
      <c r="F242" s="851"/>
      <c r="I242" s="970"/>
      <c r="J242" s="970"/>
      <c r="K242" s="970"/>
      <c r="L242" s="971"/>
    </row>
    <row r="243" spans="1:12" s="883" customFormat="1">
      <c r="A243" s="972"/>
      <c r="B243" s="972"/>
      <c r="C243" s="972"/>
      <c r="D243" s="972"/>
      <c r="E243" s="972"/>
      <c r="F243" s="851"/>
      <c r="I243" s="970"/>
      <c r="J243" s="970"/>
      <c r="K243" s="970"/>
      <c r="L243" s="971"/>
    </row>
    <row r="244" spans="1:12" s="883" customFormat="1">
      <c r="A244" s="972"/>
      <c r="B244" s="972"/>
      <c r="C244" s="972"/>
      <c r="D244" s="972"/>
      <c r="E244" s="972"/>
      <c r="F244" s="851"/>
      <c r="I244" s="970"/>
      <c r="J244" s="970"/>
      <c r="K244" s="970"/>
      <c r="L244" s="971"/>
    </row>
    <row r="245" spans="1:12" s="883" customFormat="1">
      <c r="A245" s="972"/>
      <c r="B245" s="972"/>
      <c r="C245" s="972"/>
      <c r="D245" s="972"/>
      <c r="E245" s="972"/>
      <c r="F245" s="851"/>
      <c r="I245" s="970"/>
      <c r="J245" s="970"/>
      <c r="K245" s="970"/>
      <c r="L245" s="971"/>
    </row>
    <row r="246" spans="1:12" s="883" customFormat="1">
      <c r="A246" s="972"/>
      <c r="B246" s="972"/>
      <c r="C246" s="972"/>
      <c r="D246" s="972"/>
      <c r="E246" s="972"/>
      <c r="F246" s="851"/>
      <c r="I246" s="970"/>
      <c r="J246" s="970"/>
      <c r="K246" s="970"/>
      <c r="L246" s="971"/>
    </row>
    <row r="247" spans="1:12" s="883" customFormat="1">
      <c r="A247" s="972"/>
      <c r="B247" s="972"/>
      <c r="C247" s="972"/>
      <c r="D247" s="972"/>
      <c r="E247" s="972"/>
      <c r="F247" s="851"/>
      <c r="I247" s="970"/>
      <c r="J247" s="970"/>
      <c r="K247" s="970"/>
      <c r="L247" s="971"/>
    </row>
    <row r="248" spans="1:12" s="883" customFormat="1">
      <c r="A248" s="972"/>
      <c r="B248" s="972"/>
      <c r="C248" s="972"/>
      <c r="D248" s="972"/>
      <c r="E248" s="972"/>
      <c r="F248" s="851"/>
      <c r="I248" s="970"/>
      <c r="J248" s="970"/>
      <c r="K248" s="970"/>
      <c r="L248" s="971"/>
    </row>
    <row r="249" spans="1:12" s="883" customFormat="1">
      <c r="A249" s="972"/>
      <c r="B249" s="972"/>
      <c r="C249" s="972"/>
      <c r="D249" s="972"/>
      <c r="E249" s="972"/>
      <c r="F249" s="851"/>
      <c r="I249" s="970"/>
      <c r="J249" s="970"/>
      <c r="K249" s="970"/>
      <c r="L249" s="971"/>
    </row>
    <row r="250" spans="1:12" s="883" customFormat="1">
      <c r="A250" s="972"/>
      <c r="B250" s="972"/>
      <c r="C250" s="972"/>
      <c r="D250" s="972"/>
      <c r="E250" s="972"/>
      <c r="F250" s="851"/>
      <c r="I250" s="970"/>
      <c r="J250" s="970"/>
      <c r="K250" s="970"/>
      <c r="L250" s="971"/>
    </row>
    <row r="251" spans="1:12" s="883" customFormat="1">
      <c r="A251" s="972"/>
      <c r="B251" s="972"/>
      <c r="C251" s="972"/>
      <c r="D251" s="972"/>
      <c r="E251" s="972"/>
      <c r="F251" s="851"/>
      <c r="I251" s="970"/>
      <c r="J251" s="970"/>
      <c r="K251" s="970"/>
      <c r="L251" s="971"/>
    </row>
    <row r="252" spans="1:12" s="883" customFormat="1">
      <c r="A252" s="972"/>
      <c r="B252" s="972"/>
      <c r="C252" s="972"/>
      <c r="D252" s="972"/>
      <c r="E252" s="972"/>
      <c r="F252" s="851"/>
      <c r="I252" s="970"/>
      <c r="J252" s="970"/>
      <c r="K252" s="970"/>
      <c r="L252" s="971"/>
    </row>
    <row r="253" spans="1:12" s="883" customFormat="1">
      <c r="A253" s="972"/>
      <c r="B253" s="972"/>
      <c r="C253" s="972"/>
      <c r="D253" s="972"/>
      <c r="E253" s="972"/>
      <c r="F253" s="851"/>
      <c r="I253" s="970"/>
      <c r="J253" s="970"/>
      <c r="K253" s="970"/>
      <c r="L253" s="971"/>
    </row>
    <row r="254" spans="1:12" s="883" customFormat="1">
      <c r="A254" s="972"/>
      <c r="B254" s="972"/>
      <c r="C254" s="972"/>
      <c r="D254" s="972"/>
      <c r="E254" s="972"/>
      <c r="F254" s="851"/>
      <c r="I254" s="970"/>
      <c r="J254" s="970"/>
      <c r="K254" s="970"/>
      <c r="L254" s="971"/>
    </row>
    <row r="255" spans="1:12" s="883" customFormat="1">
      <c r="A255" s="972"/>
      <c r="B255" s="972"/>
      <c r="C255" s="972"/>
      <c r="D255" s="972"/>
      <c r="E255" s="972"/>
      <c r="F255" s="851"/>
      <c r="I255" s="970"/>
      <c r="J255" s="970"/>
      <c r="K255" s="970"/>
      <c r="L255" s="971"/>
    </row>
    <row r="256" spans="1:12" s="883" customFormat="1">
      <c r="A256" s="972"/>
      <c r="B256" s="972"/>
      <c r="C256" s="972"/>
      <c r="D256" s="972"/>
      <c r="E256" s="972"/>
      <c r="F256" s="851"/>
      <c r="I256" s="970"/>
      <c r="J256" s="970"/>
      <c r="K256" s="970"/>
      <c r="L256" s="971"/>
    </row>
    <row r="257" spans="1:12" s="883" customFormat="1">
      <c r="A257" s="972"/>
      <c r="B257" s="972"/>
      <c r="C257" s="972"/>
      <c r="D257" s="972"/>
      <c r="E257" s="972"/>
      <c r="F257" s="851"/>
      <c r="I257" s="970"/>
      <c r="J257" s="970"/>
      <c r="K257" s="970"/>
      <c r="L257" s="971"/>
    </row>
    <row r="258" spans="1:12" s="883" customFormat="1">
      <c r="A258" s="972"/>
      <c r="B258" s="972"/>
      <c r="C258" s="972"/>
      <c r="D258" s="972"/>
      <c r="E258" s="972"/>
      <c r="F258" s="851"/>
      <c r="I258" s="970"/>
      <c r="J258" s="970"/>
      <c r="K258" s="970"/>
      <c r="L258" s="971"/>
    </row>
    <row r="259" spans="1:12" s="883" customFormat="1">
      <c r="A259" s="972"/>
      <c r="B259" s="972"/>
      <c r="C259" s="972"/>
      <c r="D259" s="972"/>
      <c r="E259" s="972"/>
      <c r="F259" s="851"/>
      <c r="I259" s="970"/>
      <c r="J259" s="970"/>
      <c r="K259" s="970"/>
      <c r="L259" s="971"/>
    </row>
    <row r="260" spans="1:12" s="883" customFormat="1">
      <c r="A260" s="972"/>
      <c r="B260" s="972"/>
      <c r="C260" s="972"/>
      <c r="D260" s="972"/>
      <c r="E260" s="972"/>
      <c r="F260" s="851"/>
      <c r="I260" s="970"/>
      <c r="J260" s="970"/>
      <c r="K260" s="970"/>
      <c r="L260" s="971"/>
    </row>
    <row r="261" spans="1:12" s="883" customFormat="1">
      <c r="A261" s="972"/>
      <c r="B261" s="972"/>
      <c r="C261" s="972"/>
      <c r="D261" s="972"/>
      <c r="E261" s="972"/>
      <c r="F261" s="851"/>
      <c r="I261" s="970"/>
      <c r="J261" s="970"/>
      <c r="K261" s="970"/>
      <c r="L261" s="971"/>
    </row>
    <row r="262" spans="1:12" s="883" customFormat="1">
      <c r="A262" s="972"/>
      <c r="B262" s="972"/>
      <c r="C262" s="972"/>
      <c r="D262" s="972"/>
      <c r="E262" s="972"/>
      <c r="F262" s="851"/>
      <c r="I262" s="970"/>
      <c r="J262" s="970"/>
      <c r="K262" s="970"/>
      <c r="L262" s="971"/>
    </row>
    <row r="263" spans="1:12" s="883" customFormat="1">
      <c r="A263" s="972"/>
      <c r="B263" s="972"/>
      <c r="C263" s="972"/>
      <c r="D263" s="972"/>
      <c r="E263" s="972"/>
      <c r="F263" s="851"/>
      <c r="I263" s="970"/>
      <c r="J263" s="970"/>
      <c r="K263" s="970"/>
      <c r="L263" s="971"/>
    </row>
    <row r="264" spans="1:12" s="883" customFormat="1">
      <c r="A264" s="972"/>
      <c r="B264" s="972"/>
      <c r="C264" s="972"/>
      <c r="D264" s="972"/>
      <c r="E264" s="972"/>
      <c r="F264" s="851"/>
      <c r="I264" s="970"/>
      <c r="J264" s="970"/>
      <c r="K264" s="970"/>
      <c r="L264" s="971"/>
    </row>
    <row r="265" spans="1:12" s="883" customFormat="1">
      <c r="A265" s="972"/>
      <c r="B265" s="972"/>
      <c r="C265" s="972"/>
      <c r="D265" s="972"/>
      <c r="E265" s="972"/>
      <c r="F265" s="851"/>
      <c r="I265" s="970"/>
      <c r="J265" s="970"/>
      <c r="K265" s="970"/>
      <c r="L265" s="971"/>
    </row>
    <row r="266" spans="1:12" s="883" customFormat="1">
      <c r="A266" s="972"/>
      <c r="B266" s="972"/>
      <c r="C266" s="972"/>
      <c r="D266" s="972"/>
      <c r="E266" s="972"/>
      <c r="F266" s="851"/>
      <c r="I266" s="970"/>
      <c r="J266" s="970"/>
      <c r="K266" s="970"/>
      <c r="L266" s="971"/>
    </row>
    <row r="267" spans="1:12" s="883" customFormat="1">
      <c r="A267" s="972"/>
      <c r="B267" s="972"/>
      <c r="C267" s="972"/>
      <c r="D267" s="972"/>
      <c r="E267" s="972"/>
      <c r="F267" s="851"/>
      <c r="I267" s="970"/>
      <c r="J267" s="970"/>
      <c r="K267" s="970"/>
      <c r="L267" s="971"/>
    </row>
    <row r="268" spans="1:12" s="883" customFormat="1">
      <c r="A268" s="972"/>
      <c r="B268" s="972"/>
      <c r="C268" s="972"/>
      <c r="D268" s="972"/>
      <c r="E268" s="972"/>
      <c r="F268" s="851"/>
      <c r="I268" s="970"/>
      <c r="J268" s="970"/>
      <c r="K268" s="970"/>
      <c r="L268" s="971"/>
    </row>
    <row r="269" spans="1:12" s="883" customFormat="1">
      <c r="A269" s="972"/>
      <c r="B269" s="972"/>
      <c r="C269" s="972"/>
      <c r="D269" s="972"/>
      <c r="E269" s="972"/>
      <c r="F269" s="851"/>
      <c r="I269" s="970"/>
      <c r="J269" s="970"/>
      <c r="K269" s="970"/>
      <c r="L269" s="971"/>
    </row>
    <row r="270" spans="1:12" s="883" customFormat="1">
      <c r="A270" s="972"/>
      <c r="B270" s="972"/>
      <c r="C270" s="972"/>
      <c r="D270" s="972"/>
      <c r="E270" s="972"/>
      <c r="F270" s="851"/>
      <c r="I270" s="970"/>
      <c r="J270" s="970"/>
      <c r="K270" s="970"/>
      <c r="L270" s="971"/>
    </row>
    <row r="271" spans="1:12" s="883" customFormat="1">
      <c r="A271" s="972"/>
      <c r="B271" s="972"/>
      <c r="C271" s="972"/>
      <c r="D271" s="972"/>
      <c r="E271" s="972"/>
      <c r="F271" s="851"/>
      <c r="I271" s="970"/>
      <c r="J271" s="970"/>
      <c r="K271" s="970"/>
      <c r="L271" s="971"/>
    </row>
    <row r="272" spans="1:12" s="883" customFormat="1">
      <c r="A272" s="972"/>
      <c r="B272" s="972"/>
      <c r="C272" s="972"/>
      <c r="D272" s="972"/>
      <c r="E272" s="972"/>
      <c r="F272" s="851"/>
      <c r="I272" s="970"/>
      <c r="J272" s="970"/>
      <c r="K272" s="970"/>
      <c r="L272" s="971"/>
    </row>
    <row r="273" spans="1:12" s="883" customFormat="1">
      <c r="A273" s="972"/>
      <c r="B273" s="972"/>
      <c r="C273" s="972"/>
      <c r="D273" s="972"/>
      <c r="E273" s="972"/>
      <c r="F273" s="851"/>
      <c r="I273" s="970"/>
      <c r="J273" s="970"/>
      <c r="K273" s="970"/>
      <c r="L273" s="971"/>
    </row>
    <row r="274" spans="1:12" s="883" customFormat="1">
      <c r="A274" s="972"/>
      <c r="B274" s="972"/>
      <c r="C274" s="972"/>
      <c r="D274" s="972"/>
      <c r="E274" s="972"/>
      <c r="F274" s="851"/>
      <c r="I274" s="970"/>
      <c r="J274" s="970"/>
      <c r="K274" s="970"/>
      <c r="L274" s="971"/>
    </row>
    <row r="275" spans="1:12" s="883" customFormat="1">
      <c r="A275" s="972"/>
      <c r="B275" s="972"/>
      <c r="C275" s="972"/>
      <c r="D275" s="972"/>
      <c r="E275" s="972"/>
      <c r="F275" s="851"/>
      <c r="I275" s="970"/>
      <c r="J275" s="970"/>
      <c r="K275" s="970"/>
      <c r="L275" s="971"/>
    </row>
    <row r="276" spans="1:12" s="883" customFormat="1">
      <c r="A276" s="972"/>
      <c r="B276" s="972"/>
      <c r="C276" s="972"/>
      <c r="D276" s="972"/>
      <c r="E276" s="972"/>
      <c r="F276" s="851"/>
      <c r="I276" s="970"/>
      <c r="J276" s="970"/>
      <c r="K276" s="970"/>
      <c r="L276" s="971"/>
    </row>
    <row r="277" spans="1:12" s="883" customFormat="1">
      <c r="A277" s="972"/>
      <c r="B277" s="972"/>
      <c r="C277" s="972"/>
      <c r="D277" s="972"/>
      <c r="E277" s="972"/>
      <c r="F277" s="851"/>
      <c r="I277" s="970"/>
      <c r="J277" s="970"/>
      <c r="K277" s="970"/>
      <c r="L277" s="971"/>
    </row>
    <row r="278" spans="1:12" s="883" customFormat="1">
      <c r="A278" s="972"/>
      <c r="B278" s="972"/>
      <c r="C278" s="972"/>
      <c r="D278" s="972"/>
      <c r="E278" s="972"/>
      <c r="F278" s="851"/>
      <c r="I278" s="970"/>
      <c r="J278" s="970"/>
      <c r="K278" s="970"/>
      <c r="L278" s="971"/>
    </row>
    <row r="279" spans="1:12" s="883" customFormat="1">
      <c r="A279" s="972"/>
      <c r="B279" s="972"/>
      <c r="C279" s="972"/>
      <c r="D279" s="972"/>
      <c r="E279" s="972"/>
      <c r="F279" s="851"/>
      <c r="I279" s="970"/>
      <c r="J279" s="970"/>
      <c r="K279" s="970"/>
      <c r="L279" s="971"/>
    </row>
    <row r="280" spans="1:12" s="883" customFormat="1">
      <c r="A280" s="972"/>
      <c r="B280" s="972"/>
      <c r="C280" s="972"/>
      <c r="D280" s="972"/>
      <c r="E280" s="972"/>
      <c r="F280" s="851"/>
      <c r="I280" s="970"/>
      <c r="J280" s="970"/>
      <c r="K280" s="970"/>
      <c r="L280" s="971"/>
    </row>
    <row r="281" spans="1:12" s="883" customFormat="1">
      <c r="A281" s="972"/>
      <c r="B281" s="972"/>
      <c r="C281" s="972"/>
      <c r="D281" s="972"/>
      <c r="E281" s="972"/>
      <c r="F281" s="851"/>
      <c r="I281" s="970"/>
      <c r="J281" s="970"/>
      <c r="K281" s="970"/>
      <c r="L281" s="971"/>
    </row>
  </sheetData>
  <mergeCells count="32">
    <mergeCell ref="A160:H160"/>
    <mergeCell ref="A162:H162"/>
    <mergeCell ref="A124:H124"/>
    <mergeCell ref="A131:H131"/>
    <mergeCell ref="A135:H135"/>
    <mergeCell ref="D143:F143"/>
    <mergeCell ref="D144:F144"/>
    <mergeCell ref="A168:H168"/>
    <mergeCell ref="D146:F146"/>
    <mergeCell ref="D147:F147"/>
    <mergeCell ref="D148:F148"/>
    <mergeCell ref="A156:H156"/>
    <mergeCell ref="A86:H86"/>
    <mergeCell ref="A90:H90"/>
    <mergeCell ref="D145:F145"/>
    <mergeCell ref="A98:H98"/>
    <mergeCell ref="A102:J102"/>
    <mergeCell ref="K102:L102"/>
    <mergeCell ref="A104:H105"/>
    <mergeCell ref="I104:I105"/>
    <mergeCell ref="J104:J105"/>
    <mergeCell ref="K104:L104"/>
    <mergeCell ref="A92:H92"/>
    <mergeCell ref="C28:F28"/>
    <mergeCell ref="A37:H37"/>
    <mergeCell ref="C46:F46"/>
    <mergeCell ref="A1:J1"/>
    <mergeCell ref="K1:L1"/>
    <mergeCell ref="A3:H4"/>
    <mergeCell ref="I3:I4"/>
    <mergeCell ref="J3:J4"/>
    <mergeCell ref="K3:L3"/>
  </mergeCells>
  <printOptions horizontalCentered="1"/>
  <pageMargins left="0.27559055118110237" right="0.31496062992125984" top="0.86614173228346458" bottom="0.82677165354330717" header="0.27559055118110237" footer="0.19685039370078741"/>
  <pageSetup paperSize="8" fitToHeight="2" orientation="portrait" r:id="rId1"/>
  <headerFooter alignWithMargins="0"/>
  <rowBreaks count="2" manualBreakCount="2">
    <brk id="100" max="16383" man="1"/>
    <brk id="1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  <pageSetUpPr fitToPage="1"/>
  </sheetPr>
  <dimension ref="A1:J265"/>
  <sheetViews>
    <sheetView zoomScale="95" zoomScaleNormal="95" workbookViewId="0">
      <pane ySplit="2" topLeftCell="A171" activePane="bottomLeft" state="frozen"/>
      <selection activeCell="E29" sqref="E29"/>
      <selection pane="bottomLeft" activeCell="K1" sqref="K1:S65536"/>
    </sheetView>
  </sheetViews>
  <sheetFormatPr defaultRowHeight="13.2"/>
  <cols>
    <col min="1" max="4" width="4" style="1158" bestFit="1" customWidth="1"/>
    <col min="5" max="5" width="3" style="1158" bestFit="1" customWidth="1"/>
    <col min="6" max="6" width="3.33203125" style="1158" customWidth="1"/>
    <col min="7" max="7" width="70.44140625" style="1158" customWidth="1"/>
    <col min="8" max="8" width="15.6640625" style="1236" bestFit="1" customWidth="1"/>
    <col min="9" max="9" width="15.6640625" style="1236" customWidth="1"/>
    <col min="10" max="10" width="16" style="1158" customWidth="1"/>
    <col min="11" max="16384" width="8.88671875" style="1158"/>
  </cols>
  <sheetData>
    <row r="1" spans="1:10" ht="21" customHeight="1" thickBot="1">
      <c r="A1" s="1534" t="s">
        <v>120</v>
      </c>
      <c r="B1" s="1535"/>
      <c r="C1" s="1535"/>
      <c r="D1" s="1535"/>
      <c r="E1" s="1535"/>
      <c r="F1" s="1536"/>
      <c r="G1" s="1537" t="s">
        <v>3404</v>
      </c>
      <c r="H1" s="1539" t="s">
        <v>3939</v>
      </c>
      <c r="I1" s="1539" t="s">
        <v>3405</v>
      </c>
      <c r="J1" s="1541" t="s">
        <v>3406</v>
      </c>
    </row>
    <row r="2" spans="1:10" s="1160" customFormat="1" ht="21" customHeight="1" thickBot="1">
      <c r="A2" s="1159" t="s">
        <v>123</v>
      </c>
      <c r="B2" s="1159" t="s">
        <v>124</v>
      </c>
      <c r="C2" s="1159" t="s">
        <v>125</v>
      </c>
      <c r="D2" s="1159" t="s">
        <v>126</v>
      </c>
      <c r="E2" s="1159" t="s">
        <v>127</v>
      </c>
      <c r="F2" s="1159" t="s">
        <v>128</v>
      </c>
      <c r="G2" s="1538"/>
      <c r="H2" s="1540"/>
      <c r="I2" s="1540"/>
      <c r="J2" s="1542"/>
    </row>
    <row r="3" spans="1:10" s="1167" customFormat="1">
      <c r="A3" s="1161">
        <v>10</v>
      </c>
      <c r="B3" s="1162">
        <v>0</v>
      </c>
      <c r="C3" s="1162">
        <v>0</v>
      </c>
      <c r="D3" s="1162">
        <v>0</v>
      </c>
      <c r="E3" s="1162">
        <v>0</v>
      </c>
      <c r="F3" s="1163">
        <v>0</v>
      </c>
      <c r="G3" s="1164" t="s">
        <v>3407</v>
      </c>
      <c r="H3" s="1165"/>
      <c r="I3" s="1165"/>
      <c r="J3" s="1166"/>
    </row>
    <row r="4" spans="1:10" s="1160" customFormat="1">
      <c r="A4" s="1168">
        <v>10</v>
      </c>
      <c r="B4" s="1169">
        <v>100</v>
      </c>
      <c r="C4" s="1169"/>
      <c r="D4" s="1169"/>
      <c r="E4" s="1169"/>
      <c r="F4" s="1170"/>
      <c r="G4" s="1171" t="s">
        <v>3408</v>
      </c>
      <c r="H4" s="1172"/>
      <c r="I4" s="1172"/>
      <c r="J4" s="1173" t="s">
        <v>2775</v>
      </c>
    </row>
    <row r="5" spans="1:10" s="1160" customFormat="1">
      <c r="A5" s="1168">
        <v>10</v>
      </c>
      <c r="B5" s="1169">
        <v>200</v>
      </c>
      <c r="C5" s="1169"/>
      <c r="D5" s="1169"/>
      <c r="E5" s="1169"/>
      <c r="F5" s="1170"/>
      <c r="G5" s="1171" t="s">
        <v>3409</v>
      </c>
      <c r="H5" s="1172"/>
      <c r="I5" s="1172"/>
      <c r="J5" s="1173" t="s">
        <v>2781</v>
      </c>
    </row>
    <row r="6" spans="1:10" s="1160" customFormat="1">
      <c r="A6" s="1168">
        <v>10</v>
      </c>
      <c r="B6" s="1174">
        <v>300</v>
      </c>
      <c r="C6" s="1174"/>
      <c r="D6" s="1174"/>
      <c r="E6" s="1174"/>
      <c r="F6" s="1175"/>
      <c r="G6" s="1176" t="s">
        <v>3410</v>
      </c>
      <c r="H6" s="1177"/>
      <c r="I6" s="1177"/>
      <c r="J6" s="1173"/>
    </row>
    <row r="7" spans="1:10" s="1160" customFormat="1" ht="26.4">
      <c r="A7" s="1168">
        <v>10</v>
      </c>
      <c r="B7" s="1174">
        <v>300</v>
      </c>
      <c r="C7" s="1169">
        <v>100</v>
      </c>
      <c r="D7" s="1169"/>
      <c r="E7" s="1169"/>
      <c r="F7" s="1170"/>
      <c r="G7" s="1171" t="s">
        <v>3411</v>
      </c>
      <c r="H7" s="1172"/>
      <c r="I7" s="1172"/>
      <c r="J7" s="1173" t="s">
        <v>2787</v>
      </c>
    </row>
    <row r="8" spans="1:10" s="1160" customFormat="1">
      <c r="A8" s="1168">
        <v>10</v>
      </c>
      <c r="B8" s="1174">
        <v>300</v>
      </c>
      <c r="C8" s="1169">
        <v>200</v>
      </c>
      <c r="D8" s="1169"/>
      <c r="E8" s="1169"/>
      <c r="F8" s="1170"/>
      <c r="G8" s="1171" t="s">
        <v>3412</v>
      </c>
      <c r="H8" s="1172"/>
      <c r="I8" s="1172"/>
      <c r="J8" s="1173" t="s">
        <v>2791</v>
      </c>
    </row>
    <row r="9" spans="1:10" s="1160" customFormat="1">
      <c r="A9" s="1168">
        <v>10</v>
      </c>
      <c r="B9" s="1169">
        <v>400</v>
      </c>
      <c r="C9" s="1169"/>
      <c r="D9" s="1169"/>
      <c r="E9" s="1169"/>
      <c r="F9" s="1170"/>
      <c r="G9" s="1171" t="s">
        <v>2606</v>
      </c>
      <c r="H9" s="1172"/>
      <c r="I9" s="1172"/>
      <c r="J9" s="1173" t="s">
        <v>2795</v>
      </c>
    </row>
    <row r="10" spans="1:10" s="1160" customFormat="1">
      <c r="A10" s="1168">
        <v>10</v>
      </c>
      <c r="B10" s="1174">
        <v>500</v>
      </c>
      <c r="C10" s="1174"/>
      <c r="D10" s="1174"/>
      <c r="E10" s="1174"/>
      <c r="F10" s="1175"/>
      <c r="G10" s="1176" t="s">
        <v>2608</v>
      </c>
      <c r="H10" s="1177"/>
      <c r="I10" s="1177"/>
      <c r="J10" s="1173"/>
    </row>
    <row r="11" spans="1:10" s="1160" customFormat="1">
      <c r="A11" s="1168">
        <v>10</v>
      </c>
      <c r="B11" s="1174">
        <v>500</v>
      </c>
      <c r="C11" s="1169">
        <v>100</v>
      </c>
      <c r="D11" s="1169"/>
      <c r="E11" s="1169"/>
      <c r="F11" s="1170"/>
      <c r="G11" s="1171" t="s">
        <v>3413</v>
      </c>
      <c r="H11" s="1172">
        <v>238146</v>
      </c>
      <c r="I11" s="1172">
        <v>232365</v>
      </c>
      <c r="J11" s="1173" t="s">
        <v>2799</v>
      </c>
    </row>
    <row r="12" spans="1:10" s="1160" customFormat="1">
      <c r="A12" s="1168">
        <v>10</v>
      </c>
      <c r="B12" s="1174">
        <v>500</v>
      </c>
      <c r="C12" s="1169">
        <v>200</v>
      </c>
      <c r="D12" s="1169"/>
      <c r="E12" s="1169"/>
      <c r="F12" s="1170"/>
      <c r="G12" s="1171" t="s">
        <v>3414</v>
      </c>
      <c r="H12" s="1172">
        <v>39838</v>
      </c>
      <c r="I12" s="1172">
        <v>39838</v>
      </c>
      <c r="J12" s="1173" t="s">
        <v>2803</v>
      </c>
    </row>
    <row r="13" spans="1:10" s="1160" customFormat="1">
      <c r="A13" s="1168">
        <v>10</v>
      </c>
      <c r="B13" s="1174">
        <v>500</v>
      </c>
      <c r="C13" s="1169">
        <v>300</v>
      </c>
      <c r="D13" s="1169"/>
      <c r="E13" s="1169"/>
      <c r="F13" s="1170"/>
      <c r="G13" s="1171" t="s">
        <v>3415</v>
      </c>
      <c r="H13" s="1172"/>
      <c r="I13" s="1172"/>
      <c r="J13" s="1173" t="s">
        <v>2807</v>
      </c>
    </row>
    <row r="14" spans="1:10" s="1160" customFormat="1">
      <c r="A14" s="1168">
        <v>10</v>
      </c>
      <c r="B14" s="1174">
        <v>500</v>
      </c>
      <c r="C14" s="1169">
        <v>400</v>
      </c>
      <c r="D14" s="1169"/>
      <c r="E14" s="1169"/>
      <c r="F14" s="1170"/>
      <c r="G14" s="1171" t="s">
        <v>2608</v>
      </c>
      <c r="H14" s="1172"/>
      <c r="I14" s="1172"/>
      <c r="J14" s="1173" t="s">
        <v>2811</v>
      </c>
    </row>
    <row r="15" spans="1:10" s="1167" customFormat="1">
      <c r="A15" s="1178">
        <v>20</v>
      </c>
      <c r="B15" s="1179">
        <v>0</v>
      </c>
      <c r="C15" s="1179">
        <v>0</v>
      </c>
      <c r="D15" s="1179">
        <v>0</v>
      </c>
      <c r="E15" s="1179">
        <v>0</v>
      </c>
      <c r="F15" s="1180">
        <v>0</v>
      </c>
      <c r="G15" s="1181" t="s">
        <v>3416</v>
      </c>
      <c r="H15" s="1182"/>
      <c r="I15" s="1182"/>
      <c r="J15" s="1183"/>
    </row>
    <row r="16" spans="1:10" s="1160" customFormat="1">
      <c r="A16" s="1168">
        <v>20</v>
      </c>
      <c r="B16" s="1184">
        <v>100</v>
      </c>
      <c r="C16" s="1184"/>
      <c r="D16" s="1184"/>
      <c r="E16" s="1184"/>
      <c r="F16" s="1185"/>
      <c r="G16" s="1176" t="s">
        <v>2610</v>
      </c>
      <c r="H16" s="1177"/>
      <c r="I16" s="1177"/>
      <c r="J16" s="1173"/>
    </row>
    <row r="17" spans="1:10" s="1160" customFormat="1">
      <c r="A17" s="1168">
        <v>20</v>
      </c>
      <c r="B17" s="1184">
        <v>100</v>
      </c>
      <c r="C17" s="1186">
        <v>100</v>
      </c>
      <c r="D17" s="1186"/>
      <c r="E17" s="1186"/>
      <c r="F17" s="1187"/>
      <c r="G17" s="1171" t="s">
        <v>2612</v>
      </c>
      <c r="H17" s="1172"/>
      <c r="I17" s="1172"/>
      <c r="J17" s="1173" t="s">
        <v>2829</v>
      </c>
    </row>
    <row r="18" spans="1:10" s="1160" customFormat="1">
      <c r="A18" s="1168">
        <v>20</v>
      </c>
      <c r="B18" s="1184">
        <v>100</v>
      </c>
      <c r="C18" s="1186">
        <v>200</v>
      </c>
      <c r="D18" s="1186"/>
      <c r="E18" s="1186"/>
      <c r="F18" s="1187"/>
      <c r="G18" s="1171" t="s">
        <v>2614</v>
      </c>
      <c r="H18" s="1172"/>
      <c r="I18" s="1172"/>
      <c r="J18" s="1173" t="s">
        <v>2831</v>
      </c>
    </row>
    <row r="19" spans="1:10" s="1160" customFormat="1">
      <c r="A19" s="1168">
        <v>20</v>
      </c>
      <c r="B19" s="1184">
        <v>200</v>
      </c>
      <c r="C19" s="1184"/>
      <c r="D19" s="1184"/>
      <c r="E19" s="1184"/>
      <c r="F19" s="1185"/>
      <c r="G19" s="1176" t="s">
        <v>2615</v>
      </c>
      <c r="H19" s="1177"/>
      <c r="I19" s="1177"/>
      <c r="J19" s="1173"/>
    </row>
    <row r="20" spans="1:10" s="1160" customFormat="1">
      <c r="A20" s="1168">
        <v>20</v>
      </c>
      <c r="B20" s="1184">
        <v>200</v>
      </c>
      <c r="C20" s="1186">
        <v>100</v>
      </c>
      <c r="D20" s="1186"/>
      <c r="E20" s="1186"/>
      <c r="F20" s="1187"/>
      <c r="G20" s="1171" t="s">
        <v>2616</v>
      </c>
      <c r="H20" s="1172">
        <v>1590247</v>
      </c>
      <c r="I20" s="1172">
        <v>1590247</v>
      </c>
      <c r="J20" s="1173" t="s">
        <v>2837</v>
      </c>
    </row>
    <row r="21" spans="1:10" s="1160" customFormat="1">
      <c r="A21" s="1168">
        <v>20</v>
      </c>
      <c r="B21" s="1184">
        <v>200</v>
      </c>
      <c r="C21" s="1186">
        <v>200</v>
      </c>
      <c r="D21" s="1186"/>
      <c r="E21" s="1186"/>
      <c r="F21" s="1187"/>
      <c r="G21" s="1171" t="s">
        <v>2617</v>
      </c>
      <c r="H21" s="1172">
        <v>26991955</v>
      </c>
      <c r="I21" s="1172">
        <v>25043367</v>
      </c>
      <c r="J21" s="1173" t="s">
        <v>2843</v>
      </c>
    </row>
    <row r="22" spans="1:10" s="1160" customFormat="1">
      <c r="A22" s="1168">
        <v>20</v>
      </c>
      <c r="B22" s="1169">
        <v>300</v>
      </c>
      <c r="C22" s="1186"/>
      <c r="D22" s="1186"/>
      <c r="E22" s="1186"/>
      <c r="F22" s="1187"/>
      <c r="G22" s="1171" t="s">
        <v>2618</v>
      </c>
      <c r="H22" s="1172">
        <v>3142568</v>
      </c>
      <c r="I22" s="1172">
        <v>3142568</v>
      </c>
      <c r="J22" s="1173" t="s">
        <v>2849</v>
      </c>
    </row>
    <row r="23" spans="1:10" s="1160" customFormat="1">
      <c r="A23" s="1168">
        <v>20</v>
      </c>
      <c r="B23" s="1169">
        <v>400</v>
      </c>
      <c r="C23" s="1186"/>
      <c r="D23" s="1186"/>
      <c r="E23" s="1186"/>
      <c r="F23" s="1187"/>
      <c r="G23" s="1171" t="s">
        <v>2619</v>
      </c>
      <c r="H23" s="1172">
        <v>26445494</v>
      </c>
      <c r="I23" s="1172">
        <v>24570887</v>
      </c>
      <c r="J23" s="1173" t="s">
        <v>2855</v>
      </c>
    </row>
    <row r="24" spans="1:10" s="1160" customFormat="1">
      <c r="A24" s="1168">
        <v>20</v>
      </c>
      <c r="B24" s="1169">
        <v>500</v>
      </c>
      <c r="C24" s="1169"/>
      <c r="D24" s="1169"/>
      <c r="E24" s="1169"/>
      <c r="F24" s="1170"/>
      <c r="G24" s="1171" t="s">
        <v>2620</v>
      </c>
      <c r="H24" s="1172">
        <v>2172477</v>
      </c>
      <c r="I24" s="1172">
        <v>2072850</v>
      </c>
      <c r="J24" s="1173" t="s">
        <v>2861</v>
      </c>
    </row>
    <row r="25" spans="1:10" s="1160" customFormat="1">
      <c r="A25" s="1168">
        <v>20</v>
      </c>
      <c r="B25" s="1169">
        <v>600</v>
      </c>
      <c r="C25" s="1169"/>
      <c r="D25" s="1169"/>
      <c r="E25" s="1169"/>
      <c r="F25" s="1170"/>
      <c r="G25" s="1171" t="s">
        <v>2622</v>
      </c>
      <c r="H25" s="1172">
        <v>247184</v>
      </c>
      <c r="I25" s="1172">
        <v>252582</v>
      </c>
      <c r="J25" s="1173" t="s">
        <v>2867</v>
      </c>
    </row>
    <row r="26" spans="1:10" s="1160" customFormat="1">
      <c r="A26" s="1168">
        <v>20</v>
      </c>
      <c r="B26" s="1169">
        <v>700</v>
      </c>
      <c r="C26" s="1169"/>
      <c r="D26" s="1169"/>
      <c r="E26" s="1169"/>
      <c r="F26" s="1170"/>
      <c r="G26" s="1171" t="s">
        <v>2624</v>
      </c>
      <c r="H26" s="1172"/>
      <c r="I26" s="1172"/>
      <c r="J26" s="1173" t="s">
        <v>2871</v>
      </c>
    </row>
    <row r="27" spans="1:10" s="1160" customFormat="1">
      <c r="A27" s="1168">
        <v>20</v>
      </c>
      <c r="B27" s="1169">
        <v>800</v>
      </c>
      <c r="C27" s="1174"/>
      <c r="D27" s="1174"/>
      <c r="E27" s="1174"/>
      <c r="F27" s="1175"/>
      <c r="G27" s="1171" t="s">
        <v>2626</v>
      </c>
      <c r="H27" s="1172">
        <v>4963796</v>
      </c>
      <c r="I27" s="1172">
        <v>4552748</v>
      </c>
      <c r="J27" s="1173" t="s">
        <v>2875</v>
      </c>
    </row>
    <row r="28" spans="1:10" s="1160" customFormat="1">
      <c r="A28" s="1188">
        <v>20</v>
      </c>
      <c r="B28" s="1184">
        <v>900</v>
      </c>
      <c r="C28" s="1186"/>
      <c r="D28" s="1186"/>
      <c r="E28" s="1186"/>
      <c r="F28" s="1187"/>
      <c r="G28" s="1189" t="s">
        <v>2628</v>
      </c>
      <c r="H28" s="1190">
        <v>4828737</v>
      </c>
      <c r="I28" s="1190">
        <v>6094184</v>
      </c>
      <c r="J28" s="1191" t="s">
        <v>2879</v>
      </c>
    </row>
    <row r="29" spans="1:10" s="1167" customFormat="1">
      <c r="A29" s="1192">
        <v>30</v>
      </c>
      <c r="B29" s="1193">
        <v>0</v>
      </c>
      <c r="C29" s="1193">
        <v>0</v>
      </c>
      <c r="D29" s="1193">
        <v>0</v>
      </c>
      <c r="E29" s="1193">
        <v>0</v>
      </c>
      <c r="F29" s="1194">
        <v>0</v>
      </c>
      <c r="G29" s="1195" t="s">
        <v>3417</v>
      </c>
      <c r="H29" s="1196"/>
      <c r="I29" s="1196"/>
      <c r="J29" s="1197"/>
    </row>
    <row r="30" spans="1:10" s="1160" customFormat="1">
      <c r="A30" s="1168">
        <v>30</v>
      </c>
      <c r="B30" s="1174">
        <v>100</v>
      </c>
      <c r="C30" s="1174"/>
      <c r="D30" s="1174"/>
      <c r="E30" s="1174"/>
      <c r="F30" s="1175"/>
      <c r="G30" s="1176" t="s">
        <v>2632</v>
      </c>
      <c r="H30" s="1177"/>
      <c r="I30" s="1177"/>
      <c r="J30" s="1173"/>
    </row>
    <row r="31" spans="1:10" s="1160" customFormat="1">
      <c r="A31" s="1168">
        <v>30</v>
      </c>
      <c r="B31" s="1174">
        <v>100</v>
      </c>
      <c r="C31" s="1169">
        <v>100</v>
      </c>
      <c r="D31" s="1169"/>
      <c r="E31" s="1169"/>
      <c r="F31" s="1170"/>
      <c r="G31" s="1171" t="s">
        <v>2633</v>
      </c>
      <c r="H31" s="1172">
        <v>23596</v>
      </c>
      <c r="I31" s="1172">
        <v>16202596</v>
      </c>
      <c r="J31" s="1173" t="s">
        <v>2903</v>
      </c>
    </row>
    <row r="32" spans="1:10" s="1160" customFormat="1">
      <c r="A32" s="1168">
        <v>30</v>
      </c>
      <c r="B32" s="1174">
        <v>100</v>
      </c>
      <c r="C32" s="1169">
        <v>200</v>
      </c>
      <c r="D32" s="1169"/>
      <c r="E32" s="1169"/>
      <c r="F32" s="1170"/>
      <c r="G32" s="1171" t="s">
        <v>2634</v>
      </c>
      <c r="H32" s="1172"/>
      <c r="I32" s="1172"/>
      <c r="J32" s="1173" t="s">
        <v>2905</v>
      </c>
    </row>
    <row r="33" spans="1:10" s="1160" customFormat="1">
      <c r="A33" s="1168">
        <v>30</v>
      </c>
      <c r="B33" s="1174">
        <v>100</v>
      </c>
      <c r="C33" s="1169">
        <v>300</v>
      </c>
      <c r="D33" s="1169"/>
      <c r="E33" s="1169"/>
      <c r="F33" s="1170"/>
      <c r="G33" s="1171" t="s">
        <v>2636</v>
      </c>
      <c r="H33" s="1172"/>
      <c r="I33" s="1172"/>
      <c r="J33" s="1173" t="s">
        <v>2907</v>
      </c>
    </row>
    <row r="34" spans="1:10" s="1160" customFormat="1">
      <c r="A34" s="1168">
        <v>30</v>
      </c>
      <c r="B34" s="1174">
        <v>100</v>
      </c>
      <c r="C34" s="1174">
        <v>400</v>
      </c>
      <c r="D34" s="1174"/>
      <c r="E34" s="1174"/>
      <c r="F34" s="1175"/>
      <c r="G34" s="1176" t="s">
        <v>2638</v>
      </c>
      <c r="H34" s="1177"/>
      <c r="I34" s="1177"/>
      <c r="J34" s="1173" t="s">
        <v>2909</v>
      </c>
    </row>
    <row r="35" spans="1:10" s="1160" customFormat="1">
      <c r="A35" s="1168">
        <v>30</v>
      </c>
      <c r="B35" s="1174">
        <v>100</v>
      </c>
      <c r="C35" s="1174">
        <v>400</v>
      </c>
      <c r="D35" s="1169">
        <v>100</v>
      </c>
      <c r="E35" s="1169"/>
      <c r="F35" s="1170"/>
      <c r="G35" s="1198" t="s">
        <v>3418</v>
      </c>
      <c r="H35" s="1172"/>
      <c r="I35" s="1172"/>
      <c r="J35" s="1173"/>
    </row>
    <row r="36" spans="1:10" s="1160" customFormat="1">
      <c r="A36" s="1168">
        <v>30</v>
      </c>
      <c r="B36" s="1174">
        <v>100</v>
      </c>
      <c r="C36" s="1174">
        <v>400</v>
      </c>
      <c r="D36" s="1169">
        <v>200</v>
      </c>
      <c r="E36" s="1169"/>
      <c r="F36" s="1170"/>
      <c r="G36" s="1198" t="s">
        <v>3419</v>
      </c>
      <c r="H36" s="1172"/>
      <c r="I36" s="1172"/>
      <c r="J36" s="1173"/>
    </row>
    <row r="37" spans="1:10" s="1160" customFormat="1">
      <c r="A37" s="1168">
        <v>30</v>
      </c>
      <c r="B37" s="1174">
        <v>100</v>
      </c>
      <c r="C37" s="1174">
        <v>400</v>
      </c>
      <c r="D37" s="1169">
        <v>300</v>
      </c>
      <c r="E37" s="1169"/>
      <c r="F37" s="1170"/>
      <c r="G37" s="1198" t="s">
        <v>3420</v>
      </c>
      <c r="H37" s="1172">
        <v>268736</v>
      </c>
      <c r="I37" s="1172">
        <v>268736</v>
      </c>
      <c r="J37" s="1173"/>
    </row>
    <row r="38" spans="1:10" s="1160" customFormat="1">
      <c r="A38" s="1168">
        <v>30</v>
      </c>
      <c r="B38" s="1174">
        <v>200</v>
      </c>
      <c r="C38" s="1174"/>
      <c r="D38" s="1174"/>
      <c r="E38" s="1174"/>
      <c r="F38" s="1175"/>
      <c r="G38" s="1176" t="s">
        <v>2639</v>
      </c>
      <c r="H38" s="1177"/>
      <c r="I38" s="1177"/>
      <c r="J38" s="1173"/>
    </row>
    <row r="39" spans="1:10" s="1160" customFormat="1">
      <c r="A39" s="1168">
        <v>30</v>
      </c>
      <c r="B39" s="1174">
        <v>200</v>
      </c>
      <c r="C39" s="1169">
        <v>100</v>
      </c>
      <c r="D39" s="1169"/>
      <c r="E39" s="1169"/>
      <c r="F39" s="1170"/>
      <c r="G39" s="1171" t="s">
        <v>2640</v>
      </c>
      <c r="H39" s="1172">
        <v>8000</v>
      </c>
      <c r="I39" s="1172">
        <v>8000</v>
      </c>
      <c r="J39" s="1173" t="s">
        <v>2913</v>
      </c>
    </row>
    <row r="40" spans="1:10" s="1160" customFormat="1">
      <c r="A40" s="1168">
        <v>30</v>
      </c>
      <c r="B40" s="1174">
        <v>200</v>
      </c>
      <c r="C40" s="1174">
        <v>200</v>
      </c>
      <c r="D40" s="1174"/>
      <c r="E40" s="1174"/>
      <c r="F40" s="1175"/>
      <c r="G40" s="1176" t="s">
        <v>2641</v>
      </c>
      <c r="H40" s="1177"/>
      <c r="I40" s="1177"/>
      <c r="J40" s="1173"/>
    </row>
    <row r="41" spans="1:10" s="1160" customFormat="1">
      <c r="A41" s="1168">
        <v>30</v>
      </c>
      <c r="B41" s="1174">
        <v>200</v>
      </c>
      <c r="C41" s="1174">
        <v>200</v>
      </c>
      <c r="D41" s="1169">
        <v>100</v>
      </c>
      <c r="E41" s="1169"/>
      <c r="F41" s="1170"/>
      <c r="G41" s="1171" t="s">
        <v>3421</v>
      </c>
      <c r="H41" s="1172"/>
      <c r="I41" s="1172"/>
      <c r="J41" s="1173" t="s">
        <v>2917</v>
      </c>
    </row>
    <row r="42" spans="1:10" s="1160" customFormat="1">
      <c r="A42" s="1168">
        <v>30</v>
      </c>
      <c r="B42" s="1174">
        <v>200</v>
      </c>
      <c r="C42" s="1174">
        <v>200</v>
      </c>
      <c r="D42" s="1169">
        <v>200</v>
      </c>
      <c r="E42" s="1169"/>
      <c r="F42" s="1170"/>
      <c r="G42" s="1171" t="s">
        <v>3422</v>
      </c>
      <c r="H42" s="1172"/>
      <c r="I42" s="1172"/>
      <c r="J42" s="1173" t="s">
        <v>2919</v>
      </c>
    </row>
    <row r="43" spans="1:10" s="1160" customFormat="1">
      <c r="A43" s="1168">
        <v>30</v>
      </c>
      <c r="B43" s="1174">
        <v>200</v>
      </c>
      <c r="C43" s="1174">
        <v>200</v>
      </c>
      <c r="D43" s="1169">
        <v>300</v>
      </c>
      <c r="E43" s="1169"/>
      <c r="F43" s="1170"/>
      <c r="G43" s="1171" t="s">
        <v>3423</v>
      </c>
      <c r="H43" s="1172"/>
      <c r="I43" s="1172"/>
      <c r="J43" s="1173" t="s">
        <v>2921</v>
      </c>
    </row>
    <row r="44" spans="1:10" s="1160" customFormat="1">
      <c r="A44" s="1168">
        <v>30</v>
      </c>
      <c r="B44" s="1174">
        <v>200</v>
      </c>
      <c r="C44" s="1174">
        <v>200</v>
      </c>
      <c r="D44" s="1169">
        <v>400</v>
      </c>
      <c r="E44" s="1169"/>
      <c r="F44" s="1170"/>
      <c r="G44" s="1171" t="s">
        <v>3424</v>
      </c>
      <c r="H44" s="1172"/>
      <c r="I44" s="1172"/>
      <c r="J44" s="1173" t="s">
        <v>2923</v>
      </c>
    </row>
    <row r="45" spans="1:10" s="1167" customFormat="1">
      <c r="A45" s="1178">
        <v>100</v>
      </c>
      <c r="B45" s="1179">
        <v>0</v>
      </c>
      <c r="C45" s="1179">
        <v>0</v>
      </c>
      <c r="D45" s="1179">
        <v>0</v>
      </c>
      <c r="E45" s="1179">
        <v>0</v>
      </c>
      <c r="F45" s="1180">
        <v>0</v>
      </c>
      <c r="G45" s="1181" t="s">
        <v>3425</v>
      </c>
      <c r="H45" s="1182"/>
      <c r="I45" s="1182"/>
      <c r="J45" s="1183"/>
    </row>
    <row r="46" spans="1:10" s="1160" customFormat="1">
      <c r="A46" s="1168">
        <v>100</v>
      </c>
      <c r="B46" s="1174">
        <v>100</v>
      </c>
      <c r="C46" s="1174"/>
      <c r="D46" s="1174"/>
      <c r="E46" s="1174"/>
      <c r="F46" s="1175"/>
      <c r="G46" s="1176" t="s">
        <v>2645</v>
      </c>
      <c r="H46" s="1177"/>
      <c r="I46" s="1177"/>
      <c r="J46" s="1173"/>
    </row>
    <row r="47" spans="1:10" s="1160" customFormat="1">
      <c r="A47" s="1168">
        <v>100</v>
      </c>
      <c r="B47" s="1174">
        <v>100</v>
      </c>
      <c r="C47" s="1174">
        <v>100</v>
      </c>
      <c r="D47" s="1174"/>
      <c r="E47" s="1174"/>
      <c r="F47" s="1175"/>
      <c r="G47" s="1176" t="s">
        <v>542</v>
      </c>
      <c r="H47" s="1177"/>
      <c r="I47" s="1177"/>
      <c r="J47" s="1173" t="s">
        <v>2931</v>
      </c>
    </row>
    <row r="48" spans="1:10" s="1160" customFormat="1" ht="26.4">
      <c r="A48" s="1168">
        <v>100</v>
      </c>
      <c r="B48" s="1174">
        <v>100</v>
      </c>
      <c r="C48" s="1174">
        <v>100</v>
      </c>
      <c r="D48" s="1169">
        <v>10</v>
      </c>
      <c r="E48" s="1169"/>
      <c r="F48" s="1170"/>
      <c r="G48" s="1199" t="s">
        <v>544</v>
      </c>
      <c r="H48" s="1172">
        <v>10213</v>
      </c>
      <c r="I48" s="1172">
        <v>53081</v>
      </c>
      <c r="J48" s="1173"/>
    </row>
    <row r="49" spans="1:10" s="1160" customFormat="1">
      <c r="A49" s="1168">
        <v>100</v>
      </c>
      <c r="B49" s="1174">
        <v>100</v>
      </c>
      <c r="C49" s="1174">
        <v>100</v>
      </c>
      <c r="D49" s="1169">
        <v>20</v>
      </c>
      <c r="E49" s="1169"/>
      <c r="F49" s="1170"/>
      <c r="G49" s="1198" t="s">
        <v>547</v>
      </c>
      <c r="H49" s="1172">
        <v>2167</v>
      </c>
      <c r="I49" s="1172">
        <v>1602</v>
      </c>
      <c r="J49" s="1173"/>
    </row>
    <row r="50" spans="1:10" s="1160" customFormat="1">
      <c r="A50" s="1168">
        <v>100</v>
      </c>
      <c r="B50" s="1174">
        <v>100</v>
      </c>
      <c r="C50" s="1174">
        <v>100</v>
      </c>
      <c r="D50" s="1169">
        <v>30</v>
      </c>
      <c r="E50" s="1169"/>
      <c r="F50" s="1170"/>
      <c r="G50" s="1198" t="s">
        <v>551</v>
      </c>
      <c r="H50" s="1172"/>
      <c r="I50" s="1172"/>
      <c r="J50" s="1173"/>
    </row>
    <row r="51" spans="1:10" s="1160" customFormat="1">
      <c r="A51" s="1168">
        <v>100</v>
      </c>
      <c r="B51" s="1174">
        <v>100</v>
      </c>
      <c r="C51" s="1169">
        <v>200</v>
      </c>
      <c r="D51" s="1169"/>
      <c r="E51" s="1169"/>
      <c r="F51" s="1170"/>
      <c r="G51" s="1171" t="s">
        <v>559</v>
      </c>
      <c r="H51" s="1172"/>
      <c r="I51" s="1172"/>
      <c r="J51" s="1173" t="s">
        <v>2933</v>
      </c>
    </row>
    <row r="52" spans="1:10" s="1160" customFormat="1">
      <c r="A52" s="1168">
        <v>100</v>
      </c>
      <c r="B52" s="1174">
        <v>100</v>
      </c>
      <c r="C52" s="1174">
        <v>300</v>
      </c>
      <c r="D52" s="1174"/>
      <c r="E52" s="1174"/>
      <c r="F52" s="1175"/>
      <c r="G52" s="1176" t="s">
        <v>567</v>
      </c>
      <c r="H52" s="1177"/>
      <c r="I52" s="1177"/>
      <c r="J52" s="1173" t="s">
        <v>2935</v>
      </c>
    </row>
    <row r="53" spans="1:10" s="1160" customFormat="1">
      <c r="A53" s="1168">
        <v>100</v>
      </c>
      <c r="B53" s="1174">
        <v>100</v>
      </c>
      <c r="C53" s="1174">
        <v>300</v>
      </c>
      <c r="D53" s="1169">
        <v>10</v>
      </c>
      <c r="E53" s="1169"/>
      <c r="F53" s="1170"/>
      <c r="G53" s="1198" t="s">
        <v>567</v>
      </c>
      <c r="H53" s="1172">
        <v>58499</v>
      </c>
      <c r="I53" s="1172">
        <v>65976</v>
      </c>
      <c r="J53" s="1173"/>
    </row>
    <row r="54" spans="1:10" s="1160" customFormat="1">
      <c r="A54" s="1168">
        <v>100</v>
      </c>
      <c r="B54" s="1174">
        <v>100</v>
      </c>
      <c r="C54" s="1174">
        <v>300</v>
      </c>
      <c r="D54" s="1169">
        <v>20</v>
      </c>
      <c r="E54" s="1169"/>
      <c r="F54" s="1170"/>
      <c r="G54" s="1198" t="s">
        <v>571</v>
      </c>
      <c r="H54" s="1172"/>
      <c r="I54" s="1172"/>
      <c r="J54" s="1173"/>
    </row>
    <row r="55" spans="1:10" s="1160" customFormat="1">
      <c r="A55" s="1168">
        <v>100</v>
      </c>
      <c r="B55" s="1174">
        <v>100</v>
      </c>
      <c r="C55" s="1174">
        <v>300</v>
      </c>
      <c r="D55" s="1169">
        <v>30</v>
      </c>
      <c r="E55" s="1169"/>
      <c r="F55" s="1170"/>
      <c r="G55" s="1198" t="s">
        <v>573</v>
      </c>
      <c r="H55" s="1172">
        <v>826910</v>
      </c>
      <c r="I55" s="1172">
        <v>791875</v>
      </c>
      <c r="J55" s="1173"/>
    </row>
    <row r="56" spans="1:10" s="1160" customFormat="1">
      <c r="A56" s="1168">
        <v>100</v>
      </c>
      <c r="B56" s="1174">
        <v>100</v>
      </c>
      <c r="C56" s="1169">
        <v>400</v>
      </c>
      <c r="D56" s="1169"/>
      <c r="E56" s="1169"/>
      <c r="F56" s="1170"/>
      <c r="G56" s="1171" t="s">
        <v>575</v>
      </c>
      <c r="H56" s="1172">
        <v>547</v>
      </c>
      <c r="I56" s="1172">
        <v>96</v>
      </c>
      <c r="J56" s="1173" t="s">
        <v>2937</v>
      </c>
    </row>
    <row r="57" spans="1:10" s="1160" customFormat="1">
      <c r="A57" s="1168">
        <v>100</v>
      </c>
      <c r="B57" s="1174">
        <v>100</v>
      </c>
      <c r="C57" s="1169">
        <v>500</v>
      </c>
      <c r="D57" s="1169"/>
      <c r="E57" s="1169"/>
      <c r="F57" s="1170"/>
      <c r="G57" s="1171" t="s">
        <v>577</v>
      </c>
      <c r="H57" s="1172"/>
      <c r="I57" s="1172"/>
      <c r="J57" s="1173" t="s">
        <v>2939</v>
      </c>
    </row>
    <row r="58" spans="1:10" s="1160" customFormat="1">
      <c r="A58" s="1168">
        <v>100</v>
      </c>
      <c r="B58" s="1174">
        <v>100</v>
      </c>
      <c r="C58" s="1169">
        <v>600</v>
      </c>
      <c r="D58" s="1169"/>
      <c r="E58" s="1169"/>
      <c r="F58" s="1170"/>
      <c r="G58" s="1171" t="s">
        <v>579</v>
      </c>
      <c r="H58" s="1172">
        <v>21256</v>
      </c>
      <c r="I58" s="1172">
        <v>14113</v>
      </c>
      <c r="J58" s="1173" t="s">
        <v>2941</v>
      </c>
    </row>
    <row r="59" spans="1:10" s="1160" customFormat="1">
      <c r="A59" s="1168">
        <v>100</v>
      </c>
      <c r="B59" s="1174">
        <v>100</v>
      </c>
      <c r="C59" s="1169">
        <v>700</v>
      </c>
      <c r="D59" s="1169"/>
      <c r="E59" s="1169"/>
      <c r="F59" s="1170"/>
      <c r="G59" s="1171" t="s">
        <v>581</v>
      </c>
      <c r="H59" s="1172"/>
      <c r="I59" s="1172"/>
      <c r="J59" s="1173" t="s">
        <v>2943</v>
      </c>
    </row>
    <row r="60" spans="1:10" s="1160" customFormat="1">
      <c r="A60" s="1168">
        <v>100</v>
      </c>
      <c r="B60" s="1174">
        <v>100</v>
      </c>
      <c r="C60" s="1169">
        <v>800</v>
      </c>
      <c r="D60" s="1169"/>
      <c r="E60" s="1169"/>
      <c r="F60" s="1170"/>
      <c r="G60" s="1171" t="s">
        <v>583</v>
      </c>
      <c r="H60" s="1172">
        <v>78020</v>
      </c>
      <c r="I60" s="1172">
        <v>52987</v>
      </c>
      <c r="J60" s="1173" t="s">
        <v>2945</v>
      </c>
    </row>
    <row r="61" spans="1:10" s="1160" customFormat="1">
      <c r="A61" s="1168">
        <v>100</v>
      </c>
      <c r="B61" s="1174">
        <v>100</v>
      </c>
      <c r="C61" s="1169">
        <v>900</v>
      </c>
      <c r="D61" s="1169"/>
      <c r="E61" s="1169"/>
      <c r="F61" s="1170"/>
      <c r="G61" s="1171" t="s">
        <v>3426</v>
      </c>
      <c r="H61" s="1172"/>
      <c r="I61" s="1172"/>
      <c r="J61" s="1173" t="s">
        <v>2947</v>
      </c>
    </row>
    <row r="62" spans="1:10" s="1160" customFormat="1">
      <c r="A62" s="1168">
        <v>100</v>
      </c>
      <c r="B62" s="1174">
        <v>200</v>
      </c>
      <c r="C62" s="1174"/>
      <c r="D62" s="1174"/>
      <c r="E62" s="1174"/>
      <c r="F62" s="1175"/>
      <c r="G62" s="1176" t="s">
        <v>2646</v>
      </c>
      <c r="H62" s="1177"/>
      <c r="I62" s="1177"/>
      <c r="J62" s="1173"/>
    </row>
    <row r="63" spans="1:10" s="1160" customFormat="1">
      <c r="A63" s="1168">
        <v>100</v>
      </c>
      <c r="B63" s="1174">
        <v>200</v>
      </c>
      <c r="C63" s="1169">
        <v>100</v>
      </c>
      <c r="D63" s="1169"/>
      <c r="E63" s="1169"/>
      <c r="F63" s="1170"/>
      <c r="G63" s="1171" t="s">
        <v>597</v>
      </c>
      <c r="H63" s="1172">
        <v>21</v>
      </c>
      <c r="I63" s="1172">
        <v>21</v>
      </c>
      <c r="J63" s="1173" t="s">
        <v>2951</v>
      </c>
    </row>
    <row r="64" spans="1:10" s="1160" customFormat="1">
      <c r="A64" s="1168">
        <v>100</v>
      </c>
      <c r="B64" s="1174">
        <v>200</v>
      </c>
      <c r="C64" s="1169">
        <v>200</v>
      </c>
      <c r="D64" s="1169"/>
      <c r="E64" s="1169"/>
      <c r="F64" s="1170"/>
      <c r="G64" s="1171" t="s">
        <v>3427</v>
      </c>
      <c r="H64" s="1172">
        <v>7129</v>
      </c>
      <c r="I64" s="1172">
        <v>7345</v>
      </c>
      <c r="J64" s="1173" t="s">
        <v>2953</v>
      </c>
    </row>
    <row r="65" spans="1:10" s="1160" customFormat="1">
      <c r="A65" s="1168">
        <v>100</v>
      </c>
      <c r="B65" s="1174">
        <v>200</v>
      </c>
      <c r="C65" s="1169">
        <v>300</v>
      </c>
      <c r="D65" s="1169"/>
      <c r="E65" s="1169"/>
      <c r="F65" s="1170"/>
      <c r="G65" s="1171" t="s">
        <v>601</v>
      </c>
      <c r="H65" s="1172"/>
      <c r="I65" s="1172">
        <v>1558</v>
      </c>
      <c r="J65" s="1173" t="s">
        <v>2955</v>
      </c>
    </row>
    <row r="66" spans="1:10" s="1160" customFormat="1">
      <c r="A66" s="1168">
        <v>100</v>
      </c>
      <c r="B66" s="1174">
        <v>200</v>
      </c>
      <c r="C66" s="1169">
        <v>400</v>
      </c>
      <c r="D66" s="1169"/>
      <c r="E66" s="1169"/>
      <c r="F66" s="1170"/>
      <c r="G66" s="1171" t="s">
        <v>603</v>
      </c>
      <c r="H66" s="1172">
        <v>77170</v>
      </c>
      <c r="I66" s="1172">
        <v>72241</v>
      </c>
      <c r="J66" s="1173" t="s">
        <v>2957</v>
      </c>
    </row>
    <row r="67" spans="1:10" s="1160" customFormat="1">
      <c r="A67" s="1168">
        <v>100</v>
      </c>
      <c r="B67" s="1174">
        <v>200</v>
      </c>
      <c r="C67" s="1169">
        <v>500</v>
      </c>
      <c r="D67" s="1169"/>
      <c r="E67" s="1169"/>
      <c r="F67" s="1170"/>
      <c r="G67" s="1171" t="s">
        <v>608</v>
      </c>
      <c r="H67" s="1172">
        <v>9425</v>
      </c>
      <c r="I67" s="1172">
        <v>4531</v>
      </c>
      <c r="J67" s="1173" t="s">
        <v>2959</v>
      </c>
    </row>
    <row r="68" spans="1:10" s="1160" customFormat="1">
      <c r="A68" s="1168">
        <v>100</v>
      </c>
      <c r="B68" s="1174">
        <v>200</v>
      </c>
      <c r="C68" s="1169">
        <v>600</v>
      </c>
      <c r="D68" s="1169"/>
      <c r="E68" s="1169"/>
      <c r="F68" s="1170"/>
      <c r="G68" s="1171" t="s">
        <v>612</v>
      </c>
      <c r="H68" s="1172">
        <v>11907</v>
      </c>
      <c r="I68" s="1172">
        <v>6673</v>
      </c>
      <c r="J68" s="1173" t="s">
        <v>2961</v>
      </c>
    </row>
    <row r="69" spans="1:10" s="1160" customFormat="1">
      <c r="A69" s="1168">
        <v>100</v>
      </c>
      <c r="B69" s="1174">
        <v>200</v>
      </c>
      <c r="C69" s="1169">
        <v>700</v>
      </c>
      <c r="D69" s="1169"/>
      <c r="E69" s="1169"/>
      <c r="F69" s="1170"/>
      <c r="G69" s="1171" t="s">
        <v>3428</v>
      </c>
      <c r="H69" s="1172"/>
      <c r="I69" s="1172"/>
      <c r="J69" s="1173" t="s">
        <v>2963</v>
      </c>
    </row>
    <row r="70" spans="1:10" s="1167" customFormat="1">
      <c r="A70" s="1178">
        <v>110</v>
      </c>
      <c r="B70" s="1179">
        <v>0</v>
      </c>
      <c r="C70" s="1179">
        <v>0</v>
      </c>
      <c r="D70" s="1179">
        <v>0</v>
      </c>
      <c r="E70" s="1179">
        <v>0</v>
      </c>
      <c r="F70" s="1200"/>
      <c r="G70" s="1181" t="s">
        <v>3429</v>
      </c>
      <c r="H70" s="1201"/>
      <c r="I70" s="1201"/>
      <c r="J70" s="1202"/>
    </row>
    <row r="71" spans="1:10" s="1160" customFormat="1">
      <c r="A71" s="1168">
        <v>110</v>
      </c>
      <c r="B71" s="1174">
        <v>100</v>
      </c>
      <c r="C71" s="1174"/>
      <c r="D71" s="1174"/>
      <c r="E71" s="1174"/>
      <c r="F71" s="1175"/>
      <c r="G71" s="1176" t="s">
        <v>2650</v>
      </c>
      <c r="H71" s="1177"/>
      <c r="I71" s="1177"/>
      <c r="J71" s="1173"/>
    </row>
    <row r="72" spans="1:10" s="1160" customFormat="1">
      <c r="A72" s="1168">
        <v>110</v>
      </c>
      <c r="B72" s="1174">
        <v>100</v>
      </c>
      <c r="C72" s="1169">
        <v>50</v>
      </c>
      <c r="D72" s="1169"/>
      <c r="E72" s="1174"/>
      <c r="F72" s="1175"/>
      <c r="G72" s="1171" t="s">
        <v>3430</v>
      </c>
      <c r="H72" s="1172"/>
      <c r="I72" s="1172"/>
      <c r="J72" s="1173" t="s">
        <v>2969</v>
      </c>
    </row>
    <row r="73" spans="1:10" s="1160" customFormat="1">
      <c r="A73" s="1168">
        <v>110</v>
      </c>
      <c r="B73" s="1174">
        <v>100</v>
      </c>
      <c r="C73" s="1169">
        <v>100</v>
      </c>
      <c r="D73" s="1169"/>
      <c r="E73" s="1169"/>
      <c r="F73" s="1170"/>
      <c r="G73" s="1171" t="s">
        <v>3431</v>
      </c>
      <c r="H73" s="1172"/>
      <c r="I73" s="1172"/>
      <c r="J73" s="1173" t="s">
        <v>2971</v>
      </c>
    </row>
    <row r="74" spans="1:10" s="1160" customFormat="1">
      <c r="A74" s="1168">
        <v>110</v>
      </c>
      <c r="B74" s="1174">
        <v>100</v>
      </c>
      <c r="C74" s="1169">
        <v>200</v>
      </c>
      <c r="D74" s="1169"/>
      <c r="E74" s="1169"/>
      <c r="F74" s="1170"/>
      <c r="G74" s="1171" t="s">
        <v>3432</v>
      </c>
      <c r="H74" s="1172"/>
      <c r="I74" s="1172"/>
      <c r="J74" s="1173" t="s">
        <v>2973</v>
      </c>
    </row>
    <row r="75" spans="1:10" s="1160" customFormat="1">
      <c r="A75" s="1168">
        <v>110</v>
      </c>
      <c r="B75" s="1174">
        <v>100</v>
      </c>
      <c r="C75" s="1169">
        <v>300</v>
      </c>
      <c r="D75" s="1169"/>
      <c r="E75" s="1169"/>
      <c r="F75" s="1170"/>
      <c r="G75" s="1171" t="s">
        <v>3433</v>
      </c>
      <c r="H75" s="1172"/>
      <c r="I75" s="1172"/>
      <c r="J75" s="1173" t="s">
        <v>2975</v>
      </c>
    </row>
    <row r="76" spans="1:10" s="1160" customFormat="1">
      <c r="A76" s="1168">
        <v>110</v>
      </c>
      <c r="B76" s="1174">
        <v>100</v>
      </c>
      <c r="C76" s="1169">
        <v>400</v>
      </c>
      <c r="D76" s="1169"/>
      <c r="E76" s="1169"/>
      <c r="F76" s="1170"/>
      <c r="G76" s="1171" t="s">
        <v>3434</v>
      </c>
      <c r="H76" s="1172"/>
      <c r="I76" s="1172"/>
      <c r="J76" s="1173" t="s">
        <v>2977</v>
      </c>
    </row>
    <row r="77" spans="1:10" s="1160" customFormat="1">
      <c r="A77" s="1168">
        <v>110</v>
      </c>
      <c r="B77" s="1174">
        <v>100</v>
      </c>
      <c r="C77" s="1169">
        <v>500</v>
      </c>
      <c r="D77" s="1169"/>
      <c r="E77" s="1169"/>
      <c r="F77" s="1170"/>
      <c r="G77" s="1171" t="s">
        <v>3435</v>
      </c>
      <c r="H77" s="1172"/>
      <c r="I77" s="1172"/>
      <c r="J77" s="1173" t="s">
        <v>2979</v>
      </c>
    </row>
    <row r="78" spans="1:10" s="1160" customFormat="1">
      <c r="A78" s="1168">
        <v>110</v>
      </c>
      <c r="B78" s="1174">
        <v>100</v>
      </c>
      <c r="C78" s="1174">
        <v>600</v>
      </c>
      <c r="D78" s="1174"/>
      <c r="E78" s="1174"/>
      <c r="F78" s="1175"/>
      <c r="G78" s="1176" t="s">
        <v>3436</v>
      </c>
      <c r="H78" s="1177"/>
      <c r="I78" s="1177"/>
      <c r="J78" s="1173" t="s">
        <v>2981</v>
      </c>
    </row>
    <row r="79" spans="1:10" s="1160" customFormat="1">
      <c r="A79" s="1168">
        <v>110</v>
      </c>
      <c r="B79" s="1174">
        <v>100</v>
      </c>
      <c r="C79" s="1174">
        <v>600</v>
      </c>
      <c r="D79" s="1169">
        <v>100</v>
      </c>
      <c r="E79" s="1169"/>
      <c r="F79" s="1170"/>
      <c r="G79" s="1171" t="s">
        <v>3436</v>
      </c>
      <c r="H79" s="1172"/>
      <c r="I79" s="1172"/>
      <c r="J79" s="1173"/>
    </row>
    <row r="80" spans="1:10" s="1160" customFormat="1">
      <c r="A80" s="1168">
        <v>110</v>
      </c>
      <c r="B80" s="1174">
        <v>100</v>
      </c>
      <c r="C80" s="1174">
        <v>600</v>
      </c>
      <c r="D80" s="1169">
        <v>800</v>
      </c>
      <c r="E80" s="1169"/>
      <c r="F80" s="1170"/>
      <c r="G80" s="1171" t="s">
        <v>3437</v>
      </c>
      <c r="H80" s="1172"/>
      <c r="I80" s="1172"/>
      <c r="J80" s="1173"/>
    </row>
    <row r="81" spans="1:10" s="1160" customFormat="1">
      <c r="A81" s="1168">
        <v>110</v>
      </c>
      <c r="B81" s="1174">
        <v>100</v>
      </c>
      <c r="C81" s="1174">
        <v>600</v>
      </c>
      <c r="D81" s="1169">
        <v>900</v>
      </c>
      <c r="E81" s="1169"/>
      <c r="F81" s="1170"/>
      <c r="G81" s="1171" t="s">
        <v>3438</v>
      </c>
      <c r="H81" s="1172"/>
      <c r="I81" s="1172"/>
      <c r="J81" s="1173"/>
    </row>
    <row r="82" spans="1:10" s="1160" customFormat="1">
      <c r="A82" s="1168">
        <v>110</v>
      </c>
      <c r="B82" s="1174">
        <v>100</v>
      </c>
      <c r="C82" s="1174">
        <v>650</v>
      </c>
      <c r="D82" s="1169"/>
      <c r="E82" s="1174"/>
      <c r="F82" s="1175"/>
      <c r="G82" s="1171" t="s">
        <v>3439</v>
      </c>
      <c r="H82" s="1172"/>
      <c r="I82" s="1172"/>
      <c r="J82" s="1173" t="s">
        <v>2983</v>
      </c>
    </row>
    <row r="83" spans="1:10" s="1160" customFormat="1">
      <c r="A83" s="1168">
        <v>110</v>
      </c>
      <c r="B83" s="1174">
        <v>100</v>
      </c>
      <c r="C83" s="1169">
        <v>700</v>
      </c>
      <c r="D83" s="1169"/>
      <c r="E83" s="1169"/>
      <c r="F83" s="1170"/>
      <c r="G83" s="1171" t="s">
        <v>3440</v>
      </c>
      <c r="H83" s="1172">
        <v>15100509</v>
      </c>
      <c r="I83" s="1172"/>
      <c r="J83" s="1173" t="s">
        <v>2985</v>
      </c>
    </row>
    <row r="84" spans="1:10" s="1160" customFormat="1">
      <c r="A84" s="1168">
        <v>110</v>
      </c>
      <c r="B84" s="1174">
        <v>100</v>
      </c>
      <c r="C84" s="1174">
        <v>800</v>
      </c>
      <c r="D84" s="1174"/>
      <c r="E84" s="1174"/>
      <c r="F84" s="1175"/>
      <c r="G84" s="1176" t="s">
        <v>2655</v>
      </c>
      <c r="H84" s="1177"/>
      <c r="I84" s="1177"/>
      <c r="J84" s="1173"/>
    </row>
    <row r="85" spans="1:10" s="1160" customFormat="1">
      <c r="A85" s="1168">
        <v>110</v>
      </c>
      <c r="B85" s="1174">
        <v>100</v>
      </c>
      <c r="C85" s="1174">
        <v>800</v>
      </c>
      <c r="D85" s="1169">
        <v>100</v>
      </c>
      <c r="E85" s="1169"/>
      <c r="F85" s="1170"/>
      <c r="G85" s="1171" t="s">
        <v>3441</v>
      </c>
      <c r="H85" s="1172"/>
      <c r="I85" s="1172">
        <v>0</v>
      </c>
      <c r="J85" s="1173" t="s">
        <v>2989</v>
      </c>
    </row>
    <row r="86" spans="1:10" s="1160" customFormat="1">
      <c r="A86" s="1168">
        <v>110</v>
      </c>
      <c r="B86" s="1174">
        <v>100</v>
      </c>
      <c r="C86" s="1174">
        <v>800</v>
      </c>
      <c r="D86" s="1169">
        <v>200</v>
      </c>
      <c r="E86" s="1169"/>
      <c r="F86" s="1170"/>
      <c r="G86" s="1171" t="s">
        <v>3442</v>
      </c>
      <c r="H86" s="1172">
        <v>1475359</v>
      </c>
      <c r="I86" s="1172">
        <v>1861757</v>
      </c>
      <c r="J86" s="1173" t="s">
        <v>2991</v>
      </c>
    </row>
    <row r="87" spans="1:10" s="1160" customFormat="1">
      <c r="A87" s="1168">
        <v>110</v>
      </c>
      <c r="B87" s="1174">
        <v>100</v>
      </c>
      <c r="C87" s="1174">
        <v>800</v>
      </c>
      <c r="D87" s="1174">
        <v>300</v>
      </c>
      <c r="E87" s="1174"/>
      <c r="F87" s="1175"/>
      <c r="G87" s="1176" t="s">
        <v>2658</v>
      </c>
      <c r="H87" s="1177"/>
      <c r="I87" s="1177"/>
      <c r="J87" s="1173" t="s">
        <v>2993</v>
      </c>
    </row>
    <row r="88" spans="1:10" s="1160" customFormat="1">
      <c r="A88" s="1168">
        <v>110</v>
      </c>
      <c r="B88" s="1174">
        <v>100</v>
      </c>
      <c r="C88" s="1174">
        <v>800</v>
      </c>
      <c r="D88" s="1174">
        <v>300</v>
      </c>
      <c r="E88" s="1169">
        <v>10</v>
      </c>
      <c r="F88" s="1170"/>
      <c r="G88" s="1171" t="s">
        <v>3443</v>
      </c>
      <c r="H88" s="1172"/>
      <c r="I88" s="1172"/>
      <c r="J88" s="1173"/>
    </row>
    <row r="89" spans="1:10" s="1160" customFormat="1">
      <c r="A89" s="1168">
        <v>110</v>
      </c>
      <c r="B89" s="1174">
        <v>100</v>
      </c>
      <c r="C89" s="1174">
        <v>800</v>
      </c>
      <c r="D89" s="1174">
        <v>300</v>
      </c>
      <c r="E89" s="1169">
        <v>20</v>
      </c>
      <c r="F89" s="1170"/>
      <c r="G89" s="1171" t="s">
        <v>3444</v>
      </c>
      <c r="H89" s="1172"/>
      <c r="I89" s="1172"/>
      <c r="J89" s="1173"/>
    </row>
    <row r="90" spans="1:10" s="1160" customFormat="1">
      <c r="A90" s="1168">
        <v>110</v>
      </c>
      <c r="B90" s="1174">
        <v>100</v>
      </c>
      <c r="C90" s="1174">
        <v>800</v>
      </c>
      <c r="D90" s="1169">
        <v>300</v>
      </c>
      <c r="E90" s="1174">
        <v>90</v>
      </c>
      <c r="F90" s="1175"/>
      <c r="G90" s="1171" t="s">
        <v>3445</v>
      </c>
      <c r="H90" s="1172"/>
      <c r="I90" s="1172"/>
      <c r="J90" s="1173"/>
    </row>
    <row r="91" spans="1:10" s="1160" customFormat="1">
      <c r="A91" s="1168">
        <v>110</v>
      </c>
      <c r="B91" s="1174">
        <v>100</v>
      </c>
      <c r="C91" s="1174">
        <v>800</v>
      </c>
      <c r="D91" s="1169">
        <v>400</v>
      </c>
      <c r="E91" s="1174"/>
      <c r="F91" s="1175"/>
      <c r="G91" s="1171" t="s">
        <v>3446</v>
      </c>
      <c r="H91" s="1172">
        <v>1024860</v>
      </c>
      <c r="I91" s="1172"/>
      <c r="J91" s="1173" t="s">
        <v>2995</v>
      </c>
    </row>
    <row r="92" spans="1:10" s="1160" customFormat="1">
      <c r="A92" s="1168">
        <v>110</v>
      </c>
      <c r="B92" s="1174">
        <v>100</v>
      </c>
      <c r="C92" s="1174">
        <v>900</v>
      </c>
      <c r="D92" s="1174"/>
      <c r="E92" s="1174"/>
      <c r="F92" s="1175"/>
      <c r="G92" s="1176" t="s">
        <v>2660</v>
      </c>
      <c r="H92" s="1177"/>
      <c r="I92" s="1177"/>
      <c r="J92" s="1173" t="s">
        <v>2997</v>
      </c>
    </row>
    <row r="93" spans="1:10" s="1160" customFormat="1">
      <c r="A93" s="1168">
        <v>110</v>
      </c>
      <c r="B93" s="1174">
        <v>100</v>
      </c>
      <c r="C93" s="1174">
        <v>900</v>
      </c>
      <c r="D93" s="1169">
        <v>100</v>
      </c>
      <c r="E93" s="1169"/>
      <c r="F93" s="1170"/>
      <c r="G93" s="1171" t="s">
        <v>3447</v>
      </c>
      <c r="H93" s="1172"/>
      <c r="I93" s="1172"/>
      <c r="J93" s="1173"/>
    </row>
    <row r="94" spans="1:10" s="1160" customFormat="1">
      <c r="A94" s="1168">
        <v>110</v>
      </c>
      <c r="B94" s="1174">
        <v>100</v>
      </c>
      <c r="C94" s="1174">
        <v>900</v>
      </c>
      <c r="D94" s="1169">
        <v>800</v>
      </c>
      <c r="E94" s="1169"/>
      <c r="F94" s="1170"/>
      <c r="G94" s="1171" t="s">
        <v>3437</v>
      </c>
      <c r="H94" s="1172"/>
      <c r="I94" s="1172"/>
      <c r="J94" s="1173"/>
    </row>
    <row r="95" spans="1:10" s="1160" customFormat="1">
      <c r="A95" s="1168">
        <v>110</v>
      </c>
      <c r="B95" s="1174">
        <v>100</v>
      </c>
      <c r="C95" s="1174">
        <v>900</v>
      </c>
      <c r="D95" s="1169">
        <v>900</v>
      </c>
      <c r="E95" s="1169"/>
      <c r="F95" s="1170"/>
      <c r="G95" s="1171" t="s">
        <v>3438</v>
      </c>
      <c r="H95" s="1172"/>
      <c r="I95" s="1172"/>
      <c r="J95" s="1173"/>
    </row>
    <row r="96" spans="1:10" s="1160" customFormat="1">
      <c r="A96" s="1168">
        <v>110</v>
      </c>
      <c r="B96" s="1174">
        <v>200</v>
      </c>
      <c r="C96" s="1174"/>
      <c r="D96" s="1174"/>
      <c r="E96" s="1174"/>
      <c r="F96" s="1175"/>
      <c r="G96" s="1176" t="s">
        <v>2661</v>
      </c>
      <c r="H96" s="1177"/>
      <c r="I96" s="1177"/>
      <c r="J96" s="1173" t="s">
        <v>2999</v>
      </c>
    </row>
    <row r="97" spans="1:10" s="1160" customFormat="1">
      <c r="A97" s="1168">
        <v>110</v>
      </c>
      <c r="B97" s="1174">
        <v>200</v>
      </c>
      <c r="C97" s="1174">
        <v>100</v>
      </c>
      <c r="D97" s="1169"/>
      <c r="E97" s="1174"/>
      <c r="F97" s="1175"/>
      <c r="G97" s="1176" t="s">
        <v>2663</v>
      </c>
      <c r="H97" s="1177"/>
      <c r="I97" s="1177"/>
      <c r="J97" s="1173" t="s">
        <v>3001</v>
      </c>
    </row>
    <row r="98" spans="1:10" s="1160" customFormat="1">
      <c r="A98" s="1168">
        <v>110</v>
      </c>
      <c r="B98" s="1174">
        <v>200</v>
      </c>
      <c r="C98" s="1174">
        <v>100</v>
      </c>
      <c r="D98" s="1169">
        <v>200</v>
      </c>
      <c r="E98" s="1169"/>
      <c r="F98" s="1170"/>
      <c r="G98" s="1171" t="s">
        <v>3448</v>
      </c>
      <c r="H98" s="1172"/>
      <c r="I98" s="1172"/>
      <c r="J98" s="1173" t="s">
        <v>3004</v>
      </c>
    </row>
    <row r="99" spans="1:10" s="1160" customFormat="1">
      <c r="A99" s="1168">
        <v>110</v>
      </c>
      <c r="B99" s="1174">
        <v>200</v>
      </c>
      <c r="C99" s="1174">
        <v>100</v>
      </c>
      <c r="D99" s="1169">
        <v>300</v>
      </c>
      <c r="E99" s="1169"/>
      <c r="F99" s="1170"/>
      <c r="G99" s="1171" t="s">
        <v>3449</v>
      </c>
      <c r="H99" s="1172"/>
      <c r="I99" s="1172"/>
      <c r="J99" s="1173" t="s">
        <v>3006</v>
      </c>
    </row>
    <row r="100" spans="1:10" s="1160" customFormat="1">
      <c r="A100" s="1168">
        <v>110</v>
      </c>
      <c r="B100" s="1174">
        <v>200</v>
      </c>
      <c r="C100" s="1174">
        <v>100</v>
      </c>
      <c r="D100" s="1169">
        <v>400</v>
      </c>
      <c r="E100" s="1169"/>
      <c r="F100" s="1170"/>
      <c r="G100" s="1171" t="s">
        <v>3450</v>
      </c>
      <c r="H100" s="1172">
        <v>784538</v>
      </c>
      <c r="I100" s="1172">
        <v>784538</v>
      </c>
      <c r="J100" s="1173" t="s">
        <v>3008</v>
      </c>
    </row>
    <row r="101" spans="1:10" s="1160" customFormat="1">
      <c r="A101" s="1168">
        <v>110</v>
      </c>
      <c r="B101" s="1174">
        <v>200</v>
      </c>
      <c r="C101" s="1174">
        <v>100</v>
      </c>
      <c r="D101" s="1169">
        <v>500</v>
      </c>
      <c r="E101" s="1169"/>
      <c r="F101" s="1170"/>
      <c r="G101" s="1171" t="s">
        <v>3451</v>
      </c>
      <c r="H101" s="1172"/>
      <c r="I101" s="1172"/>
      <c r="J101" s="1173" t="s">
        <v>3010</v>
      </c>
    </row>
    <row r="102" spans="1:10" s="1160" customFormat="1" ht="26.4">
      <c r="A102" s="1168">
        <v>110</v>
      </c>
      <c r="B102" s="1174">
        <v>200</v>
      </c>
      <c r="C102" s="1174">
        <v>100</v>
      </c>
      <c r="D102" s="1169">
        <v>600</v>
      </c>
      <c r="E102" s="1169"/>
      <c r="F102" s="1170"/>
      <c r="G102" s="1171" t="s">
        <v>3452</v>
      </c>
      <c r="H102" s="1172"/>
      <c r="I102" s="1172"/>
      <c r="J102" s="1173" t="s">
        <v>3012</v>
      </c>
    </row>
    <row r="103" spans="1:10" s="1160" customFormat="1" ht="26.4">
      <c r="A103" s="1168">
        <v>110</v>
      </c>
      <c r="B103" s="1174">
        <v>200</v>
      </c>
      <c r="C103" s="1174">
        <v>100</v>
      </c>
      <c r="D103" s="1169">
        <v>700</v>
      </c>
      <c r="E103" s="1169"/>
      <c r="F103" s="1170"/>
      <c r="G103" s="1171" t="s">
        <v>3453</v>
      </c>
      <c r="H103" s="1172"/>
      <c r="I103" s="1172"/>
      <c r="J103" s="1173" t="s">
        <v>3014</v>
      </c>
    </row>
    <row r="104" spans="1:10" s="1160" customFormat="1">
      <c r="A104" s="1168">
        <v>110</v>
      </c>
      <c r="B104" s="1174">
        <v>200</v>
      </c>
      <c r="C104" s="1174">
        <v>100</v>
      </c>
      <c r="D104" s="1169">
        <v>800</v>
      </c>
      <c r="E104" s="1174"/>
      <c r="F104" s="1175"/>
      <c r="G104" s="1176" t="s">
        <v>3454</v>
      </c>
      <c r="H104" s="1177"/>
      <c r="I104" s="1177"/>
      <c r="J104" s="1173" t="s">
        <v>3016</v>
      </c>
    </row>
    <row r="105" spans="1:10" s="1160" customFormat="1">
      <c r="A105" s="1168">
        <v>110</v>
      </c>
      <c r="B105" s="1174">
        <v>200</v>
      </c>
      <c r="C105" s="1174">
        <v>100</v>
      </c>
      <c r="D105" s="1169">
        <v>800</v>
      </c>
      <c r="E105" s="1169">
        <v>10</v>
      </c>
      <c r="F105" s="1170"/>
      <c r="G105" s="1171" t="s">
        <v>3454</v>
      </c>
      <c r="H105" s="1172">
        <v>2547516</v>
      </c>
      <c r="I105" s="1172">
        <v>2546694</v>
      </c>
      <c r="J105" s="1173"/>
    </row>
    <row r="106" spans="1:10" s="1160" customFormat="1">
      <c r="A106" s="1168">
        <v>110</v>
      </c>
      <c r="B106" s="1174">
        <v>200</v>
      </c>
      <c r="C106" s="1174">
        <v>100</v>
      </c>
      <c r="D106" s="1169">
        <v>800</v>
      </c>
      <c r="E106" s="1169">
        <v>80</v>
      </c>
      <c r="F106" s="1170"/>
      <c r="G106" s="1171" t="s">
        <v>3437</v>
      </c>
      <c r="H106" s="1172">
        <v>54292</v>
      </c>
      <c r="I106" s="1172">
        <v>63247</v>
      </c>
      <c r="J106" s="1173"/>
    </row>
    <row r="107" spans="1:10" s="1160" customFormat="1">
      <c r="A107" s="1168">
        <v>110</v>
      </c>
      <c r="B107" s="1174">
        <v>200</v>
      </c>
      <c r="C107" s="1174">
        <v>100</v>
      </c>
      <c r="D107" s="1169">
        <v>800</v>
      </c>
      <c r="E107" s="1169">
        <v>90</v>
      </c>
      <c r="F107" s="1170"/>
      <c r="G107" s="1171" t="s">
        <v>3438</v>
      </c>
      <c r="H107" s="1172"/>
      <c r="I107" s="1172"/>
      <c r="J107" s="1173"/>
    </row>
    <row r="108" spans="1:10" s="1160" customFormat="1" ht="26.4">
      <c r="A108" s="1168">
        <v>110</v>
      </c>
      <c r="B108" s="1174">
        <v>200</v>
      </c>
      <c r="C108" s="1174">
        <v>100</v>
      </c>
      <c r="D108" s="1169">
        <v>850</v>
      </c>
      <c r="E108" s="1174"/>
      <c r="F108" s="1175"/>
      <c r="G108" s="1171" t="s">
        <v>3455</v>
      </c>
      <c r="H108" s="1172"/>
      <c r="I108" s="1172"/>
      <c r="J108" s="1173" t="s">
        <v>3018</v>
      </c>
    </row>
    <row r="109" spans="1:10" s="1160" customFormat="1">
      <c r="A109" s="1168">
        <v>110</v>
      </c>
      <c r="B109" s="1174">
        <v>200</v>
      </c>
      <c r="C109" s="1174">
        <v>100</v>
      </c>
      <c r="D109" s="1169">
        <v>900</v>
      </c>
      <c r="E109" s="1174"/>
      <c r="F109" s="1175"/>
      <c r="G109" s="1176" t="s">
        <v>2668</v>
      </c>
      <c r="H109" s="1177"/>
      <c r="I109" s="1177"/>
      <c r="J109" s="1173" t="s">
        <v>3020</v>
      </c>
    </row>
    <row r="110" spans="1:10" s="1160" customFormat="1" ht="26.4">
      <c r="A110" s="1168">
        <v>110</v>
      </c>
      <c r="B110" s="1174">
        <v>200</v>
      </c>
      <c r="C110" s="1174">
        <v>100</v>
      </c>
      <c r="D110" s="1169">
        <v>900</v>
      </c>
      <c r="E110" s="1169">
        <v>10</v>
      </c>
      <c r="F110" s="1170"/>
      <c r="G110" s="1171" t="s">
        <v>3456</v>
      </c>
      <c r="H110" s="1172">
        <v>1319507</v>
      </c>
      <c r="I110" s="1172">
        <v>1387229</v>
      </c>
      <c r="J110" s="1173"/>
    </row>
    <row r="111" spans="1:10" s="1160" customFormat="1" ht="26.4">
      <c r="A111" s="1168">
        <v>110</v>
      </c>
      <c r="B111" s="1174">
        <v>200</v>
      </c>
      <c r="C111" s="1174">
        <v>100</v>
      </c>
      <c r="D111" s="1169">
        <v>900</v>
      </c>
      <c r="E111" s="1169">
        <v>20</v>
      </c>
      <c r="F111" s="1170"/>
      <c r="G111" s="1171" t="s">
        <v>3457</v>
      </c>
      <c r="H111" s="1172">
        <v>563232</v>
      </c>
      <c r="I111" s="1172">
        <v>530273</v>
      </c>
      <c r="J111" s="1173"/>
    </row>
    <row r="112" spans="1:10" s="1160" customFormat="1">
      <c r="A112" s="1168">
        <v>110</v>
      </c>
      <c r="B112" s="1174">
        <v>200</v>
      </c>
      <c r="C112" s="1174">
        <v>100</v>
      </c>
      <c r="D112" s="1169">
        <v>900</v>
      </c>
      <c r="E112" s="1169">
        <v>30</v>
      </c>
      <c r="F112" s="1170"/>
      <c r="G112" s="1171" t="s">
        <v>3458</v>
      </c>
      <c r="H112" s="1172">
        <v>129760</v>
      </c>
      <c r="I112" s="1172">
        <v>866706</v>
      </c>
      <c r="J112" s="1173"/>
    </row>
    <row r="113" spans="1:10" s="1160" customFormat="1">
      <c r="A113" s="1168">
        <v>110</v>
      </c>
      <c r="B113" s="1174">
        <v>200</v>
      </c>
      <c r="C113" s="1174">
        <v>100</v>
      </c>
      <c r="D113" s="1169">
        <v>900</v>
      </c>
      <c r="E113" s="1203">
        <v>90</v>
      </c>
      <c r="F113" s="1204"/>
      <c r="G113" s="1171" t="s">
        <v>3459</v>
      </c>
      <c r="H113" s="1172"/>
      <c r="I113" s="1172"/>
      <c r="J113" s="1173"/>
    </row>
    <row r="114" spans="1:10" s="1160" customFormat="1">
      <c r="A114" s="1168">
        <v>110</v>
      </c>
      <c r="B114" s="1174">
        <v>200</v>
      </c>
      <c r="C114" s="1174">
        <v>100</v>
      </c>
      <c r="D114" s="1169">
        <v>950</v>
      </c>
      <c r="E114" s="1174"/>
      <c r="F114" s="1175"/>
      <c r="G114" s="1171" t="s">
        <v>3460</v>
      </c>
      <c r="H114" s="1172"/>
      <c r="I114" s="1172"/>
      <c r="J114" s="1173" t="s">
        <v>3022</v>
      </c>
    </row>
    <row r="115" spans="1:10" s="1160" customFormat="1">
      <c r="A115" s="1168">
        <v>110</v>
      </c>
      <c r="B115" s="1174">
        <v>200</v>
      </c>
      <c r="C115" s="1174">
        <v>200</v>
      </c>
      <c r="D115" s="1174"/>
      <c r="E115" s="1174"/>
      <c r="F115" s="1175"/>
      <c r="G115" s="1176" t="s">
        <v>3461</v>
      </c>
      <c r="H115" s="1177"/>
      <c r="I115" s="1177"/>
      <c r="J115" s="1173" t="s">
        <v>3024</v>
      </c>
    </row>
    <row r="116" spans="1:10" s="1160" customFormat="1">
      <c r="A116" s="1168">
        <v>110</v>
      </c>
      <c r="B116" s="1174">
        <v>200</v>
      </c>
      <c r="C116" s="1174">
        <v>200</v>
      </c>
      <c r="D116" s="1169">
        <v>100</v>
      </c>
      <c r="E116" s="1169"/>
      <c r="F116" s="1170"/>
      <c r="G116" s="1171" t="s">
        <v>2670</v>
      </c>
      <c r="H116" s="1172">
        <v>7923076</v>
      </c>
      <c r="I116" s="1172">
        <v>3608630</v>
      </c>
      <c r="J116" s="1173" t="s">
        <v>3026</v>
      </c>
    </row>
    <row r="117" spans="1:10" s="1160" customFormat="1">
      <c r="A117" s="1168">
        <v>110</v>
      </c>
      <c r="B117" s="1174">
        <v>200</v>
      </c>
      <c r="C117" s="1174">
        <v>200</v>
      </c>
      <c r="D117" s="1169">
        <v>200</v>
      </c>
      <c r="E117" s="1169"/>
      <c r="F117" s="1170"/>
      <c r="G117" s="1171" t="s">
        <v>2671</v>
      </c>
      <c r="H117" s="1172"/>
      <c r="I117" s="1172"/>
      <c r="J117" s="1173" t="s">
        <v>3028</v>
      </c>
    </row>
    <row r="118" spans="1:10" s="1160" customFormat="1">
      <c r="A118" s="1168">
        <v>110</v>
      </c>
      <c r="B118" s="1174">
        <v>200</v>
      </c>
      <c r="C118" s="1174">
        <v>200</v>
      </c>
      <c r="D118" s="1169">
        <v>300</v>
      </c>
      <c r="E118" s="1169"/>
      <c r="F118" s="1170"/>
      <c r="G118" s="1171" t="s">
        <v>2672</v>
      </c>
      <c r="H118" s="1172"/>
      <c r="I118" s="1172"/>
      <c r="J118" s="1173" t="s">
        <v>3030</v>
      </c>
    </row>
    <row r="119" spans="1:10" s="1160" customFormat="1" ht="26.4">
      <c r="A119" s="1168">
        <v>110</v>
      </c>
      <c r="B119" s="1174">
        <v>200</v>
      </c>
      <c r="C119" s="1174">
        <v>200</v>
      </c>
      <c r="D119" s="1169">
        <v>350</v>
      </c>
      <c r="E119" s="1174"/>
      <c r="F119" s="1175"/>
      <c r="G119" s="1171" t="s">
        <v>3462</v>
      </c>
      <c r="H119" s="1172"/>
      <c r="I119" s="1172"/>
      <c r="J119" s="1173" t="s">
        <v>3032</v>
      </c>
    </row>
    <row r="120" spans="1:10" s="1160" customFormat="1">
      <c r="A120" s="1168">
        <v>110</v>
      </c>
      <c r="B120" s="1174">
        <v>200</v>
      </c>
      <c r="C120" s="1174">
        <v>200</v>
      </c>
      <c r="D120" s="1169">
        <v>400</v>
      </c>
      <c r="E120" s="1169"/>
      <c r="F120" s="1170"/>
      <c r="G120" s="1171" t="s">
        <v>3463</v>
      </c>
      <c r="H120" s="1172"/>
      <c r="I120" s="1172"/>
      <c r="J120" s="1173" t="s">
        <v>3034</v>
      </c>
    </row>
    <row r="121" spans="1:10" s="1160" customFormat="1" ht="26.4">
      <c r="A121" s="1168">
        <v>110</v>
      </c>
      <c r="B121" s="1174">
        <v>200</v>
      </c>
      <c r="C121" s="1174">
        <v>200</v>
      </c>
      <c r="D121" s="1169">
        <v>500</v>
      </c>
      <c r="E121" s="1169"/>
      <c r="F121" s="1170"/>
      <c r="G121" s="1171" t="s">
        <v>2673</v>
      </c>
      <c r="H121" s="1172"/>
      <c r="I121" s="1172"/>
      <c r="J121" s="1173" t="s">
        <v>3036</v>
      </c>
    </row>
    <row r="122" spans="1:10" s="1160" customFormat="1">
      <c r="A122" s="1168">
        <v>110</v>
      </c>
      <c r="B122" s="1174">
        <v>200</v>
      </c>
      <c r="C122" s="1174">
        <v>300</v>
      </c>
      <c r="D122" s="1169"/>
      <c r="E122" s="1174"/>
      <c r="F122" s="1175"/>
      <c r="G122" s="1171" t="s">
        <v>3464</v>
      </c>
      <c r="H122" s="1172"/>
      <c r="I122" s="1172"/>
      <c r="J122" s="1173" t="s">
        <v>3038</v>
      </c>
    </row>
    <row r="123" spans="1:10" s="1160" customFormat="1" ht="26.4">
      <c r="A123" s="1168">
        <v>110</v>
      </c>
      <c r="B123" s="1174">
        <v>200</v>
      </c>
      <c r="C123" s="1174">
        <v>400</v>
      </c>
      <c r="D123" s="1169"/>
      <c r="E123" s="1174"/>
      <c r="F123" s="1175"/>
      <c r="G123" s="1171" t="s">
        <v>3465</v>
      </c>
      <c r="H123" s="1172"/>
      <c r="I123" s="1172"/>
      <c r="J123" s="1173" t="s">
        <v>3040</v>
      </c>
    </row>
    <row r="124" spans="1:10" s="1160" customFormat="1">
      <c r="A124" s="1168">
        <v>110</v>
      </c>
      <c r="B124" s="1174">
        <v>300</v>
      </c>
      <c r="C124" s="1174"/>
      <c r="D124" s="1174"/>
      <c r="E124" s="1174"/>
      <c r="F124" s="1175"/>
      <c r="G124" s="1176" t="s">
        <v>2674</v>
      </c>
      <c r="H124" s="1177"/>
      <c r="I124" s="1177"/>
      <c r="J124" s="1173" t="s">
        <v>3042</v>
      </c>
    </row>
    <row r="125" spans="1:10" s="1160" customFormat="1">
      <c r="A125" s="1168">
        <v>110</v>
      </c>
      <c r="B125" s="1174">
        <v>300</v>
      </c>
      <c r="C125" s="1169">
        <v>100</v>
      </c>
      <c r="D125" s="1169"/>
      <c r="E125" s="1169"/>
      <c r="F125" s="1170"/>
      <c r="G125" s="1171" t="s">
        <v>3466</v>
      </c>
      <c r="H125" s="1172"/>
      <c r="I125" s="1172"/>
      <c r="J125" s="1173"/>
    </row>
    <row r="126" spans="1:10" s="1160" customFormat="1">
      <c r="A126" s="1168">
        <v>110</v>
      </c>
      <c r="B126" s="1174">
        <v>300</v>
      </c>
      <c r="C126" s="1169">
        <v>800</v>
      </c>
      <c r="D126" s="1169"/>
      <c r="E126" s="1169"/>
      <c r="F126" s="1170"/>
      <c r="G126" s="1171" t="s">
        <v>3437</v>
      </c>
      <c r="H126" s="1172"/>
      <c r="I126" s="1172"/>
      <c r="J126" s="1173"/>
    </row>
    <row r="127" spans="1:10" s="1160" customFormat="1">
      <c r="A127" s="1168">
        <v>110</v>
      </c>
      <c r="B127" s="1174">
        <v>300</v>
      </c>
      <c r="C127" s="1169">
        <v>900</v>
      </c>
      <c r="D127" s="1169"/>
      <c r="E127" s="1169"/>
      <c r="F127" s="1170"/>
      <c r="G127" s="1171" t="s">
        <v>3438</v>
      </c>
      <c r="H127" s="1172"/>
      <c r="I127" s="1172"/>
      <c r="J127" s="1173"/>
    </row>
    <row r="128" spans="1:10" s="1160" customFormat="1">
      <c r="A128" s="1168">
        <v>110</v>
      </c>
      <c r="B128" s="1174">
        <v>400</v>
      </c>
      <c r="C128" s="1174"/>
      <c r="D128" s="1174"/>
      <c r="E128" s="1174"/>
      <c r="F128" s="1175"/>
      <c r="G128" s="1176" t="s">
        <v>3467</v>
      </c>
      <c r="H128" s="1177"/>
      <c r="I128" s="1177"/>
      <c r="J128" s="1173" t="s">
        <v>3044</v>
      </c>
    </row>
    <row r="129" spans="1:10" s="1160" customFormat="1">
      <c r="A129" s="1168">
        <v>110</v>
      </c>
      <c r="B129" s="1174">
        <v>400</v>
      </c>
      <c r="C129" s="1174">
        <v>100</v>
      </c>
      <c r="D129" s="1174"/>
      <c r="E129" s="1174"/>
      <c r="F129" s="1175"/>
      <c r="G129" s="1176" t="s">
        <v>2676</v>
      </c>
      <c r="H129" s="1177"/>
      <c r="I129" s="1177"/>
      <c r="J129" s="1173"/>
    </row>
    <row r="130" spans="1:10" s="1160" customFormat="1" ht="26.4">
      <c r="A130" s="1168">
        <v>110</v>
      </c>
      <c r="B130" s="1174">
        <v>400</v>
      </c>
      <c r="C130" s="1174">
        <v>100</v>
      </c>
      <c r="D130" s="1169">
        <v>100</v>
      </c>
      <c r="E130" s="1169"/>
      <c r="F130" s="1170"/>
      <c r="G130" s="1171" t="s">
        <v>3468</v>
      </c>
      <c r="H130" s="1172"/>
      <c r="I130" s="1172"/>
      <c r="J130" s="1173" t="s">
        <v>3048</v>
      </c>
    </row>
    <row r="131" spans="1:10" s="1160" customFormat="1" ht="26.4">
      <c r="A131" s="1168">
        <v>110</v>
      </c>
      <c r="B131" s="1174">
        <v>400</v>
      </c>
      <c r="C131" s="1174">
        <v>100</v>
      </c>
      <c r="D131" s="1174">
        <v>200</v>
      </c>
      <c r="E131" s="1174"/>
      <c r="F131" s="1175"/>
      <c r="G131" s="1176" t="s">
        <v>3469</v>
      </c>
      <c r="H131" s="1177"/>
      <c r="I131" s="1177"/>
      <c r="J131" s="1173" t="s">
        <v>3050</v>
      </c>
    </row>
    <row r="132" spans="1:10" s="1160" customFormat="1" ht="26.4">
      <c r="A132" s="1168">
        <v>110</v>
      </c>
      <c r="B132" s="1174">
        <v>400</v>
      </c>
      <c r="C132" s="1174">
        <v>100</v>
      </c>
      <c r="D132" s="1174">
        <v>200</v>
      </c>
      <c r="E132" s="1169">
        <v>10</v>
      </c>
      <c r="F132" s="1170"/>
      <c r="G132" s="1171" t="s">
        <v>3469</v>
      </c>
      <c r="H132" s="1172">
        <v>1041272</v>
      </c>
      <c r="I132" s="1172">
        <v>394427</v>
      </c>
      <c r="J132" s="1173"/>
    </row>
    <row r="133" spans="1:10" s="1160" customFormat="1">
      <c r="A133" s="1168">
        <v>110</v>
      </c>
      <c r="B133" s="1174">
        <v>400</v>
      </c>
      <c r="C133" s="1174">
        <v>100</v>
      </c>
      <c r="D133" s="1174">
        <v>200</v>
      </c>
      <c r="E133" s="1169">
        <v>80</v>
      </c>
      <c r="F133" s="1170"/>
      <c r="G133" s="1171" t="s">
        <v>3437</v>
      </c>
      <c r="H133" s="1172">
        <v>352048</v>
      </c>
      <c r="I133" s="1172">
        <v>536787</v>
      </c>
      <c r="J133" s="1173"/>
    </row>
    <row r="134" spans="1:10" s="1160" customFormat="1">
      <c r="A134" s="1168">
        <v>110</v>
      </c>
      <c r="B134" s="1174">
        <v>400</v>
      </c>
      <c r="C134" s="1174">
        <v>100</v>
      </c>
      <c r="D134" s="1174">
        <v>200</v>
      </c>
      <c r="E134" s="1169">
        <v>90</v>
      </c>
      <c r="F134" s="1170"/>
      <c r="G134" s="1171" t="s">
        <v>3438</v>
      </c>
      <c r="H134" s="1172"/>
      <c r="I134" s="1172"/>
      <c r="J134" s="1173"/>
    </row>
    <row r="135" spans="1:10" s="1160" customFormat="1">
      <c r="A135" s="1168">
        <v>110</v>
      </c>
      <c r="B135" s="1174">
        <v>400</v>
      </c>
      <c r="C135" s="1174">
        <v>100</v>
      </c>
      <c r="D135" s="1174">
        <v>300</v>
      </c>
      <c r="E135" s="1174"/>
      <c r="F135" s="1175"/>
      <c r="G135" s="1176" t="s">
        <v>3470</v>
      </c>
      <c r="H135" s="1177"/>
      <c r="I135" s="1177"/>
      <c r="J135" s="1173" t="s">
        <v>3052</v>
      </c>
    </row>
    <row r="136" spans="1:10" s="1160" customFormat="1">
      <c r="A136" s="1168">
        <v>110</v>
      </c>
      <c r="B136" s="1174">
        <v>400</v>
      </c>
      <c r="C136" s="1174">
        <v>100</v>
      </c>
      <c r="D136" s="1174">
        <v>300</v>
      </c>
      <c r="E136" s="1169">
        <v>10</v>
      </c>
      <c r="F136" s="1170"/>
      <c r="G136" s="1171" t="s">
        <v>3471</v>
      </c>
      <c r="H136" s="1172">
        <v>3434865</v>
      </c>
      <c r="I136" s="1172">
        <v>934833</v>
      </c>
      <c r="J136" s="1173"/>
    </row>
    <row r="137" spans="1:10" s="1160" customFormat="1">
      <c r="A137" s="1168">
        <v>110</v>
      </c>
      <c r="B137" s="1174">
        <v>400</v>
      </c>
      <c r="C137" s="1174">
        <v>100</v>
      </c>
      <c r="D137" s="1174">
        <v>300</v>
      </c>
      <c r="E137" s="1169">
        <v>80</v>
      </c>
      <c r="F137" s="1170"/>
      <c r="G137" s="1171" t="s">
        <v>3437</v>
      </c>
      <c r="H137" s="1172">
        <v>171843</v>
      </c>
      <c r="I137" s="1172">
        <v>169908</v>
      </c>
      <c r="J137" s="1173"/>
    </row>
    <row r="138" spans="1:10" s="1160" customFormat="1">
      <c r="A138" s="1168">
        <v>110</v>
      </c>
      <c r="B138" s="1174">
        <v>400</v>
      </c>
      <c r="C138" s="1174">
        <v>100</v>
      </c>
      <c r="D138" s="1174">
        <v>300</v>
      </c>
      <c r="E138" s="1169">
        <v>90</v>
      </c>
      <c r="F138" s="1170"/>
      <c r="G138" s="1171" t="s">
        <v>3438</v>
      </c>
      <c r="H138" s="1172"/>
      <c r="I138" s="1172"/>
      <c r="J138" s="1173"/>
    </row>
    <row r="139" spans="1:10" s="1160" customFormat="1">
      <c r="A139" s="1168">
        <v>110</v>
      </c>
      <c r="B139" s="1174">
        <v>400</v>
      </c>
      <c r="C139" s="1174">
        <v>200</v>
      </c>
      <c r="D139" s="1174"/>
      <c r="E139" s="1174"/>
      <c r="F139" s="1175"/>
      <c r="G139" s="1176" t="s">
        <v>3472</v>
      </c>
      <c r="H139" s="1172"/>
      <c r="I139" s="1172"/>
      <c r="J139" s="1173" t="s">
        <v>3054</v>
      </c>
    </row>
    <row r="140" spans="1:10" s="1160" customFormat="1" ht="26.4">
      <c r="A140" s="1168">
        <v>110</v>
      </c>
      <c r="B140" s="1174">
        <v>400</v>
      </c>
      <c r="C140" s="1174">
        <v>250</v>
      </c>
      <c r="D140" s="1174"/>
      <c r="E140" s="1174"/>
      <c r="F140" s="1175"/>
      <c r="G140" s="1176" t="s">
        <v>3473</v>
      </c>
      <c r="H140" s="1172"/>
      <c r="I140" s="1172"/>
      <c r="J140" s="1173" t="s">
        <v>3056</v>
      </c>
    </row>
    <row r="141" spans="1:10" s="1160" customFormat="1">
      <c r="A141" s="1168">
        <v>110</v>
      </c>
      <c r="B141" s="1174">
        <v>400</v>
      </c>
      <c r="C141" s="1174">
        <v>300</v>
      </c>
      <c r="D141" s="1174"/>
      <c r="E141" s="1174"/>
      <c r="F141" s="1175"/>
      <c r="G141" s="1176" t="s">
        <v>3474</v>
      </c>
      <c r="H141" s="1177"/>
      <c r="I141" s="1177"/>
      <c r="J141" s="1173" t="s">
        <v>3058</v>
      </c>
    </row>
    <row r="142" spans="1:10" s="1160" customFormat="1">
      <c r="A142" s="1168">
        <v>110</v>
      </c>
      <c r="B142" s="1174">
        <v>400</v>
      </c>
      <c r="C142" s="1174">
        <v>300</v>
      </c>
      <c r="D142" s="1169">
        <v>100</v>
      </c>
      <c r="E142" s="1169"/>
      <c r="F142" s="1170"/>
      <c r="G142" s="1171" t="s">
        <v>3474</v>
      </c>
      <c r="H142" s="1172">
        <v>155795</v>
      </c>
      <c r="I142" s="1172">
        <v>149757</v>
      </c>
      <c r="J142" s="1173"/>
    </row>
    <row r="143" spans="1:10" s="1160" customFormat="1">
      <c r="A143" s="1168">
        <v>110</v>
      </c>
      <c r="B143" s="1174">
        <v>400</v>
      </c>
      <c r="C143" s="1174">
        <v>300</v>
      </c>
      <c r="D143" s="1169">
        <v>800</v>
      </c>
      <c r="E143" s="1169"/>
      <c r="F143" s="1170"/>
      <c r="G143" s="1171" t="s">
        <v>3437</v>
      </c>
      <c r="H143" s="1172">
        <v>45807</v>
      </c>
      <c r="I143" s="1172">
        <v>86654</v>
      </c>
      <c r="J143" s="1173"/>
    </row>
    <row r="144" spans="1:10" s="1160" customFormat="1">
      <c r="A144" s="1168">
        <v>110</v>
      </c>
      <c r="B144" s="1174">
        <v>400</v>
      </c>
      <c r="C144" s="1174">
        <v>300</v>
      </c>
      <c r="D144" s="1169">
        <v>900</v>
      </c>
      <c r="E144" s="1169"/>
      <c r="F144" s="1170"/>
      <c r="G144" s="1171" t="s">
        <v>3438</v>
      </c>
      <c r="H144" s="1172"/>
      <c r="I144" s="1172"/>
      <c r="J144" s="1173"/>
    </row>
    <row r="145" spans="1:10" s="1160" customFormat="1" ht="26.4">
      <c r="A145" s="1168">
        <v>110</v>
      </c>
      <c r="B145" s="1174">
        <v>400</v>
      </c>
      <c r="C145" s="1174">
        <v>350</v>
      </c>
      <c r="D145" s="1174"/>
      <c r="E145" s="1174"/>
      <c r="F145" s="1175"/>
      <c r="G145" s="1176" t="s">
        <v>3475</v>
      </c>
      <c r="H145" s="1172"/>
      <c r="I145" s="1172"/>
      <c r="J145" s="1173" t="s">
        <v>3060</v>
      </c>
    </row>
    <row r="146" spans="1:10" s="1160" customFormat="1">
      <c r="A146" s="1168">
        <v>110</v>
      </c>
      <c r="B146" s="1174">
        <v>500</v>
      </c>
      <c r="C146" s="1174"/>
      <c r="D146" s="1174"/>
      <c r="E146" s="1174"/>
      <c r="F146" s="1175"/>
      <c r="G146" s="1176" t="s">
        <v>2678</v>
      </c>
      <c r="H146" s="1177"/>
      <c r="I146" s="1177"/>
      <c r="J146" s="1173"/>
    </row>
    <row r="147" spans="1:10" s="1160" customFormat="1">
      <c r="A147" s="1168">
        <v>110</v>
      </c>
      <c r="B147" s="1174">
        <v>500</v>
      </c>
      <c r="C147" s="1169">
        <v>100</v>
      </c>
      <c r="D147" s="1169"/>
      <c r="E147" s="1169"/>
      <c r="F147" s="1170"/>
      <c r="G147" s="1171" t="s">
        <v>3476</v>
      </c>
      <c r="H147" s="1172"/>
      <c r="I147" s="1172"/>
      <c r="J147" s="1173" t="s">
        <v>3064</v>
      </c>
    </row>
    <row r="148" spans="1:10" s="1160" customFormat="1">
      <c r="A148" s="1168">
        <v>110</v>
      </c>
      <c r="B148" s="1174">
        <v>500</v>
      </c>
      <c r="C148" s="1169">
        <v>200</v>
      </c>
      <c r="D148" s="1169"/>
      <c r="E148" s="1169"/>
      <c r="F148" s="1170"/>
      <c r="G148" s="1171" t="s">
        <v>3477</v>
      </c>
      <c r="H148" s="1172"/>
      <c r="I148" s="1172"/>
      <c r="J148" s="1173" t="s">
        <v>3066</v>
      </c>
    </row>
    <row r="149" spans="1:10" s="1160" customFormat="1">
      <c r="A149" s="1168">
        <v>110</v>
      </c>
      <c r="B149" s="1174">
        <v>500</v>
      </c>
      <c r="C149" s="1205">
        <v>300</v>
      </c>
      <c r="D149" s="1174"/>
      <c r="E149" s="1174"/>
      <c r="F149" s="1175"/>
      <c r="G149" s="1176" t="s">
        <v>3478</v>
      </c>
      <c r="H149" s="1177"/>
      <c r="I149" s="1177"/>
      <c r="J149" s="1173" t="s">
        <v>3068</v>
      </c>
    </row>
    <row r="150" spans="1:10" s="1160" customFormat="1">
      <c r="A150" s="1168">
        <v>110</v>
      </c>
      <c r="B150" s="1174">
        <v>500</v>
      </c>
      <c r="C150" s="1205">
        <v>300</v>
      </c>
      <c r="D150" s="1169">
        <v>100</v>
      </c>
      <c r="E150" s="1169"/>
      <c r="F150" s="1170"/>
      <c r="G150" s="1171" t="s">
        <v>3478</v>
      </c>
      <c r="H150" s="1172"/>
      <c r="I150" s="1172"/>
      <c r="J150" s="1173"/>
    </row>
    <row r="151" spans="1:10" s="1160" customFormat="1">
      <c r="A151" s="1168">
        <v>110</v>
      </c>
      <c r="B151" s="1174">
        <v>500</v>
      </c>
      <c r="C151" s="1205">
        <v>300</v>
      </c>
      <c r="D151" s="1169">
        <v>800</v>
      </c>
      <c r="E151" s="1169"/>
      <c r="F151" s="1170"/>
      <c r="G151" s="1171" t="s">
        <v>3437</v>
      </c>
      <c r="H151" s="1172"/>
      <c r="I151" s="1172"/>
      <c r="J151" s="1173"/>
    </row>
    <row r="152" spans="1:10" s="1160" customFormat="1">
      <c r="A152" s="1168">
        <v>110</v>
      </c>
      <c r="B152" s="1174">
        <v>500</v>
      </c>
      <c r="C152" s="1205">
        <v>300</v>
      </c>
      <c r="D152" s="1169">
        <v>900</v>
      </c>
      <c r="E152" s="1169"/>
      <c r="F152" s="1170"/>
      <c r="G152" s="1171" t="s">
        <v>3438</v>
      </c>
      <c r="H152" s="1172"/>
      <c r="I152" s="1172"/>
      <c r="J152" s="1173"/>
    </row>
    <row r="153" spans="1:10" s="1160" customFormat="1">
      <c r="A153" s="1168">
        <v>110</v>
      </c>
      <c r="B153" s="1174">
        <v>600</v>
      </c>
      <c r="C153" s="1174"/>
      <c r="D153" s="1174"/>
      <c r="E153" s="1174"/>
      <c r="F153" s="1175"/>
      <c r="G153" s="1176" t="s">
        <v>2679</v>
      </c>
      <c r="H153" s="1177"/>
      <c r="I153" s="1177"/>
      <c r="J153" s="1173" t="s">
        <v>3070</v>
      </c>
    </row>
    <row r="154" spans="1:10" s="1160" customFormat="1">
      <c r="A154" s="1168">
        <v>110</v>
      </c>
      <c r="B154" s="1174">
        <v>600</v>
      </c>
      <c r="C154" s="1169">
        <v>100</v>
      </c>
      <c r="D154" s="1169"/>
      <c r="E154" s="1169"/>
      <c r="F154" s="1170"/>
      <c r="G154" s="1171" t="s">
        <v>115</v>
      </c>
      <c r="H154" s="1172"/>
      <c r="I154" s="1172"/>
      <c r="J154" s="1173"/>
    </row>
    <row r="155" spans="1:10" s="1160" customFormat="1">
      <c r="A155" s="1168">
        <v>110</v>
      </c>
      <c r="B155" s="1174">
        <v>600</v>
      </c>
      <c r="C155" s="1169">
        <v>200</v>
      </c>
      <c r="D155" s="1169"/>
      <c r="E155" s="1169"/>
      <c r="F155" s="1170"/>
      <c r="G155" s="1171" t="s">
        <v>110</v>
      </c>
      <c r="H155" s="1172"/>
      <c r="I155" s="1172"/>
      <c r="J155" s="1173"/>
    </row>
    <row r="156" spans="1:10" s="1160" customFormat="1">
      <c r="A156" s="1168">
        <v>110</v>
      </c>
      <c r="B156" s="1174">
        <v>600</v>
      </c>
      <c r="C156" s="1169">
        <v>300</v>
      </c>
      <c r="D156" s="1169"/>
      <c r="E156" s="1169"/>
      <c r="F156" s="1170"/>
      <c r="G156" s="1171" t="s">
        <v>3479</v>
      </c>
      <c r="H156" s="1172"/>
      <c r="I156" s="1172"/>
      <c r="J156" s="1173"/>
    </row>
    <row r="157" spans="1:10" s="1160" customFormat="1">
      <c r="A157" s="1168">
        <v>110</v>
      </c>
      <c r="B157" s="1174">
        <v>600</v>
      </c>
      <c r="C157" s="1169">
        <v>400</v>
      </c>
      <c r="D157" s="1169"/>
      <c r="E157" s="1169"/>
      <c r="F157" s="1170"/>
      <c r="G157" s="1171" t="s">
        <v>3480</v>
      </c>
      <c r="H157" s="1172"/>
      <c r="I157" s="1172"/>
      <c r="J157" s="1173"/>
    </row>
    <row r="158" spans="1:10" s="1160" customFormat="1">
      <c r="A158" s="1168">
        <v>110</v>
      </c>
      <c r="B158" s="1174">
        <v>600</v>
      </c>
      <c r="C158" s="1169">
        <v>500</v>
      </c>
      <c r="D158" s="1169"/>
      <c r="E158" s="1169"/>
      <c r="F158" s="1170"/>
      <c r="G158" s="1171" t="s">
        <v>3481</v>
      </c>
      <c r="H158" s="1172"/>
      <c r="I158" s="1172"/>
      <c r="J158" s="1173"/>
    </row>
    <row r="159" spans="1:10" s="1160" customFormat="1">
      <c r="A159" s="1168">
        <v>110</v>
      </c>
      <c r="B159" s="1174">
        <v>600</v>
      </c>
      <c r="C159" s="1169">
        <v>600</v>
      </c>
      <c r="D159" s="1169"/>
      <c r="E159" s="1169"/>
      <c r="F159" s="1170"/>
      <c r="G159" s="1171" t="s">
        <v>3482</v>
      </c>
      <c r="H159" s="1172"/>
      <c r="I159" s="1172"/>
      <c r="J159" s="1173"/>
    </row>
    <row r="160" spans="1:10" s="1160" customFormat="1">
      <c r="A160" s="1168">
        <v>110</v>
      </c>
      <c r="B160" s="1174">
        <v>700</v>
      </c>
      <c r="C160" s="1174"/>
      <c r="D160" s="1174"/>
      <c r="E160" s="1174"/>
      <c r="F160" s="1175"/>
      <c r="G160" s="1176" t="s">
        <v>2680</v>
      </c>
      <c r="H160" s="1177"/>
      <c r="I160" s="1177"/>
      <c r="J160" s="1173"/>
    </row>
    <row r="161" spans="1:10" s="1160" customFormat="1">
      <c r="A161" s="1168">
        <v>110</v>
      </c>
      <c r="B161" s="1174">
        <v>700</v>
      </c>
      <c r="C161" s="1174">
        <v>100</v>
      </c>
      <c r="D161" s="1174"/>
      <c r="E161" s="1174"/>
      <c r="F161" s="1175"/>
      <c r="G161" s="1176" t="s">
        <v>3483</v>
      </c>
      <c r="H161" s="1177"/>
      <c r="I161" s="1177"/>
      <c r="J161" s="1173" t="s">
        <v>3074</v>
      </c>
    </row>
    <row r="162" spans="1:10" s="1160" customFormat="1">
      <c r="A162" s="1168">
        <v>110</v>
      </c>
      <c r="B162" s="1174">
        <v>700</v>
      </c>
      <c r="C162" s="1174">
        <v>100</v>
      </c>
      <c r="D162" s="1169">
        <v>100</v>
      </c>
      <c r="E162" s="1169"/>
      <c r="F162" s="1170"/>
      <c r="G162" s="1171" t="s">
        <v>3484</v>
      </c>
      <c r="H162" s="1206">
        <v>1325379</v>
      </c>
      <c r="I162" s="1206">
        <v>1049514</v>
      </c>
      <c r="J162" s="1173"/>
    </row>
    <row r="163" spans="1:10" s="1160" customFormat="1">
      <c r="A163" s="1168">
        <v>110</v>
      </c>
      <c r="B163" s="1174">
        <v>700</v>
      </c>
      <c r="C163" s="1174">
        <v>100</v>
      </c>
      <c r="D163" s="1169">
        <v>200</v>
      </c>
      <c r="E163" s="1169"/>
      <c r="F163" s="1170"/>
      <c r="G163" s="1171" t="s">
        <v>3485</v>
      </c>
      <c r="H163" s="1206">
        <v>92293</v>
      </c>
      <c r="I163" s="1206">
        <v>200473</v>
      </c>
      <c r="J163" s="1173"/>
    </row>
    <row r="164" spans="1:10" s="1160" customFormat="1">
      <c r="A164" s="1168">
        <v>110</v>
      </c>
      <c r="B164" s="1174">
        <v>700</v>
      </c>
      <c r="C164" s="1174">
        <v>100</v>
      </c>
      <c r="D164" s="1169">
        <v>300</v>
      </c>
      <c r="E164" s="1169"/>
      <c r="F164" s="1170"/>
      <c r="G164" s="1171" t="s">
        <v>3486</v>
      </c>
      <c r="H164" s="1206"/>
      <c r="I164" s="1206"/>
      <c r="J164" s="1173"/>
    </row>
    <row r="165" spans="1:10" s="1160" customFormat="1">
      <c r="A165" s="1168">
        <v>110</v>
      </c>
      <c r="B165" s="1174">
        <v>700</v>
      </c>
      <c r="C165" s="1174">
        <v>100</v>
      </c>
      <c r="D165" s="1169">
        <v>800</v>
      </c>
      <c r="E165" s="1169"/>
      <c r="F165" s="1170"/>
      <c r="G165" s="1171" t="s">
        <v>3437</v>
      </c>
      <c r="H165" s="1206">
        <v>272893</v>
      </c>
      <c r="I165" s="1206">
        <v>221030</v>
      </c>
      <c r="J165" s="1173"/>
    </row>
    <row r="166" spans="1:10" s="1160" customFormat="1">
      <c r="A166" s="1168">
        <v>110</v>
      </c>
      <c r="B166" s="1174">
        <v>700</v>
      </c>
      <c r="C166" s="1174">
        <v>100</v>
      </c>
      <c r="D166" s="1169">
        <v>900</v>
      </c>
      <c r="E166" s="1169"/>
      <c r="F166" s="1170"/>
      <c r="G166" s="1171" t="s">
        <v>3438</v>
      </c>
      <c r="H166" s="1206"/>
      <c r="I166" s="1206"/>
      <c r="J166" s="1173"/>
    </row>
    <row r="167" spans="1:10" s="1160" customFormat="1">
      <c r="A167" s="1168">
        <v>110</v>
      </c>
      <c r="B167" s="1174">
        <v>700</v>
      </c>
      <c r="C167" s="1169">
        <v>200</v>
      </c>
      <c r="D167" s="1169"/>
      <c r="E167" s="1169"/>
      <c r="F167" s="1170"/>
      <c r="G167" s="1171" t="s">
        <v>3487</v>
      </c>
      <c r="H167" s="1206"/>
      <c r="I167" s="1206"/>
      <c r="J167" s="1173" t="s">
        <v>3076</v>
      </c>
    </row>
    <row r="168" spans="1:10" s="1160" customFormat="1">
      <c r="A168" s="1168">
        <v>110</v>
      </c>
      <c r="B168" s="1174">
        <v>700</v>
      </c>
      <c r="C168" s="1174">
        <v>300</v>
      </c>
      <c r="D168" s="1174"/>
      <c r="E168" s="1174"/>
      <c r="F168" s="1175"/>
      <c r="G168" s="1176" t="s">
        <v>3488</v>
      </c>
      <c r="H168" s="1207"/>
      <c r="I168" s="1207"/>
      <c r="J168" s="1173" t="s">
        <v>3078</v>
      </c>
    </row>
    <row r="169" spans="1:10" s="1160" customFormat="1">
      <c r="A169" s="1168">
        <v>110</v>
      </c>
      <c r="B169" s="1174">
        <v>700</v>
      </c>
      <c r="C169" s="1174">
        <v>300</v>
      </c>
      <c r="D169" s="1169">
        <v>100</v>
      </c>
      <c r="E169" s="1169"/>
      <c r="F169" s="1170"/>
      <c r="G169" s="1171" t="s">
        <v>3489</v>
      </c>
      <c r="H169" s="1206"/>
      <c r="I169" s="1206"/>
      <c r="J169" s="1173"/>
    </row>
    <row r="170" spans="1:10" s="1160" customFormat="1">
      <c r="A170" s="1168">
        <v>110</v>
      </c>
      <c r="B170" s="1174">
        <v>700</v>
      </c>
      <c r="C170" s="1174">
        <v>300</v>
      </c>
      <c r="D170" s="1169">
        <v>200</v>
      </c>
      <c r="E170" s="1169"/>
      <c r="F170" s="1170"/>
      <c r="G170" s="1171" t="s">
        <v>3490</v>
      </c>
      <c r="H170" s="1206">
        <v>131017</v>
      </c>
      <c r="I170" s="1206">
        <v>61872</v>
      </c>
      <c r="J170" s="1173"/>
    </row>
    <row r="171" spans="1:10" s="1160" customFormat="1">
      <c r="A171" s="1168">
        <v>110</v>
      </c>
      <c r="B171" s="1174">
        <v>700</v>
      </c>
      <c r="C171" s="1174">
        <v>300</v>
      </c>
      <c r="D171" s="1169">
        <v>800</v>
      </c>
      <c r="E171" s="1169"/>
      <c r="F171" s="1170"/>
      <c r="G171" s="1171" t="s">
        <v>3437</v>
      </c>
      <c r="H171" s="1206">
        <v>139423</v>
      </c>
      <c r="I171" s="1206">
        <v>143069</v>
      </c>
      <c r="J171" s="1173"/>
    </row>
    <row r="172" spans="1:10" s="1160" customFormat="1">
      <c r="A172" s="1168">
        <v>110</v>
      </c>
      <c r="B172" s="1174">
        <v>700</v>
      </c>
      <c r="C172" s="1174">
        <v>300</v>
      </c>
      <c r="D172" s="1169">
        <v>900</v>
      </c>
      <c r="E172" s="1169"/>
      <c r="F172" s="1170"/>
      <c r="G172" s="1171" t="s">
        <v>3438</v>
      </c>
      <c r="H172" s="1206"/>
      <c r="I172" s="1206"/>
      <c r="J172" s="1173"/>
    </row>
    <row r="173" spans="1:10" s="1160" customFormat="1">
      <c r="A173" s="1168">
        <v>110</v>
      </c>
      <c r="B173" s="1174">
        <v>700</v>
      </c>
      <c r="C173" s="1169">
        <v>400</v>
      </c>
      <c r="D173" s="1169"/>
      <c r="E173" s="1169"/>
      <c r="F173" s="1170"/>
      <c r="G173" s="1171" t="s">
        <v>3491</v>
      </c>
      <c r="H173" s="1206">
        <v>38500</v>
      </c>
      <c r="I173" s="1206"/>
      <c r="J173" s="1173" t="s">
        <v>3080</v>
      </c>
    </row>
    <row r="174" spans="1:10" s="1160" customFormat="1">
      <c r="A174" s="1168">
        <v>110</v>
      </c>
      <c r="B174" s="1174">
        <v>700</v>
      </c>
      <c r="C174" s="1174">
        <v>500</v>
      </c>
      <c r="D174" s="1174"/>
      <c r="E174" s="1174"/>
      <c r="F174" s="1175"/>
      <c r="G174" s="1176" t="s">
        <v>3492</v>
      </c>
      <c r="H174" s="1207"/>
      <c r="I174" s="1207"/>
      <c r="J174" s="1173" t="s">
        <v>3082</v>
      </c>
    </row>
    <row r="175" spans="1:10" s="1160" customFormat="1">
      <c r="A175" s="1168"/>
      <c r="B175" s="1174"/>
      <c r="C175" s="1174"/>
      <c r="D175" s="1174"/>
      <c r="E175" s="1174"/>
      <c r="F175" s="1175"/>
      <c r="G175" s="1171" t="s">
        <v>3492</v>
      </c>
      <c r="H175" s="1208"/>
      <c r="I175" s="1208"/>
      <c r="J175" s="1209" t="s">
        <v>3084</v>
      </c>
    </row>
    <row r="176" spans="1:10" s="1160" customFormat="1">
      <c r="A176" s="1168">
        <v>110</v>
      </c>
      <c r="B176" s="1174">
        <v>700</v>
      </c>
      <c r="C176" s="1174">
        <v>500</v>
      </c>
      <c r="D176" s="1174">
        <v>100</v>
      </c>
      <c r="E176" s="1174"/>
      <c r="F176" s="1175"/>
      <c r="G176" s="1176" t="s">
        <v>3493</v>
      </c>
      <c r="H176" s="1210"/>
      <c r="I176" s="1210"/>
      <c r="J176" s="1209" t="s">
        <v>3084</v>
      </c>
    </row>
    <row r="177" spans="1:10" s="1160" customFormat="1">
      <c r="A177" s="1168">
        <v>110</v>
      </c>
      <c r="B177" s="1174">
        <v>700</v>
      </c>
      <c r="C177" s="1174">
        <v>500</v>
      </c>
      <c r="D177" s="1174">
        <v>100</v>
      </c>
      <c r="E177" s="1169">
        <v>10</v>
      </c>
      <c r="F177" s="1170"/>
      <c r="G177" s="1171" t="s">
        <v>3494</v>
      </c>
      <c r="H177" s="1211">
        <v>3128</v>
      </c>
      <c r="I177" s="1211">
        <v>9815</v>
      </c>
      <c r="J177" s="1209" t="s">
        <v>3084</v>
      </c>
    </row>
    <row r="178" spans="1:10" s="1160" customFormat="1">
      <c r="A178" s="1168">
        <v>110</v>
      </c>
      <c r="B178" s="1174">
        <v>700</v>
      </c>
      <c r="C178" s="1174">
        <v>500</v>
      </c>
      <c r="D178" s="1174">
        <v>100</v>
      </c>
      <c r="E178" s="1169">
        <v>90</v>
      </c>
      <c r="F178" s="1170"/>
      <c r="G178" s="1171" t="s">
        <v>3495</v>
      </c>
      <c r="H178" s="1211"/>
      <c r="I178" s="1211">
        <v>400</v>
      </c>
      <c r="J178" s="1209" t="s">
        <v>3084</v>
      </c>
    </row>
    <row r="179" spans="1:10" s="1160" customFormat="1">
      <c r="A179" s="1168">
        <v>110</v>
      </c>
      <c r="B179" s="1174">
        <v>700</v>
      </c>
      <c r="C179" s="1174">
        <v>500</v>
      </c>
      <c r="D179" s="1169">
        <v>200</v>
      </c>
      <c r="E179" s="1169"/>
      <c r="F179" s="1170"/>
      <c r="G179" s="1171" t="s">
        <v>3496</v>
      </c>
      <c r="H179" s="1211"/>
      <c r="I179" s="1211"/>
      <c r="J179" s="1209" t="s">
        <v>3084</v>
      </c>
    </row>
    <row r="180" spans="1:10" s="1160" customFormat="1">
      <c r="A180" s="1168">
        <v>110</v>
      </c>
      <c r="B180" s="1174">
        <v>700</v>
      </c>
      <c r="C180" s="1174">
        <v>500</v>
      </c>
      <c r="D180" s="1169">
        <v>300</v>
      </c>
      <c r="E180" s="1169"/>
      <c r="F180" s="1170"/>
      <c r="G180" s="1171" t="s">
        <v>3497</v>
      </c>
      <c r="H180" s="1211"/>
      <c r="I180" s="1211"/>
      <c r="J180" s="1209" t="s">
        <v>3084</v>
      </c>
    </row>
    <row r="181" spans="1:10" s="1160" customFormat="1">
      <c r="A181" s="1168">
        <v>110</v>
      </c>
      <c r="B181" s="1174">
        <v>700</v>
      </c>
      <c r="C181" s="1174">
        <v>500</v>
      </c>
      <c r="D181" s="1169">
        <v>400</v>
      </c>
      <c r="E181" s="1169"/>
      <c r="F181" s="1170"/>
      <c r="G181" s="1171" t="s">
        <v>2698</v>
      </c>
      <c r="H181" s="1211"/>
      <c r="I181" s="1211"/>
      <c r="J181" s="1209" t="s">
        <v>3084</v>
      </c>
    </row>
    <row r="182" spans="1:10" s="1160" customFormat="1">
      <c r="A182" s="1168">
        <v>110</v>
      </c>
      <c r="B182" s="1174">
        <v>700</v>
      </c>
      <c r="C182" s="1174">
        <v>500</v>
      </c>
      <c r="D182" s="1169">
        <v>900</v>
      </c>
      <c r="E182" s="1169"/>
      <c r="F182" s="1212"/>
      <c r="G182" s="1171" t="s">
        <v>3492</v>
      </c>
      <c r="H182" s="1211">
        <v>171437</v>
      </c>
      <c r="I182" s="1211">
        <v>70714</v>
      </c>
      <c r="J182" s="1209" t="s">
        <v>3084</v>
      </c>
    </row>
    <row r="183" spans="1:10" s="1160" customFormat="1">
      <c r="A183" s="1168">
        <v>110</v>
      </c>
      <c r="B183" s="1174">
        <v>700</v>
      </c>
      <c r="C183" s="1174">
        <v>500</v>
      </c>
      <c r="D183" s="1169">
        <v>910</v>
      </c>
      <c r="E183" s="1169"/>
      <c r="F183" s="1212"/>
      <c r="G183" s="1213" t="s">
        <v>3498</v>
      </c>
      <c r="H183" s="1206"/>
      <c r="I183" s="1206"/>
      <c r="J183" s="1173" t="s">
        <v>3086</v>
      </c>
    </row>
    <row r="184" spans="1:10" s="1160" customFormat="1" ht="26.4">
      <c r="A184" s="1168">
        <v>110</v>
      </c>
      <c r="B184" s="1174">
        <v>700</v>
      </c>
      <c r="C184" s="1174">
        <v>600</v>
      </c>
      <c r="D184" s="1205"/>
      <c r="E184" s="1205"/>
      <c r="F184" s="1214"/>
      <c r="G184" s="1215" t="s">
        <v>3499</v>
      </c>
      <c r="H184" s="1207"/>
      <c r="I184" s="1207"/>
      <c r="J184" s="1173" t="s">
        <v>3088</v>
      </c>
    </row>
    <row r="185" spans="1:10" s="1160" customFormat="1" ht="26.4">
      <c r="A185" s="1168">
        <v>110</v>
      </c>
      <c r="B185" s="1174">
        <v>700</v>
      </c>
      <c r="C185" s="1174">
        <v>600</v>
      </c>
      <c r="D185" s="1216">
        <v>100</v>
      </c>
      <c r="E185" s="1216"/>
      <c r="F185" s="1217"/>
      <c r="G185" s="1218" t="s">
        <v>3499</v>
      </c>
      <c r="H185" s="1206"/>
      <c r="I185" s="1206"/>
      <c r="J185" s="1173" t="s">
        <v>3090</v>
      </c>
    </row>
    <row r="186" spans="1:10" s="1160" customFormat="1">
      <c r="A186" s="1168">
        <v>110</v>
      </c>
      <c r="B186" s="1174">
        <v>700</v>
      </c>
      <c r="C186" s="1174">
        <v>600</v>
      </c>
      <c r="D186" s="1216">
        <v>200</v>
      </c>
      <c r="E186" s="1216"/>
      <c r="F186" s="1217"/>
      <c r="G186" s="1218" t="s">
        <v>3500</v>
      </c>
      <c r="H186" s="1206"/>
      <c r="I186" s="1206"/>
      <c r="J186" s="1173" t="s">
        <v>3092</v>
      </c>
    </row>
    <row r="187" spans="1:10" s="1160" customFormat="1">
      <c r="A187" s="1178">
        <v>120</v>
      </c>
      <c r="B187" s="1179">
        <v>0</v>
      </c>
      <c r="C187" s="1179">
        <v>0</v>
      </c>
      <c r="D187" s="1179">
        <v>0</v>
      </c>
      <c r="E187" s="1179">
        <v>0</v>
      </c>
      <c r="F187" s="1180">
        <v>0</v>
      </c>
      <c r="G187" s="1181" t="s">
        <v>3501</v>
      </c>
      <c r="H187" s="1208"/>
      <c r="I187" s="1208"/>
      <c r="J187" s="1219"/>
    </row>
    <row r="188" spans="1:10" s="1160" customFormat="1">
      <c r="A188" s="1168">
        <v>120</v>
      </c>
      <c r="B188" s="1174">
        <v>100</v>
      </c>
      <c r="C188" s="1174"/>
      <c r="D188" s="1174"/>
      <c r="E188" s="1174"/>
      <c r="F188" s="1175"/>
      <c r="G188" s="1176" t="s">
        <v>2682</v>
      </c>
      <c r="H188" s="1207"/>
      <c r="I188" s="1207"/>
      <c r="J188" s="1173" t="s">
        <v>3096</v>
      </c>
    </row>
    <row r="189" spans="1:10" s="1160" customFormat="1">
      <c r="A189" s="1168">
        <v>120</v>
      </c>
      <c r="B189" s="1174">
        <v>100</v>
      </c>
      <c r="C189" s="1169">
        <v>100</v>
      </c>
      <c r="D189" s="1169"/>
      <c r="E189" s="1169"/>
      <c r="F189" s="1170"/>
      <c r="G189" s="1171" t="s">
        <v>3502</v>
      </c>
      <c r="H189" s="1220"/>
      <c r="I189" s="1220"/>
      <c r="J189" s="1191"/>
    </row>
    <row r="190" spans="1:10" s="1167" customFormat="1">
      <c r="A190" s="1168">
        <v>120</v>
      </c>
      <c r="B190" s="1174">
        <v>100</v>
      </c>
      <c r="C190" s="1169">
        <v>200</v>
      </c>
      <c r="D190" s="1169"/>
      <c r="E190" s="1169"/>
      <c r="F190" s="1170"/>
      <c r="G190" s="1171" t="s">
        <v>3503</v>
      </c>
      <c r="H190" s="1220"/>
      <c r="I190" s="1220"/>
      <c r="J190" s="1191"/>
    </row>
    <row r="191" spans="1:10" s="1160" customFormat="1">
      <c r="A191" s="1168">
        <v>120</v>
      </c>
      <c r="B191" s="1174">
        <v>100</v>
      </c>
      <c r="C191" s="1169">
        <v>300</v>
      </c>
      <c r="D191" s="1169"/>
      <c r="E191" s="1169"/>
      <c r="F191" s="1170"/>
      <c r="G191" s="1171" t="s">
        <v>3504</v>
      </c>
      <c r="H191" s="1220"/>
      <c r="I191" s="1220"/>
      <c r="J191" s="1191"/>
    </row>
    <row r="192" spans="1:10" s="1160" customFormat="1">
      <c r="A192" s="1168">
        <v>120</v>
      </c>
      <c r="B192" s="1169">
        <v>200</v>
      </c>
      <c r="C192" s="1169"/>
      <c r="D192" s="1169"/>
      <c r="E192" s="1169"/>
      <c r="F192" s="1170"/>
      <c r="G192" s="1171" t="s">
        <v>2683</v>
      </c>
      <c r="H192" s="1206"/>
      <c r="I192" s="1206"/>
      <c r="J192" s="1173" t="s">
        <v>3098</v>
      </c>
    </row>
    <row r="193" spans="1:10" s="1160" customFormat="1">
      <c r="A193" s="1178">
        <v>130</v>
      </c>
      <c r="B193" s="1179">
        <v>0</v>
      </c>
      <c r="C193" s="1179">
        <v>0</v>
      </c>
      <c r="D193" s="1179">
        <v>0</v>
      </c>
      <c r="E193" s="1179">
        <v>0</v>
      </c>
      <c r="F193" s="1180">
        <v>0</v>
      </c>
      <c r="G193" s="1181" t="s">
        <v>3505</v>
      </c>
      <c r="H193" s="1208"/>
      <c r="I193" s="1208"/>
      <c r="J193" s="1219"/>
    </row>
    <row r="194" spans="1:10" s="1160" customFormat="1">
      <c r="A194" s="1168">
        <v>130</v>
      </c>
      <c r="B194" s="1174">
        <v>100</v>
      </c>
      <c r="C194" s="1174"/>
      <c r="D194" s="1174"/>
      <c r="E194" s="1174"/>
      <c r="F194" s="1175"/>
      <c r="G194" s="1176" t="s">
        <v>2685</v>
      </c>
      <c r="H194" s="1207"/>
      <c r="I194" s="1207"/>
      <c r="J194" s="1173" t="s">
        <v>3102</v>
      </c>
    </row>
    <row r="195" spans="1:10" s="1160" customFormat="1">
      <c r="A195" s="1168">
        <v>130</v>
      </c>
      <c r="B195" s="1174">
        <v>100</v>
      </c>
      <c r="C195" s="1174">
        <v>100</v>
      </c>
      <c r="D195" s="1174"/>
      <c r="E195" s="1174"/>
      <c r="F195" s="1175"/>
      <c r="G195" s="1176" t="s">
        <v>3506</v>
      </c>
      <c r="H195" s="1207"/>
      <c r="I195" s="1207"/>
      <c r="J195" s="1221"/>
    </row>
    <row r="196" spans="1:10" s="1167" customFormat="1">
      <c r="A196" s="1168">
        <v>130</v>
      </c>
      <c r="B196" s="1174">
        <v>100</v>
      </c>
      <c r="C196" s="1174">
        <v>100</v>
      </c>
      <c r="D196" s="1169">
        <v>100</v>
      </c>
      <c r="E196" s="1169"/>
      <c r="F196" s="1170"/>
      <c r="G196" s="1171" t="s">
        <v>3507</v>
      </c>
      <c r="H196" s="1206">
        <v>20001</v>
      </c>
      <c r="I196" s="1206">
        <v>20001</v>
      </c>
      <c r="J196" s="1173"/>
    </row>
    <row r="197" spans="1:10" s="1160" customFormat="1">
      <c r="A197" s="1168">
        <v>130</v>
      </c>
      <c r="B197" s="1174">
        <v>100</v>
      </c>
      <c r="C197" s="1174">
        <v>100</v>
      </c>
      <c r="D197" s="1169">
        <v>200</v>
      </c>
      <c r="E197" s="1169"/>
      <c r="F197" s="1170"/>
      <c r="G197" s="1171" t="s">
        <v>3508</v>
      </c>
      <c r="H197" s="1206">
        <v>600</v>
      </c>
      <c r="I197" s="1206">
        <v>600</v>
      </c>
      <c r="J197" s="1173"/>
    </row>
    <row r="198" spans="1:10" s="1160" customFormat="1">
      <c r="A198" s="1168">
        <v>130</v>
      </c>
      <c r="B198" s="1174">
        <v>100</v>
      </c>
      <c r="C198" s="1174">
        <v>100</v>
      </c>
      <c r="D198" s="1169">
        <v>300</v>
      </c>
      <c r="E198" s="1169"/>
      <c r="F198" s="1170"/>
      <c r="G198" s="1171" t="s">
        <v>3509</v>
      </c>
      <c r="H198" s="1206"/>
      <c r="I198" s="1206"/>
      <c r="J198" s="1173"/>
    </row>
    <row r="199" spans="1:10" s="1160" customFormat="1">
      <c r="A199" s="1168">
        <v>130</v>
      </c>
      <c r="B199" s="1174">
        <v>100</v>
      </c>
      <c r="C199" s="1174">
        <v>100</v>
      </c>
      <c r="D199" s="1169">
        <v>400</v>
      </c>
      <c r="E199" s="1169"/>
      <c r="F199" s="1170"/>
      <c r="G199" s="1171" t="s">
        <v>3510</v>
      </c>
      <c r="H199" s="1206"/>
      <c r="I199" s="1206"/>
      <c r="J199" s="1173"/>
    </row>
    <row r="200" spans="1:10" s="1160" customFormat="1">
      <c r="A200" s="1168">
        <v>130</v>
      </c>
      <c r="B200" s="1174">
        <v>100</v>
      </c>
      <c r="C200" s="1174">
        <v>100</v>
      </c>
      <c r="D200" s="1169">
        <v>500</v>
      </c>
      <c r="E200" s="1169"/>
      <c r="F200" s="1170"/>
      <c r="G200" s="1171" t="s">
        <v>3511</v>
      </c>
      <c r="H200" s="1206"/>
      <c r="I200" s="1206"/>
      <c r="J200" s="1173"/>
    </row>
    <row r="201" spans="1:10" s="1160" customFormat="1">
      <c r="A201" s="1168">
        <v>130</v>
      </c>
      <c r="B201" s="1174">
        <v>100</v>
      </c>
      <c r="C201" s="1174">
        <v>100</v>
      </c>
      <c r="D201" s="1169">
        <v>600</v>
      </c>
      <c r="E201" s="1169"/>
      <c r="F201" s="1170"/>
      <c r="G201" s="1171" t="s">
        <v>3512</v>
      </c>
      <c r="H201" s="1206"/>
      <c r="I201" s="1206"/>
      <c r="J201" s="1173"/>
    </row>
    <row r="202" spans="1:10" s="1160" customFormat="1">
      <c r="A202" s="1168">
        <v>130</v>
      </c>
      <c r="B202" s="1174">
        <v>100</v>
      </c>
      <c r="C202" s="1174">
        <v>100</v>
      </c>
      <c r="D202" s="1169">
        <v>700</v>
      </c>
      <c r="E202" s="1169"/>
      <c r="F202" s="1170"/>
      <c r="G202" s="1171" t="s">
        <v>3513</v>
      </c>
      <c r="H202" s="1206"/>
      <c r="I202" s="1206"/>
      <c r="J202" s="1173"/>
    </row>
    <row r="203" spans="1:10" s="1160" customFormat="1">
      <c r="A203" s="1168">
        <v>130</v>
      </c>
      <c r="B203" s="1174">
        <v>100</v>
      </c>
      <c r="C203" s="1174">
        <v>100</v>
      </c>
      <c r="D203" s="1169">
        <v>800</v>
      </c>
      <c r="E203" s="1169"/>
      <c r="F203" s="1170"/>
      <c r="G203" s="1171" t="s">
        <v>3514</v>
      </c>
      <c r="H203" s="1206"/>
      <c r="I203" s="1206"/>
      <c r="J203" s="1173"/>
    </row>
    <row r="204" spans="1:10" s="1160" customFormat="1">
      <c r="A204" s="1168">
        <v>130</v>
      </c>
      <c r="B204" s="1174">
        <v>100</v>
      </c>
      <c r="C204" s="1174">
        <v>100</v>
      </c>
      <c r="D204" s="1169">
        <v>900</v>
      </c>
      <c r="E204" s="1169"/>
      <c r="F204" s="1170"/>
      <c r="G204" s="1171" t="s">
        <v>3515</v>
      </c>
      <c r="H204" s="1206"/>
      <c r="I204" s="1206"/>
      <c r="J204" s="1173"/>
    </row>
    <row r="205" spans="1:10" s="1160" customFormat="1">
      <c r="A205" s="1168">
        <v>130</v>
      </c>
      <c r="B205" s="1174">
        <v>100</v>
      </c>
      <c r="C205" s="1174">
        <v>200</v>
      </c>
      <c r="D205" s="1174"/>
      <c r="E205" s="1174"/>
      <c r="F205" s="1175"/>
      <c r="G205" s="1176" t="s">
        <v>3516</v>
      </c>
      <c r="H205" s="1207"/>
      <c r="I205" s="1207"/>
      <c r="J205" s="1221"/>
    </row>
    <row r="206" spans="1:10" s="1160" customFormat="1">
      <c r="A206" s="1168">
        <v>130</v>
      </c>
      <c r="B206" s="1174">
        <v>100</v>
      </c>
      <c r="C206" s="1174">
        <v>200</v>
      </c>
      <c r="D206" s="1169">
        <v>100</v>
      </c>
      <c r="E206" s="1169"/>
      <c r="F206" s="1170"/>
      <c r="G206" s="1171" t="s">
        <v>3517</v>
      </c>
      <c r="H206" s="1206">
        <v>7887</v>
      </c>
      <c r="I206" s="1206">
        <v>41012</v>
      </c>
      <c r="J206" s="1173"/>
    </row>
    <row r="207" spans="1:10" s="1160" customFormat="1">
      <c r="A207" s="1168">
        <v>130</v>
      </c>
      <c r="B207" s="1174">
        <v>100</v>
      </c>
      <c r="C207" s="1174">
        <v>200</v>
      </c>
      <c r="D207" s="1169">
        <v>200</v>
      </c>
      <c r="E207" s="1169"/>
      <c r="F207" s="1170"/>
      <c r="G207" s="1171" t="s">
        <v>3518</v>
      </c>
      <c r="H207" s="1206">
        <v>8040</v>
      </c>
      <c r="I207" s="1206">
        <v>8053</v>
      </c>
      <c r="J207" s="1173"/>
    </row>
    <row r="208" spans="1:10" s="1160" customFormat="1">
      <c r="A208" s="1168">
        <v>130</v>
      </c>
      <c r="B208" s="1174">
        <v>100</v>
      </c>
      <c r="C208" s="1174">
        <v>200</v>
      </c>
      <c r="D208" s="1169">
        <v>300</v>
      </c>
      <c r="E208" s="1169"/>
      <c r="F208" s="1170"/>
      <c r="G208" s="1171" t="s">
        <v>3519</v>
      </c>
      <c r="H208" s="1206">
        <v>5640</v>
      </c>
      <c r="I208" s="1206"/>
      <c r="J208" s="1173"/>
    </row>
    <row r="209" spans="1:10" s="1160" customFormat="1">
      <c r="A209" s="1168">
        <v>130</v>
      </c>
      <c r="B209" s="1174">
        <v>100</v>
      </c>
      <c r="C209" s="1174">
        <v>200</v>
      </c>
      <c r="D209" s="1169">
        <v>400</v>
      </c>
      <c r="E209" s="1169"/>
      <c r="F209" s="1170"/>
      <c r="G209" s="1171" t="s">
        <v>3520</v>
      </c>
      <c r="H209" s="1206"/>
      <c r="I209" s="1206"/>
      <c r="J209" s="1173"/>
    </row>
    <row r="210" spans="1:10" s="1160" customFormat="1">
      <c r="A210" s="1168">
        <v>130</v>
      </c>
      <c r="B210" s="1174">
        <v>100</v>
      </c>
      <c r="C210" s="1174">
        <v>200</v>
      </c>
      <c r="D210" s="1169">
        <v>500</v>
      </c>
      <c r="E210" s="1169"/>
      <c r="F210" s="1170"/>
      <c r="G210" s="1171" t="s">
        <v>3521</v>
      </c>
      <c r="H210" s="1206"/>
      <c r="I210" s="1206"/>
      <c r="J210" s="1173"/>
    </row>
    <row r="211" spans="1:10" s="1160" customFormat="1">
      <c r="A211" s="1168">
        <v>130</v>
      </c>
      <c r="B211" s="1174">
        <v>100</v>
      </c>
      <c r="C211" s="1174">
        <v>200</v>
      </c>
      <c r="D211" s="1169">
        <v>600</v>
      </c>
      <c r="E211" s="1169"/>
      <c r="F211" s="1170"/>
      <c r="G211" s="1171" t="s">
        <v>3522</v>
      </c>
      <c r="H211" s="1206"/>
      <c r="I211" s="1206"/>
      <c r="J211" s="1173"/>
    </row>
    <row r="212" spans="1:10" s="1160" customFormat="1">
      <c r="A212" s="1168">
        <v>130</v>
      </c>
      <c r="B212" s="1174">
        <v>100</v>
      </c>
      <c r="C212" s="1174">
        <v>200</v>
      </c>
      <c r="D212" s="1169">
        <v>700</v>
      </c>
      <c r="E212" s="1169"/>
      <c r="F212" s="1170"/>
      <c r="G212" s="1171" t="s">
        <v>3523</v>
      </c>
      <c r="H212" s="1206"/>
      <c r="I212" s="1206"/>
      <c r="J212" s="1173"/>
    </row>
    <row r="213" spans="1:10" s="1160" customFormat="1">
      <c r="A213" s="1168">
        <v>130</v>
      </c>
      <c r="B213" s="1174">
        <v>100</v>
      </c>
      <c r="C213" s="1174">
        <v>200</v>
      </c>
      <c r="D213" s="1169">
        <v>800</v>
      </c>
      <c r="E213" s="1169"/>
      <c r="F213" s="1170"/>
      <c r="G213" s="1171" t="s">
        <v>3524</v>
      </c>
      <c r="H213" s="1206"/>
      <c r="I213" s="1206"/>
      <c r="J213" s="1173"/>
    </row>
    <row r="214" spans="1:10" s="1160" customFormat="1">
      <c r="A214" s="1168">
        <v>130</v>
      </c>
      <c r="B214" s="1174">
        <v>200</v>
      </c>
      <c r="C214" s="1174"/>
      <c r="D214" s="1174"/>
      <c r="E214" s="1174"/>
      <c r="F214" s="1175"/>
      <c r="G214" s="1176" t="s">
        <v>2686</v>
      </c>
      <c r="H214" s="1207"/>
      <c r="I214" s="1207"/>
      <c r="J214" s="1173" t="s">
        <v>3104</v>
      </c>
    </row>
    <row r="215" spans="1:10" s="1160" customFormat="1">
      <c r="A215" s="1168">
        <v>130</v>
      </c>
      <c r="B215" s="1174">
        <v>200</v>
      </c>
      <c r="C215" s="1169">
        <v>100</v>
      </c>
      <c r="D215" s="1169"/>
      <c r="E215" s="1169"/>
      <c r="F215" s="1170"/>
      <c r="G215" s="1171" t="s">
        <v>3525</v>
      </c>
      <c r="H215" s="1206">
        <v>27066853</v>
      </c>
      <c r="I215" s="1206">
        <v>20980526</v>
      </c>
      <c r="J215" s="1221"/>
    </row>
    <row r="216" spans="1:10" s="1160" customFormat="1">
      <c r="A216" s="1168">
        <v>130</v>
      </c>
      <c r="B216" s="1174">
        <v>200</v>
      </c>
      <c r="C216" s="1169">
        <v>110</v>
      </c>
      <c r="D216" s="1169"/>
      <c r="E216" s="1169"/>
      <c r="F216" s="1170"/>
      <c r="G216" s="1171" t="s">
        <v>3526</v>
      </c>
      <c r="H216" s="1206"/>
      <c r="I216" s="1206"/>
      <c r="J216" s="1221"/>
    </row>
    <row r="217" spans="1:10" s="1160" customFormat="1">
      <c r="A217" s="1168">
        <v>130</v>
      </c>
      <c r="B217" s="1174">
        <v>200</v>
      </c>
      <c r="C217" s="1169">
        <v>200</v>
      </c>
      <c r="D217" s="1169"/>
      <c r="E217" s="1169"/>
      <c r="F217" s="1170"/>
      <c r="G217" s="1171" t="s">
        <v>3527</v>
      </c>
      <c r="H217" s="1206"/>
      <c r="I217" s="1206"/>
      <c r="J217" s="1173"/>
    </row>
    <row r="218" spans="1:10" s="1160" customFormat="1">
      <c r="A218" s="1168">
        <v>130</v>
      </c>
      <c r="B218" s="1169">
        <v>300</v>
      </c>
      <c r="C218" s="1169"/>
      <c r="D218" s="1169"/>
      <c r="E218" s="1169"/>
      <c r="F218" s="1170"/>
      <c r="G218" s="1171" t="s">
        <v>2687</v>
      </c>
      <c r="H218" s="1206"/>
      <c r="I218" s="1206"/>
      <c r="J218" s="1173" t="s">
        <v>3106</v>
      </c>
    </row>
    <row r="219" spans="1:10" s="1160" customFormat="1">
      <c r="A219" s="1168">
        <v>130</v>
      </c>
      <c r="B219" s="1174">
        <v>400</v>
      </c>
      <c r="C219" s="1174"/>
      <c r="D219" s="1174"/>
      <c r="E219" s="1174"/>
      <c r="F219" s="1175"/>
      <c r="G219" s="1176" t="s">
        <v>2688</v>
      </c>
      <c r="H219" s="1207"/>
      <c r="I219" s="1207"/>
      <c r="J219" s="1173" t="s">
        <v>3108</v>
      </c>
    </row>
    <row r="220" spans="1:10" s="1160" customFormat="1">
      <c r="A220" s="1168">
        <v>130</v>
      </c>
      <c r="B220" s="1174">
        <v>400</v>
      </c>
      <c r="C220" s="1169">
        <v>100</v>
      </c>
      <c r="D220" s="1169"/>
      <c r="E220" s="1169"/>
      <c r="F220" s="1170"/>
      <c r="G220" s="1171" t="s">
        <v>3528</v>
      </c>
      <c r="H220" s="1206">
        <v>1091</v>
      </c>
      <c r="I220" s="1206">
        <v>6066</v>
      </c>
      <c r="J220" s="1221"/>
    </row>
    <row r="221" spans="1:10" s="1160" customFormat="1">
      <c r="A221" s="1168">
        <v>130</v>
      </c>
      <c r="B221" s="1174">
        <v>400</v>
      </c>
      <c r="C221" s="1169">
        <v>110</v>
      </c>
      <c r="D221" s="1169"/>
      <c r="E221" s="1169"/>
      <c r="F221" s="1170"/>
      <c r="G221" s="1171" t="s">
        <v>3529</v>
      </c>
      <c r="H221" s="1206"/>
      <c r="I221" s="1206"/>
      <c r="J221" s="1221"/>
    </row>
    <row r="222" spans="1:10" s="1160" customFormat="1">
      <c r="A222" s="1168">
        <v>130</v>
      </c>
      <c r="B222" s="1174">
        <v>400</v>
      </c>
      <c r="C222" s="1169">
        <v>120</v>
      </c>
      <c r="D222" s="1169"/>
      <c r="E222" s="1169"/>
      <c r="F222" s="1170"/>
      <c r="G222" s="1171" t="s">
        <v>3530</v>
      </c>
      <c r="H222" s="1206"/>
      <c r="I222" s="1206"/>
      <c r="J222" s="1221"/>
    </row>
    <row r="223" spans="1:10" s="1160" customFormat="1">
      <c r="A223" s="1168">
        <v>130</v>
      </c>
      <c r="B223" s="1174">
        <v>400</v>
      </c>
      <c r="C223" s="1169">
        <v>130</v>
      </c>
      <c r="D223" s="1169"/>
      <c r="E223" s="1169"/>
      <c r="F223" s="1170"/>
      <c r="G223" s="1171" t="s">
        <v>3531</v>
      </c>
      <c r="H223" s="1206"/>
      <c r="I223" s="1206"/>
      <c r="J223" s="1221"/>
    </row>
    <row r="224" spans="1:10" s="1160" customFormat="1">
      <c r="A224" s="1168">
        <v>130</v>
      </c>
      <c r="B224" s="1174">
        <v>400</v>
      </c>
      <c r="C224" s="1169">
        <v>200</v>
      </c>
      <c r="D224" s="1169"/>
      <c r="E224" s="1169"/>
      <c r="F224" s="1170"/>
      <c r="G224" s="1171" t="s">
        <v>3532</v>
      </c>
      <c r="H224" s="1206"/>
      <c r="I224" s="1206"/>
      <c r="J224" s="1173"/>
    </row>
    <row r="225" spans="1:10" s="1160" customFormat="1">
      <c r="A225" s="1168">
        <v>130</v>
      </c>
      <c r="B225" s="1174">
        <v>400</v>
      </c>
      <c r="C225" s="1169">
        <v>300</v>
      </c>
      <c r="D225" s="1169"/>
      <c r="E225" s="1169"/>
      <c r="F225" s="1170"/>
      <c r="G225" s="1171" t="s">
        <v>3533</v>
      </c>
      <c r="H225" s="1206"/>
      <c r="I225" s="1206"/>
      <c r="J225" s="1173"/>
    </row>
    <row r="226" spans="1:10" s="1160" customFormat="1">
      <c r="A226" s="1168">
        <v>130</v>
      </c>
      <c r="B226" s="1174">
        <v>400</v>
      </c>
      <c r="C226" s="1169">
        <v>400</v>
      </c>
      <c r="D226" s="1169"/>
      <c r="E226" s="1169"/>
      <c r="F226" s="1170"/>
      <c r="G226" s="1171" t="s">
        <v>3534</v>
      </c>
      <c r="H226" s="1206"/>
      <c r="I226" s="1206"/>
      <c r="J226" s="1173"/>
    </row>
    <row r="227" spans="1:10" s="1160" customFormat="1">
      <c r="A227" s="1168">
        <v>130</v>
      </c>
      <c r="B227" s="1174">
        <v>900</v>
      </c>
      <c r="C227" s="1174"/>
      <c r="D227" s="1174"/>
      <c r="E227" s="1174"/>
      <c r="F227" s="1175"/>
      <c r="G227" s="1176" t="s">
        <v>3535</v>
      </c>
      <c r="H227" s="1207"/>
      <c r="I227" s="1207"/>
      <c r="J227" s="1173"/>
    </row>
    <row r="228" spans="1:10" s="1160" customFormat="1">
      <c r="A228" s="1168">
        <v>130</v>
      </c>
      <c r="B228" s="1174">
        <v>900</v>
      </c>
      <c r="C228" s="1169">
        <v>100</v>
      </c>
      <c r="D228" s="1169"/>
      <c r="E228" s="1169"/>
      <c r="F228" s="1170"/>
      <c r="G228" s="1171" t="s">
        <v>3536</v>
      </c>
      <c r="H228" s="1206"/>
      <c r="I228" s="1206"/>
      <c r="J228" s="1173"/>
    </row>
    <row r="229" spans="1:10" s="1160" customFormat="1">
      <c r="A229" s="1168">
        <v>130</v>
      </c>
      <c r="B229" s="1174">
        <v>900</v>
      </c>
      <c r="C229" s="1169">
        <v>200</v>
      </c>
      <c r="D229" s="1169"/>
      <c r="E229" s="1169"/>
      <c r="F229" s="1170"/>
      <c r="G229" s="1171" t="s">
        <v>3537</v>
      </c>
      <c r="H229" s="1206"/>
      <c r="I229" s="1206"/>
      <c r="J229" s="1173"/>
    </row>
    <row r="230" spans="1:10" s="1160" customFormat="1">
      <c r="A230" s="1168">
        <v>130</v>
      </c>
      <c r="B230" s="1174">
        <v>900</v>
      </c>
      <c r="C230" s="1169">
        <v>300</v>
      </c>
      <c r="D230" s="1169"/>
      <c r="E230" s="1169"/>
      <c r="F230" s="1170"/>
      <c r="G230" s="1171" t="s">
        <v>3538</v>
      </c>
      <c r="H230" s="1206"/>
      <c r="I230" s="1206"/>
      <c r="J230" s="1173"/>
    </row>
    <row r="231" spans="1:10" s="1160" customFormat="1">
      <c r="A231" s="1168">
        <v>130</v>
      </c>
      <c r="B231" s="1174">
        <v>900</v>
      </c>
      <c r="C231" s="1169">
        <v>301</v>
      </c>
      <c r="D231" s="1169"/>
      <c r="E231" s="1169"/>
      <c r="F231" s="1170"/>
      <c r="G231" s="1171" t="s">
        <v>3539</v>
      </c>
      <c r="H231" s="1206"/>
      <c r="I231" s="1206"/>
      <c r="J231" s="1173"/>
    </row>
    <row r="232" spans="1:10" s="1160" customFormat="1">
      <c r="A232" s="1168">
        <v>130</v>
      </c>
      <c r="B232" s="1174">
        <v>900</v>
      </c>
      <c r="C232" s="1169">
        <v>302</v>
      </c>
      <c r="D232" s="1169"/>
      <c r="E232" s="1169"/>
      <c r="F232" s="1170"/>
      <c r="G232" s="1171" t="s">
        <v>3540</v>
      </c>
      <c r="H232" s="1206"/>
      <c r="I232" s="1206"/>
      <c r="J232" s="1173"/>
    </row>
    <row r="233" spans="1:10" s="1160" customFormat="1">
      <c r="A233" s="1168">
        <v>130</v>
      </c>
      <c r="B233" s="1174">
        <v>900</v>
      </c>
      <c r="C233" s="1169">
        <v>303</v>
      </c>
      <c r="D233" s="1169"/>
      <c r="E233" s="1169"/>
      <c r="F233" s="1170"/>
      <c r="G233" s="1171" t="s">
        <v>3541</v>
      </c>
      <c r="H233" s="1206"/>
      <c r="I233" s="1206"/>
      <c r="J233" s="1173"/>
    </row>
    <row r="234" spans="1:10" s="1160" customFormat="1">
      <c r="A234" s="1168">
        <v>130</v>
      </c>
      <c r="B234" s="1174">
        <v>900</v>
      </c>
      <c r="C234" s="1169">
        <v>304</v>
      </c>
      <c r="D234" s="1169"/>
      <c r="E234" s="1169"/>
      <c r="F234" s="1170"/>
      <c r="G234" s="1171" t="s">
        <v>3542</v>
      </c>
      <c r="H234" s="1206"/>
      <c r="I234" s="1206"/>
      <c r="J234" s="1173"/>
    </row>
    <row r="235" spans="1:10" s="1160" customFormat="1">
      <c r="A235" s="1168">
        <v>130</v>
      </c>
      <c r="B235" s="1174">
        <v>900</v>
      </c>
      <c r="C235" s="1169">
        <v>305</v>
      </c>
      <c r="D235" s="1169"/>
      <c r="E235" s="1169"/>
      <c r="F235" s="1170"/>
      <c r="G235" s="1171" t="s">
        <v>3543</v>
      </c>
      <c r="H235" s="1206"/>
      <c r="I235" s="1206"/>
      <c r="J235" s="1173"/>
    </row>
    <row r="236" spans="1:10" s="1160" customFormat="1">
      <c r="A236" s="1168">
        <v>130</v>
      </c>
      <c r="B236" s="1174">
        <v>900</v>
      </c>
      <c r="C236" s="1169">
        <v>306</v>
      </c>
      <c r="D236" s="1169"/>
      <c r="E236" s="1169"/>
      <c r="F236" s="1170"/>
      <c r="G236" s="1171" t="s">
        <v>3544</v>
      </c>
      <c r="H236" s="1206"/>
      <c r="I236" s="1206"/>
      <c r="J236" s="1173"/>
    </row>
    <row r="237" spans="1:10" s="1160" customFormat="1">
      <c r="A237" s="1168">
        <v>130</v>
      </c>
      <c r="B237" s="1174">
        <v>900</v>
      </c>
      <c r="C237" s="1169">
        <v>307</v>
      </c>
      <c r="D237" s="1169"/>
      <c r="E237" s="1169"/>
      <c r="F237" s="1170"/>
      <c r="G237" s="1171" t="s">
        <v>3545</v>
      </c>
      <c r="H237" s="1206"/>
      <c r="I237" s="1206"/>
      <c r="J237" s="1173"/>
    </row>
    <row r="238" spans="1:10" s="1160" customFormat="1">
      <c r="A238" s="1168">
        <v>130</v>
      </c>
      <c r="B238" s="1174">
        <v>900</v>
      </c>
      <c r="C238" s="1169">
        <v>308</v>
      </c>
      <c r="D238" s="1169"/>
      <c r="E238" s="1169"/>
      <c r="F238" s="1170"/>
      <c r="G238" s="1171" t="s">
        <v>3546</v>
      </c>
      <c r="H238" s="1206"/>
      <c r="I238" s="1206"/>
      <c r="J238" s="1173"/>
    </row>
    <row r="239" spans="1:10" s="1160" customFormat="1">
      <c r="A239" s="1168">
        <v>130</v>
      </c>
      <c r="B239" s="1174">
        <v>900</v>
      </c>
      <c r="C239" s="1169">
        <v>309</v>
      </c>
      <c r="D239" s="1169"/>
      <c r="E239" s="1169"/>
      <c r="F239" s="1170"/>
      <c r="G239" s="1171" t="s">
        <v>3547</v>
      </c>
      <c r="H239" s="1206"/>
      <c r="I239" s="1206"/>
      <c r="J239" s="1173"/>
    </row>
    <row r="240" spans="1:10" s="1160" customFormat="1">
      <c r="A240" s="1178">
        <v>140</v>
      </c>
      <c r="B240" s="1179">
        <v>0</v>
      </c>
      <c r="C240" s="1179">
        <v>0</v>
      </c>
      <c r="D240" s="1179">
        <v>0</v>
      </c>
      <c r="E240" s="1179">
        <v>0</v>
      </c>
      <c r="F240" s="1180">
        <v>0</v>
      </c>
      <c r="G240" s="1181" t="s">
        <v>2690</v>
      </c>
      <c r="H240" s="1208"/>
      <c r="I240" s="1208"/>
      <c r="J240" s="1219"/>
    </row>
    <row r="241" spans="1:10" s="1160" customFormat="1">
      <c r="A241" s="1168">
        <v>140</v>
      </c>
      <c r="B241" s="1174">
        <v>100</v>
      </c>
      <c r="C241" s="1174"/>
      <c r="D241" s="1174"/>
      <c r="E241" s="1174"/>
      <c r="F241" s="1175"/>
      <c r="G241" s="1176" t="s">
        <v>3548</v>
      </c>
      <c r="H241" s="1207"/>
      <c r="I241" s="1207"/>
      <c r="J241" s="1173"/>
    </row>
    <row r="242" spans="1:10" s="1160" customFormat="1">
      <c r="A242" s="1168">
        <v>140</v>
      </c>
      <c r="B242" s="1174">
        <v>100</v>
      </c>
      <c r="C242" s="1169">
        <v>100</v>
      </c>
      <c r="D242" s="1169"/>
      <c r="E242" s="1169"/>
      <c r="F242" s="1170"/>
      <c r="G242" s="1171" t="s">
        <v>2691</v>
      </c>
      <c r="H242" s="1206">
        <v>6182</v>
      </c>
      <c r="I242" s="1206">
        <v>36285</v>
      </c>
      <c r="J242" s="1173" t="s">
        <v>3114</v>
      </c>
    </row>
    <row r="243" spans="1:10" s="1167" customFormat="1">
      <c r="A243" s="1168">
        <v>140</v>
      </c>
      <c r="B243" s="1174">
        <v>100</v>
      </c>
      <c r="C243" s="1169">
        <v>200</v>
      </c>
      <c r="D243" s="1169"/>
      <c r="E243" s="1169"/>
      <c r="F243" s="1170"/>
      <c r="G243" s="1171" t="s">
        <v>3549</v>
      </c>
      <c r="H243" s="1206">
        <v>11570</v>
      </c>
      <c r="I243" s="1206">
        <v>3576</v>
      </c>
      <c r="J243" s="1173" t="s">
        <v>3116</v>
      </c>
    </row>
    <row r="244" spans="1:10" s="1160" customFormat="1">
      <c r="A244" s="1168">
        <v>140</v>
      </c>
      <c r="B244" s="1174">
        <v>200</v>
      </c>
      <c r="C244" s="1174"/>
      <c r="D244" s="1174"/>
      <c r="E244" s="1174"/>
      <c r="F244" s="1175"/>
      <c r="G244" s="1176" t="s">
        <v>3550</v>
      </c>
      <c r="H244" s="1207"/>
      <c r="I244" s="1207"/>
      <c r="J244" s="1173"/>
    </row>
    <row r="245" spans="1:10" s="1160" customFormat="1">
      <c r="A245" s="1168">
        <v>140</v>
      </c>
      <c r="B245" s="1174">
        <v>200</v>
      </c>
      <c r="C245" s="1169">
        <v>100</v>
      </c>
      <c r="D245" s="1169"/>
      <c r="E245" s="1169"/>
      <c r="F245" s="1170"/>
      <c r="G245" s="1171" t="s">
        <v>2692</v>
      </c>
      <c r="H245" s="1206">
        <v>18353</v>
      </c>
      <c r="I245" s="1206">
        <v>60353</v>
      </c>
      <c r="J245" s="1173" t="s">
        <v>3120</v>
      </c>
    </row>
    <row r="246" spans="1:10" s="1160" customFormat="1">
      <c r="A246" s="1168">
        <v>140</v>
      </c>
      <c r="B246" s="1174">
        <v>200</v>
      </c>
      <c r="C246" s="1169">
        <v>200</v>
      </c>
      <c r="D246" s="1169"/>
      <c r="E246" s="1169"/>
      <c r="F246" s="1170"/>
      <c r="G246" s="1171" t="s">
        <v>3551</v>
      </c>
      <c r="H246" s="1206"/>
      <c r="I246" s="1206"/>
      <c r="J246" s="1173" t="s">
        <v>3122</v>
      </c>
    </row>
    <row r="247" spans="1:10" s="1160" customFormat="1">
      <c r="A247" s="1222">
        <v>150</v>
      </c>
      <c r="B247" s="1223">
        <v>0</v>
      </c>
      <c r="C247" s="1223">
        <v>0</v>
      </c>
      <c r="D247" s="1223">
        <v>0</v>
      </c>
      <c r="E247" s="1223">
        <v>0</v>
      </c>
      <c r="F247" s="1224">
        <v>0</v>
      </c>
      <c r="G247" s="1225" t="s">
        <v>3552</v>
      </c>
      <c r="H247" s="1226">
        <f>SUM(H4:H246)</f>
        <v>137508604</v>
      </c>
      <c r="I247" s="1226">
        <f>SUM(I4:I246)</f>
        <v>121977866</v>
      </c>
      <c r="J247" s="1227" t="s">
        <v>3124</v>
      </c>
    </row>
    <row r="248" spans="1:10" s="1160" customFormat="1">
      <c r="A248" s="1178">
        <v>195</v>
      </c>
      <c r="B248" s="1179">
        <v>0</v>
      </c>
      <c r="C248" s="1179">
        <v>0</v>
      </c>
      <c r="D248" s="1179">
        <v>0</v>
      </c>
      <c r="E248" s="1179">
        <v>0</v>
      </c>
      <c r="F248" s="1180">
        <v>0</v>
      </c>
      <c r="G248" s="1181" t="s">
        <v>2695</v>
      </c>
      <c r="H248" s="1208"/>
      <c r="I248" s="1208"/>
      <c r="J248" s="1219"/>
    </row>
    <row r="249" spans="1:10" s="1160" customFormat="1">
      <c r="A249" s="1168">
        <v>195</v>
      </c>
      <c r="B249" s="1169">
        <v>100</v>
      </c>
      <c r="C249" s="1169"/>
      <c r="D249" s="1169"/>
      <c r="E249" s="1169"/>
      <c r="F249" s="1170"/>
      <c r="G249" s="1171" t="s">
        <v>3553</v>
      </c>
      <c r="H249" s="1206">
        <v>42910</v>
      </c>
      <c r="I249" s="1206"/>
      <c r="J249" s="1173" t="s">
        <v>3128</v>
      </c>
    </row>
    <row r="250" spans="1:10" s="1167" customFormat="1">
      <c r="A250" s="1168">
        <v>195</v>
      </c>
      <c r="B250" s="1169">
        <v>200</v>
      </c>
      <c r="C250" s="1169"/>
      <c r="D250" s="1169"/>
      <c r="E250" s="1169"/>
      <c r="F250" s="1170"/>
      <c r="G250" s="1171" t="s">
        <v>3554</v>
      </c>
      <c r="H250" s="1206"/>
      <c r="I250" s="1206"/>
      <c r="J250" s="1173" t="s">
        <v>3130</v>
      </c>
    </row>
    <row r="251" spans="1:10" s="1167" customFormat="1">
      <c r="A251" s="1168">
        <v>195</v>
      </c>
      <c r="B251" s="1169">
        <v>300</v>
      </c>
      <c r="C251" s="1169"/>
      <c r="D251" s="1169"/>
      <c r="E251" s="1169"/>
      <c r="F251" s="1170"/>
      <c r="G251" s="1171" t="s">
        <v>3555</v>
      </c>
      <c r="H251" s="1206"/>
      <c r="I251" s="1206"/>
      <c r="J251" s="1173" t="s">
        <v>3132</v>
      </c>
    </row>
    <row r="252" spans="1:10" s="1160" customFormat="1">
      <c r="A252" s="1168">
        <v>195</v>
      </c>
      <c r="B252" s="1169">
        <v>350</v>
      </c>
      <c r="C252" s="1169"/>
      <c r="D252" s="1169"/>
      <c r="E252" s="1169"/>
      <c r="F252" s="1170"/>
      <c r="G252" s="1171" t="s">
        <v>3556</v>
      </c>
      <c r="H252" s="1206"/>
      <c r="I252" s="1206"/>
      <c r="J252" s="1173" t="s">
        <v>3134</v>
      </c>
    </row>
    <row r="253" spans="1:10" s="1160" customFormat="1">
      <c r="A253" s="1168">
        <v>195</v>
      </c>
      <c r="B253" s="1174">
        <v>400</v>
      </c>
      <c r="C253" s="1174"/>
      <c r="D253" s="1174"/>
      <c r="E253" s="1174"/>
      <c r="F253" s="1175"/>
      <c r="G253" s="1176" t="s">
        <v>3557</v>
      </c>
      <c r="H253" s="1207"/>
      <c r="I253" s="1207"/>
      <c r="J253" s="1173" t="s">
        <v>3136</v>
      </c>
    </row>
    <row r="254" spans="1:10" s="1160" customFormat="1">
      <c r="A254" s="1168">
        <v>195</v>
      </c>
      <c r="B254" s="1174">
        <v>400</v>
      </c>
      <c r="C254" s="1169">
        <v>100</v>
      </c>
      <c r="D254" s="1169"/>
      <c r="E254" s="1169"/>
      <c r="F254" s="1170"/>
      <c r="G254" s="1171" t="s">
        <v>3558</v>
      </c>
      <c r="H254" s="1206"/>
      <c r="I254" s="1206"/>
      <c r="J254" s="1173"/>
    </row>
    <row r="255" spans="1:10" s="1160" customFormat="1">
      <c r="A255" s="1168">
        <v>195</v>
      </c>
      <c r="B255" s="1174">
        <v>400</v>
      </c>
      <c r="C255" s="1169">
        <v>200</v>
      </c>
      <c r="D255" s="1169"/>
      <c r="E255" s="1169"/>
      <c r="F255" s="1170"/>
      <c r="G255" s="1171" t="s">
        <v>2698</v>
      </c>
      <c r="H255" s="1206"/>
      <c r="I255" s="1206"/>
      <c r="J255" s="1173"/>
    </row>
    <row r="256" spans="1:10" s="1160" customFormat="1">
      <c r="A256" s="1168">
        <v>195</v>
      </c>
      <c r="B256" s="1174">
        <v>400</v>
      </c>
      <c r="C256" s="1169">
        <v>300</v>
      </c>
      <c r="D256" s="1169"/>
      <c r="E256" s="1169"/>
      <c r="F256" s="1170"/>
      <c r="G256" s="1171" t="s">
        <v>3559</v>
      </c>
      <c r="H256" s="1206">
        <v>2782163</v>
      </c>
      <c r="I256" s="1206">
        <v>2782163</v>
      </c>
      <c r="J256" s="1173"/>
    </row>
    <row r="257" spans="1:10" s="1160" customFormat="1">
      <c r="A257" s="1168">
        <v>195</v>
      </c>
      <c r="B257" s="1174">
        <v>400</v>
      </c>
      <c r="C257" s="1169">
        <v>400</v>
      </c>
      <c r="D257" s="1169"/>
      <c r="E257" s="1169"/>
      <c r="F257" s="1170"/>
      <c r="G257" s="1171" t="s">
        <v>3560</v>
      </c>
      <c r="H257" s="1206"/>
      <c r="I257" s="1206"/>
      <c r="J257" s="1173"/>
    </row>
    <row r="258" spans="1:10" s="1160" customFormat="1">
      <c r="A258" s="1168">
        <v>195</v>
      </c>
      <c r="B258" s="1174">
        <v>400</v>
      </c>
      <c r="C258" s="1169">
        <v>500</v>
      </c>
      <c r="D258" s="1169"/>
      <c r="E258" s="1169"/>
      <c r="F258" s="1170"/>
      <c r="G258" s="1171" t="s">
        <v>3561</v>
      </c>
      <c r="H258" s="1206"/>
      <c r="I258" s="1206"/>
      <c r="J258" s="1173"/>
    </row>
    <row r="259" spans="1:10" s="1160" customFormat="1">
      <c r="A259" s="1168">
        <v>195</v>
      </c>
      <c r="B259" s="1174">
        <v>400</v>
      </c>
      <c r="C259" s="1169">
        <v>600</v>
      </c>
      <c r="D259" s="1169"/>
      <c r="E259" s="1169"/>
      <c r="F259" s="1170"/>
      <c r="G259" s="1171" t="s">
        <v>3562</v>
      </c>
      <c r="H259" s="1206"/>
      <c r="I259" s="1206"/>
      <c r="J259" s="1173"/>
    </row>
    <row r="260" spans="1:10" s="1160" customFormat="1" ht="13.8" thickBot="1">
      <c r="A260" s="1228">
        <v>195</v>
      </c>
      <c r="B260" s="1229">
        <v>400</v>
      </c>
      <c r="C260" s="1230">
        <v>900</v>
      </c>
      <c r="D260" s="1230"/>
      <c r="E260" s="1230"/>
      <c r="F260" s="1231"/>
      <c r="G260" s="1232" t="s">
        <v>3563</v>
      </c>
      <c r="H260" s="1233"/>
      <c r="I260" s="1233"/>
      <c r="J260" s="1234"/>
    </row>
    <row r="261" spans="1:10" s="1160" customFormat="1">
      <c r="G261" s="1160" t="s">
        <v>3564</v>
      </c>
      <c r="H261" s="1235">
        <f>+'Alimentazione SP P'!H301</f>
        <v>137508604</v>
      </c>
      <c r="I261" s="1235">
        <f>+'Alimentazione SP P'!I301</f>
        <v>121977866</v>
      </c>
    </row>
    <row r="262" spans="1:10" s="1160" customFormat="1">
      <c r="H262" s="151">
        <f>+H247-H261</f>
        <v>0</v>
      </c>
      <c r="I262" s="151">
        <f>+I247-I261</f>
        <v>0</v>
      </c>
    </row>
    <row r="263" spans="1:10" s="1160" customFormat="1">
      <c r="A263" s="1158"/>
      <c r="B263" s="1158"/>
      <c r="C263" s="1158"/>
      <c r="D263" s="1158"/>
      <c r="E263" s="1158"/>
      <c r="F263" s="1158"/>
      <c r="G263" s="1158"/>
      <c r="H263" s="1236"/>
      <c r="I263" s="1236"/>
      <c r="J263" s="1158"/>
    </row>
    <row r="264" spans="1:10" s="1160" customFormat="1">
      <c r="A264" s="1158"/>
      <c r="B264" s="1158"/>
      <c r="C264" s="1158"/>
      <c r="D264" s="1158"/>
      <c r="E264" s="1158"/>
      <c r="F264" s="1158"/>
      <c r="G264" s="1158"/>
      <c r="H264" s="1236"/>
      <c r="I264" s="1236"/>
      <c r="J264" s="1158"/>
    </row>
    <row r="265" spans="1:10" s="1160" customFormat="1">
      <c r="A265" s="1158"/>
      <c r="B265" s="1158"/>
      <c r="C265" s="1158"/>
      <c r="D265" s="1158"/>
      <c r="E265" s="1158"/>
      <c r="F265" s="1158"/>
      <c r="G265" s="1158"/>
      <c r="H265" s="1236"/>
      <c r="I265" s="1236"/>
      <c r="J265" s="1158"/>
    </row>
  </sheetData>
  <mergeCells count="5">
    <mergeCell ref="A1:F1"/>
    <mergeCell ref="G1:G2"/>
    <mergeCell ref="H1:H2"/>
    <mergeCell ref="I1:I2"/>
    <mergeCell ref="J1:J2"/>
  </mergeCells>
  <printOptions horizontalCentered="1"/>
  <pageMargins left="0.59055118110236227" right="0.23622047244094491" top="0.35433070866141736" bottom="0.31496062992125984" header="0.19685039370078741" footer="0.27559055118110237"/>
  <pageSetup paperSize="9" scale="6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fitToPage="1"/>
  </sheetPr>
  <dimension ref="A1:J326"/>
  <sheetViews>
    <sheetView zoomScale="90" zoomScaleNormal="90" workbookViewId="0">
      <selection activeCell="K16" sqref="K1:U65536"/>
    </sheetView>
  </sheetViews>
  <sheetFormatPr defaultRowHeight="13.2"/>
  <cols>
    <col min="1" max="5" width="4.44140625" style="1300" customWidth="1"/>
    <col min="6" max="6" width="3.5546875" style="1300" customWidth="1"/>
    <col min="7" max="7" width="70.5546875" style="1300" customWidth="1"/>
    <col min="8" max="9" width="15.6640625" style="1301" bestFit="1" customWidth="1"/>
    <col min="10" max="10" width="13.33203125" style="1300" customWidth="1"/>
    <col min="11" max="16384" width="8.88671875" style="1300"/>
  </cols>
  <sheetData>
    <row r="1" spans="1:10" s="1160" customFormat="1" ht="20.25" customHeight="1" thickBot="1">
      <c r="A1" s="1534" t="s">
        <v>120</v>
      </c>
      <c r="B1" s="1535"/>
      <c r="C1" s="1535"/>
      <c r="D1" s="1535"/>
      <c r="E1" s="1535"/>
      <c r="F1" s="1536"/>
      <c r="G1" s="1537" t="s">
        <v>3565</v>
      </c>
      <c r="H1" s="1539" t="s">
        <v>3939</v>
      </c>
      <c r="I1" s="1539" t="s">
        <v>3405</v>
      </c>
      <c r="J1" s="1541" t="s">
        <v>3406</v>
      </c>
    </row>
    <row r="2" spans="1:10" s="1160" customFormat="1" ht="20.25" customHeight="1" thickBot="1">
      <c r="A2" s="1159" t="s">
        <v>123</v>
      </c>
      <c r="B2" s="1159" t="s">
        <v>124</v>
      </c>
      <c r="C2" s="1159" t="s">
        <v>125</v>
      </c>
      <c r="D2" s="1159" t="s">
        <v>126</v>
      </c>
      <c r="E2" s="1159" t="s">
        <v>127</v>
      </c>
      <c r="F2" s="1159" t="s">
        <v>128</v>
      </c>
      <c r="G2" s="1538"/>
      <c r="H2" s="1540"/>
      <c r="I2" s="1540"/>
      <c r="J2" s="1542"/>
    </row>
    <row r="3" spans="1:10" s="1167" customFormat="1" ht="13.8" thickBot="1">
      <c r="A3" s="1237">
        <v>200</v>
      </c>
      <c r="B3" s="1238">
        <v>0</v>
      </c>
      <c r="C3" s="1238">
        <v>0</v>
      </c>
      <c r="D3" s="1238">
        <v>0</v>
      </c>
      <c r="E3" s="1239">
        <v>0</v>
      </c>
      <c r="F3" s="1240">
        <v>0</v>
      </c>
      <c r="G3" s="1241" t="s">
        <v>2704</v>
      </c>
      <c r="H3" s="1242"/>
      <c r="I3" s="1242"/>
      <c r="J3" s="1243"/>
    </row>
    <row r="4" spans="1:10" s="1160" customFormat="1">
      <c r="A4" s="1244">
        <v>200</v>
      </c>
      <c r="B4" s="1245">
        <v>100</v>
      </c>
      <c r="C4" s="1246"/>
      <c r="D4" s="1246"/>
      <c r="E4" s="1246"/>
      <c r="F4" s="1247"/>
      <c r="G4" s="1218" t="s">
        <v>3566</v>
      </c>
      <c r="H4" s="1248">
        <v>103489</v>
      </c>
      <c r="I4" s="1248">
        <v>103489</v>
      </c>
      <c r="J4" s="1209" t="s">
        <v>3140</v>
      </c>
    </row>
    <row r="5" spans="1:10" s="1160" customFormat="1">
      <c r="A5" s="1244">
        <v>200</v>
      </c>
      <c r="B5" s="1249">
        <v>200</v>
      </c>
      <c r="C5" s="1249"/>
      <c r="D5" s="1249"/>
      <c r="E5" s="1249"/>
      <c r="F5" s="1250"/>
      <c r="G5" s="1251" t="s">
        <v>3567</v>
      </c>
      <c r="H5" s="1207"/>
      <c r="I5" s="1207"/>
      <c r="J5" s="1173"/>
    </row>
    <row r="6" spans="1:10" s="1160" customFormat="1">
      <c r="A6" s="1244">
        <v>200</v>
      </c>
      <c r="B6" s="1249">
        <v>200</v>
      </c>
      <c r="C6" s="1252">
        <v>100</v>
      </c>
      <c r="D6" s="1249"/>
      <c r="E6" s="1249"/>
      <c r="F6" s="1250"/>
      <c r="G6" s="1213" t="s">
        <v>3568</v>
      </c>
      <c r="H6" s="1206">
        <v>3493368</v>
      </c>
      <c r="I6" s="1206">
        <v>3682720</v>
      </c>
      <c r="J6" s="1173" t="s">
        <v>3144</v>
      </c>
    </row>
    <row r="7" spans="1:10" s="1160" customFormat="1">
      <c r="A7" s="1244">
        <v>200</v>
      </c>
      <c r="B7" s="1249">
        <v>200</v>
      </c>
      <c r="C7" s="1249">
        <v>200</v>
      </c>
      <c r="D7" s="1249"/>
      <c r="E7" s="1249"/>
      <c r="F7" s="1250"/>
      <c r="G7" s="1251" t="s">
        <v>2708</v>
      </c>
      <c r="H7" s="1207"/>
      <c r="I7" s="1207"/>
      <c r="J7" s="1173"/>
    </row>
    <row r="8" spans="1:10" s="1160" customFormat="1">
      <c r="A8" s="1244">
        <v>200</v>
      </c>
      <c r="B8" s="1249">
        <v>200</v>
      </c>
      <c r="C8" s="1249">
        <v>200</v>
      </c>
      <c r="D8" s="1252">
        <v>100</v>
      </c>
      <c r="E8" s="1252"/>
      <c r="F8" s="1253"/>
      <c r="G8" s="1213" t="s">
        <v>2710</v>
      </c>
      <c r="H8" s="1206">
        <v>15117545</v>
      </c>
      <c r="I8" s="1206">
        <v>15142619</v>
      </c>
      <c r="J8" s="1173" t="s">
        <v>3148</v>
      </c>
    </row>
    <row r="9" spans="1:10" s="1160" customFormat="1">
      <c r="A9" s="1244">
        <v>200</v>
      </c>
      <c r="B9" s="1249">
        <v>200</v>
      </c>
      <c r="C9" s="1249">
        <v>200</v>
      </c>
      <c r="D9" s="1252">
        <v>200</v>
      </c>
      <c r="E9" s="1252"/>
      <c r="F9" s="1253"/>
      <c r="G9" s="1213" t="s">
        <v>3569</v>
      </c>
      <c r="H9" s="1206">
        <v>1191403</v>
      </c>
      <c r="I9" s="1206">
        <v>900730</v>
      </c>
      <c r="J9" s="1173" t="s">
        <v>3150</v>
      </c>
    </row>
    <row r="10" spans="1:10" s="1160" customFormat="1">
      <c r="A10" s="1244">
        <v>200</v>
      </c>
      <c r="B10" s="1249">
        <v>200</v>
      </c>
      <c r="C10" s="1249">
        <v>200</v>
      </c>
      <c r="D10" s="1252">
        <v>300</v>
      </c>
      <c r="E10" s="1252"/>
      <c r="F10" s="1253"/>
      <c r="G10" s="1213" t="s">
        <v>3570</v>
      </c>
      <c r="H10" s="1206">
        <v>6379753</v>
      </c>
      <c r="I10" s="1206">
        <v>6647480</v>
      </c>
      <c r="J10" s="1173" t="s">
        <v>3152</v>
      </c>
    </row>
    <row r="11" spans="1:10" s="1160" customFormat="1">
      <c r="A11" s="1244">
        <v>200</v>
      </c>
      <c r="B11" s="1249">
        <v>200</v>
      </c>
      <c r="C11" s="1249">
        <v>300</v>
      </c>
      <c r="D11" s="1249"/>
      <c r="E11" s="1249"/>
      <c r="F11" s="1250"/>
      <c r="G11" s="1251" t="s">
        <v>2714</v>
      </c>
      <c r="H11" s="1207"/>
      <c r="I11" s="1207"/>
      <c r="J11" s="1173" t="s">
        <v>3154</v>
      </c>
    </row>
    <row r="12" spans="1:10" s="1160" customFormat="1">
      <c r="A12" s="1244">
        <v>200</v>
      </c>
      <c r="B12" s="1249">
        <v>200</v>
      </c>
      <c r="C12" s="1249">
        <v>300</v>
      </c>
      <c r="D12" s="1252">
        <v>100</v>
      </c>
      <c r="E12" s="1252"/>
      <c r="F12" s="1253"/>
      <c r="G12" s="1254" t="s">
        <v>3571</v>
      </c>
      <c r="H12" s="1206">
        <v>20875968</v>
      </c>
      <c r="I12" s="1206">
        <v>12256669</v>
      </c>
      <c r="J12" s="1173"/>
    </row>
    <row r="13" spans="1:10" s="1160" customFormat="1">
      <c r="A13" s="1244">
        <v>200</v>
      </c>
      <c r="B13" s="1249">
        <v>200</v>
      </c>
      <c r="C13" s="1249">
        <v>300</v>
      </c>
      <c r="D13" s="1252">
        <v>200</v>
      </c>
      <c r="E13" s="1252"/>
      <c r="F13" s="1253"/>
      <c r="G13" s="1254" t="s">
        <v>3572</v>
      </c>
      <c r="H13" s="1206"/>
      <c r="I13" s="1206"/>
      <c r="J13" s="1173"/>
    </row>
    <row r="14" spans="1:10" s="1160" customFormat="1">
      <c r="A14" s="1244">
        <v>200</v>
      </c>
      <c r="B14" s="1249">
        <v>200</v>
      </c>
      <c r="C14" s="1249">
        <v>400</v>
      </c>
      <c r="D14" s="1249"/>
      <c r="E14" s="1249"/>
      <c r="F14" s="1250"/>
      <c r="G14" s="1251" t="s">
        <v>2715</v>
      </c>
      <c r="H14" s="1207"/>
      <c r="I14" s="1207"/>
      <c r="J14" s="1173" t="s">
        <v>3156</v>
      </c>
    </row>
    <row r="15" spans="1:10" s="1160" customFormat="1">
      <c r="A15" s="1244">
        <v>200</v>
      </c>
      <c r="B15" s="1249">
        <v>200</v>
      </c>
      <c r="C15" s="1249">
        <v>400</v>
      </c>
      <c r="D15" s="1252">
        <v>100</v>
      </c>
      <c r="E15" s="1252"/>
      <c r="F15" s="1253"/>
      <c r="G15" s="1254" t="s">
        <v>3573</v>
      </c>
      <c r="H15" s="1206"/>
      <c r="I15" s="1206"/>
      <c r="J15" s="1173"/>
    </row>
    <row r="16" spans="1:10" s="1160" customFormat="1">
      <c r="A16" s="1244">
        <v>200</v>
      </c>
      <c r="B16" s="1249">
        <v>200</v>
      </c>
      <c r="C16" s="1249">
        <v>400</v>
      </c>
      <c r="D16" s="1252">
        <v>200</v>
      </c>
      <c r="E16" s="1252"/>
      <c r="F16" s="1253"/>
      <c r="G16" s="1254" t="s">
        <v>3574</v>
      </c>
      <c r="H16" s="1206">
        <v>51101</v>
      </c>
      <c r="I16" s="1206">
        <v>51459</v>
      </c>
      <c r="J16" s="1173"/>
    </row>
    <row r="17" spans="1:10" s="1160" customFormat="1">
      <c r="A17" s="1244">
        <v>200</v>
      </c>
      <c r="B17" s="1249">
        <v>200</v>
      </c>
      <c r="C17" s="1252">
        <v>500</v>
      </c>
      <c r="D17" s="1252"/>
      <c r="E17" s="1252"/>
      <c r="F17" s="1253"/>
      <c r="G17" s="1213" t="s">
        <v>2716</v>
      </c>
      <c r="H17" s="1206"/>
      <c r="I17" s="1206"/>
      <c r="J17" s="1173" t="s">
        <v>3158</v>
      </c>
    </row>
    <row r="18" spans="1:10" s="1160" customFormat="1">
      <c r="A18" s="1244">
        <v>200</v>
      </c>
      <c r="B18" s="1252">
        <v>300</v>
      </c>
      <c r="C18" s="1252"/>
      <c r="D18" s="1252"/>
      <c r="E18" s="1252"/>
      <c r="F18" s="1253"/>
      <c r="G18" s="1213" t="s">
        <v>3575</v>
      </c>
      <c r="H18" s="1206">
        <v>1687551</v>
      </c>
      <c r="I18" s="1206">
        <v>1981749</v>
      </c>
      <c r="J18" s="1173" t="s">
        <v>3160</v>
      </c>
    </row>
    <row r="19" spans="1:10" s="1160" customFormat="1">
      <c r="A19" s="1244">
        <v>200</v>
      </c>
      <c r="B19" s="1249">
        <v>400</v>
      </c>
      <c r="C19" s="1249"/>
      <c r="D19" s="1249"/>
      <c r="E19" s="1249"/>
      <c r="F19" s="1250"/>
      <c r="G19" s="1251" t="s">
        <v>3576</v>
      </c>
      <c r="H19" s="1207"/>
      <c r="I19" s="1207"/>
      <c r="J19" s="1173"/>
    </row>
    <row r="20" spans="1:10" s="1160" customFormat="1">
      <c r="A20" s="1244">
        <v>200</v>
      </c>
      <c r="B20" s="1249">
        <v>400</v>
      </c>
      <c r="C20" s="1252">
        <v>100</v>
      </c>
      <c r="D20" s="1252"/>
      <c r="E20" s="1252"/>
      <c r="F20" s="1253"/>
      <c r="G20" s="1213" t="s">
        <v>3577</v>
      </c>
      <c r="H20" s="1206"/>
      <c r="I20" s="1206"/>
      <c r="J20" s="1173" t="s">
        <v>3164</v>
      </c>
    </row>
    <row r="21" spans="1:10" s="1160" customFormat="1">
      <c r="A21" s="1244">
        <v>200</v>
      </c>
      <c r="B21" s="1249">
        <v>400</v>
      </c>
      <c r="C21" s="1252">
        <v>200</v>
      </c>
      <c r="D21" s="1252"/>
      <c r="E21" s="1252"/>
      <c r="F21" s="1253"/>
      <c r="G21" s="1213" t="s">
        <v>3578</v>
      </c>
      <c r="H21" s="1206">
        <v>2682</v>
      </c>
      <c r="I21" s="1206"/>
      <c r="J21" s="1173" t="s">
        <v>3166</v>
      </c>
    </row>
    <row r="22" spans="1:10" s="1160" customFormat="1">
      <c r="A22" s="1244">
        <v>200</v>
      </c>
      <c r="B22" s="1249">
        <v>400</v>
      </c>
      <c r="C22" s="1252">
        <v>300</v>
      </c>
      <c r="D22" s="1252"/>
      <c r="E22" s="1252"/>
      <c r="F22" s="1253"/>
      <c r="G22" s="1213" t="s">
        <v>3579</v>
      </c>
      <c r="H22" s="1206"/>
      <c r="I22" s="1206"/>
      <c r="J22" s="1173" t="s">
        <v>3168</v>
      </c>
    </row>
    <row r="23" spans="1:10" s="1160" customFormat="1">
      <c r="A23" s="1244">
        <v>200</v>
      </c>
      <c r="B23" s="1249">
        <v>400</v>
      </c>
      <c r="C23" s="1252">
        <v>400</v>
      </c>
      <c r="D23" s="1252"/>
      <c r="E23" s="1252"/>
      <c r="F23" s="1253"/>
      <c r="G23" s="1213" t="s">
        <v>3580</v>
      </c>
      <c r="H23" s="1206">
        <v>208819</v>
      </c>
      <c r="I23" s="1206">
        <v>114001</v>
      </c>
      <c r="J23" s="1173" t="s">
        <v>3170</v>
      </c>
    </row>
    <row r="24" spans="1:10" s="1160" customFormat="1">
      <c r="A24" s="1244">
        <v>200</v>
      </c>
      <c r="B24" s="1249">
        <v>400</v>
      </c>
      <c r="C24" s="1252">
        <v>500</v>
      </c>
      <c r="D24" s="1252"/>
      <c r="E24" s="1252"/>
      <c r="F24" s="1253"/>
      <c r="G24" s="1213" t="s">
        <v>3581</v>
      </c>
      <c r="H24" s="1206">
        <v>2753113</v>
      </c>
      <c r="I24" s="1206">
        <v>2835688</v>
      </c>
      <c r="J24" s="1173" t="s">
        <v>3172</v>
      </c>
    </row>
    <row r="25" spans="1:10" s="1160" customFormat="1">
      <c r="A25" s="1244">
        <v>200</v>
      </c>
      <c r="B25" s="1249">
        <v>500</v>
      </c>
      <c r="C25" s="1249"/>
      <c r="D25" s="1249"/>
      <c r="E25" s="1249"/>
      <c r="F25" s="1250"/>
      <c r="G25" s="1251" t="s">
        <v>3582</v>
      </c>
      <c r="H25" s="1207"/>
      <c r="I25" s="1207"/>
      <c r="J25" s="1173"/>
    </row>
    <row r="26" spans="1:10" s="1160" customFormat="1">
      <c r="A26" s="1244">
        <v>200</v>
      </c>
      <c r="B26" s="1249">
        <v>500</v>
      </c>
      <c r="C26" s="1252">
        <v>100</v>
      </c>
      <c r="D26" s="1252"/>
      <c r="E26" s="1252"/>
      <c r="F26" s="1253"/>
      <c r="G26" s="1213" t="s">
        <v>3583</v>
      </c>
      <c r="H26" s="1206"/>
      <c r="I26" s="1206"/>
      <c r="J26" s="1173" t="s">
        <v>3176</v>
      </c>
    </row>
    <row r="27" spans="1:10" s="1160" customFormat="1">
      <c r="A27" s="1244">
        <v>200</v>
      </c>
      <c r="B27" s="1249">
        <v>500</v>
      </c>
      <c r="C27" s="1252">
        <v>200</v>
      </c>
      <c r="D27" s="1252"/>
      <c r="E27" s="1252"/>
      <c r="F27" s="1253"/>
      <c r="G27" s="1213" t="s">
        <v>3584</v>
      </c>
      <c r="H27" s="1206"/>
      <c r="I27" s="1206"/>
      <c r="J27" s="1173" t="s">
        <v>3178</v>
      </c>
    </row>
    <row r="28" spans="1:10" s="1160" customFormat="1">
      <c r="A28" s="1244">
        <v>200</v>
      </c>
      <c r="B28" s="1249">
        <v>500</v>
      </c>
      <c r="C28" s="1252">
        <v>300</v>
      </c>
      <c r="D28" s="1252"/>
      <c r="E28" s="1252"/>
      <c r="F28" s="1253"/>
      <c r="G28" s="1213" t="s">
        <v>783</v>
      </c>
      <c r="H28" s="1206"/>
      <c r="I28" s="1206"/>
      <c r="J28" s="1173" t="s">
        <v>3180</v>
      </c>
    </row>
    <row r="29" spans="1:10" s="1160" customFormat="1">
      <c r="A29" s="1244">
        <v>200</v>
      </c>
      <c r="B29" s="1252">
        <v>600</v>
      </c>
      <c r="C29" s="1252"/>
      <c r="D29" s="1252"/>
      <c r="E29" s="1252"/>
      <c r="F29" s="1253"/>
      <c r="G29" s="1213" t="s">
        <v>3585</v>
      </c>
      <c r="H29" s="1206"/>
      <c r="I29" s="1206"/>
      <c r="J29" s="1173" t="s">
        <v>3182</v>
      </c>
    </row>
    <row r="30" spans="1:10" s="1160" customFormat="1">
      <c r="A30" s="1255">
        <v>200</v>
      </c>
      <c r="B30" s="1256">
        <v>700</v>
      </c>
      <c r="C30" s="1256"/>
      <c r="D30" s="1256"/>
      <c r="E30" s="1256"/>
      <c r="F30" s="1257"/>
      <c r="G30" s="1258" t="s">
        <v>3586</v>
      </c>
      <c r="H30" s="1220">
        <f>+'Schema CE'!D120</f>
        <v>19878</v>
      </c>
      <c r="I30" s="1220">
        <f>+'Schema CE'!E120</f>
        <v>106863</v>
      </c>
      <c r="J30" s="1191" t="s">
        <v>3184</v>
      </c>
    </row>
    <row r="31" spans="1:10" s="1167" customFormat="1">
      <c r="A31" s="1259">
        <v>210</v>
      </c>
      <c r="B31" s="1260">
        <v>0</v>
      </c>
      <c r="C31" s="1260">
        <v>0</v>
      </c>
      <c r="D31" s="1260">
        <v>0</v>
      </c>
      <c r="E31" s="1260">
        <v>0</v>
      </c>
      <c r="F31" s="1261">
        <v>0</v>
      </c>
      <c r="G31" s="1262" t="s">
        <v>3587</v>
      </c>
      <c r="H31" s="1263"/>
      <c r="I31" s="1263"/>
      <c r="J31" s="1197"/>
    </row>
    <row r="32" spans="1:10" s="1160" customFormat="1">
      <c r="A32" s="1244">
        <v>210</v>
      </c>
      <c r="B32" s="1249">
        <v>100</v>
      </c>
      <c r="C32" s="1249"/>
      <c r="D32" s="1249"/>
      <c r="E32" s="1249"/>
      <c r="F32" s="1250"/>
      <c r="G32" s="1264" t="s">
        <v>3588</v>
      </c>
      <c r="H32" s="1207"/>
      <c r="I32" s="1207"/>
      <c r="J32" s="1173"/>
    </row>
    <row r="33" spans="1:10" s="1160" customFormat="1">
      <c r="A33" s="1244">
        <v>210</v>
      </c>
      <c r="B33" s="1249">
        <v>100</v>
      </c>
      <c r="C33" s="1252">
        <v>100</v>
      </c>
      <c r="D33" s="1252"/>
      <c r="E33" s="1252"/>
      <c r="F33" s="1253"/>
      <c r="G33" s="1254" t="s">
        <v>3589</v>
      </c>
      <c r="H33" s="1206"/>
      <c r="I33" s="1206"/>
      <c r="J33" s="1173" t="s">
        <v>2777</v>
      </c>
    </row>
    <row r="34" spans="1:10" s="1160" customFormat="1">
      <c r="A34" s="1244">
        <v>210</v>
      </c>
      <c r="B34" s="1249">
        <v>100</v>
      </c>
      <c r="C34" s="1252">
        <v>200</v>
      </c>
      <c r="D34" s="1252"/>
      <c r="E34" s="1252"/>
      <c r="F34" s="1253"/>
      <c r="G34" s="1254" t="s">
        <v>3590</v>
      </c>
      <c r="H34" s="1206"/>
      <c r="I34" s="1206"/>
      <c r="J34" s="1173" t="s">
        <v>2783</v>
      </c>
    </row>
    <row r="35" spans="1:10" s="1160" customFormat="1" ht="26.4">
      <c r="A35" s="1244">
        <v>210</v>
      </c>
      <c r="B35" s="1249">
        <v>100</v>
      </c>
      <c r="C35" s="1252">
        <v>300</v>
      </c>
      <c r="D35" s="1252"/>
      <c r="E35" s="1252"/>
      <c r="F35" s="1253"/>
      <c r="G35" s="1254" t="s">
        <v>3591</v>
      </c>
      <c r="H35" s="1206"/>
      <c r="I35" s="1206"/>
      <c r="J35" s="1173" t="s">
        <v>2789</v>
      </c>
    </row>
    <row r="36" spans="1:10" s="1160" customFormat="1" ht="26.4">
      <c r="A36" s="1244">
        <v>210</v>
      </c>
      <c r="B36" s="1249">
        <v>100</v>
      </c>
      <c r="C36" s="1252">
        <v>400</v>
      </c>
      <c r="D36" s="1252"/>
      <c r="E36" s="1252"/>
      <c r="F36" s="1253"/>
      <c r="G36" s="1254" t="s">
        <v>3592</v>
      </c>
      <c r="H36" s="1206"/>
      <c r="I36" s="1206"/>
      <c r="J36" s="1173" t="s">
        <v>2793</v>
      </c>
    </row>
    <row r="37" spans="1:10" s="1160" customFormat="1">
      <c r="A37" s="1244">
        <v>210</v>
      </c>
      <c r="B37" s="1249">
        <v>100</v>
      </c>
      <c r="C37" s="1252">
        <v>500</v>
      </c>
      <c r="D37" s="1252"/>
      <c r="E37" s="1252"/>
      <c r="F37" s="1253"/>
      <c r="G37" s="1254" t="s">
        <v>3593</v>
      </c>
      <c r="H37" s="1206">
        <v>227354</v>
      </c>
      <c r="I37" s="1206">
        <v>223856</v>
      </c>
      <c r="J37" s="1173" t="s">
        <v>2801</v>
      </c>
    </row>
    <row r="38" spans="1:10" s="1160" customFormat="1">
      <c r="A38" s="1244">
        <v>210</v>
      </c>
      <c r="B38" s="1249">
        <v>100</v>
      </c>
      <c r="C38" s="1252">
        <v>600</v>
      </c>
      <c r="D38" s="1252"/>
      <c r="E38" s="1252"/>
      <c r="F38" s="1253"/>
      <c r="G38" s="1254" t="s">
        <v>3594</v>
      </c>
      <c r="H38" s="1206">
        <v>39838</v>
      </c>
      <c r="I38" s="1206">
        <v>39838</v>
      </c>
      <c r="J38" s="1173" t="s">
        <v>2805</v>
      </c>
    </row>
    <row r="39" spans="1:10" s="1160" customFormat="1">
      <c r="A39" s="1244">
        <v>210</v>
      </c>
      <c r="B39" s="1249">
        <v>100</v>
      </c>
      <c r="C39" s="1252">
        <v>700</v>
      </c>
      <c r="D39" s="1252"/>
      <c r="E39" s="1252"/>
      <c r="F39" s="1253"/>
      <c r="G39" s="1254" t="s">
        <v>3595</v>
      </c>
      <c r="H39" s="1206"/>
      <c r="I39" s="1206"/>
      <c r="J39" s="1173" t="s">
        <v>2809</v>
      </c>
    </row>
    <row r="40" spans="1:10" s="1160" customFormat="1">
      <c r="A40" s="1244">
        <v>210</v>
      </c>
      <c r="B40" s="1249">
        <v>100</v>
      </c>
      <c r="C40" s="1252">
        <v>800</v>
      </c>
      <c r="D40" s="1252"/>
      <c r="E40" s="1252"/>
      <c r="F40" s="1253"/>
      <c r="G40" s="1254" t="s">
        <v>3596</v>
      </c>
      <c r="H40" s="1206"/>
      <c r="I40" s="1206"/>
      <c r="J40" s="1173" t="s">
        <v>2813</v>
      </c>
    </row>
    <row r="41" spans="1:10" s="1160" customFormat="1">
      <c r="A41" s="1244">
        <v>210</v>
      </c>
      <c r="B41" s="1249">
        <v>200</v>
      </c>
      <c r="C41" s="1249"/>
      <c r="D41" s="1249"/>
      <c r="E41" s="1249"/>
      <c r="F41" s="1250"/>
      <c r="G41" s="1264" t="s">
        <v>3597</v>
      </c>
      <c r="H41" s="1265"/>
      <c r="I41" s="1265"/>
      <c r="J41" s="1266"/>
    </row>
    <row r="42" spans="1:10" s="1160" customFormat="1">
      <c r="A42" s="1244">
        <v>210</v>
      </c>
      <c r="B42" s="1249">
        <v>200</v>
      </c>
      <c r="C42" s="1252">
        <v>100</v>
      </c>
      <c r="D42" s="1252"/>
      <c r="E42" s="1252"/>
      <c r="F42" s="1253"/>
      <c r="G42" s="1254" t="s">
        <v>3598</v>
      </c>
      <c r="H42" s="1206">
        <v>736671</v>
      </c>
      <c r="I42" s="1206">
        <v>688964</v>
      </c>
      <c r="J42" s="1173" t="s">
        <v>2839</v>
      </c>
    </row>
    <row r="43" spans="1:10" s="1160" customFormat="1">
      <c r="A43" s="1244">
        <v>210</v>
      </c>
      <c r="B43" s="1249">
        <v>200</v>
      </c>
      <c r="C43" s="1252">
        <v>200</v>
      </c>
      <c r="D43" s="1252"/>
      <c r="E43" s="1252"/>
      <c r="F43" s="1253"/>
      <c r="G43" s="1254" t="s">
        <v>3599</v>
      </c>
      <c r="H43" s="1206">
        <v>10401749</v>
      </c>
      <c r="I43" s="1206">
        <v>9649798</v>
      </c>
      <c r="J43" s="1173" t="s">
        <v>2845</v>
      </c>
    </row>
    <row r="44" spans="1:10" s="1160" customFormat="1">
      <c r="A44" s="1244">
        <v>210</v>
      </c>
      <c r="B44" s="1249">
        <v>200</v>
      </c>
      <c r="C44" s="1252">
        <v>300</v>
      </c>
      <c r="D44" s="1252"/>
      <c r="E44" s="1252"/>
      <c r="F44" s="1253"/>
      <c r="G44" s="1254" t="s">
        <v>3600</v>
      </c>
      <c r="H44" s="1206">
        <v>3141773</v>
      </c>
      <c r="I44" s="1206">
        <v>3141545</v>
      </c>
      <c r="J44" s="1173" t="s">
        <v>2851</v>
      </c>
    </row>
    <row r="45" spans="1:10" s="1160" customFormat="1">
      <c r="A45" s="1244">
        <v>210</v>
      </c>
      <c r="B45" s="1249">
        <v>200</v>
      </c>
      <c r="C45" s="1252">
        <v>400</v>
      </c>
      <c r="D45" s="1252"/>
      <c r="E45" s="1252"/>
      <c r="F45" s="1253"/>
      <c r="G45" s="1254" t="s">
        <v>3601</v>
      </c>
      <c r="H45" s="1206">
        <v>23009729</v>
      </c>
      <c r="I45" s="1206">
        <v>22032930</v>
      </c>
      <c r="J45" s="1173" t="s">
        <v>2857</v>
      </c>
    </row>
    <row r="46" spans="1:10" s="1160" customFormat="1">
      <c r="A46" s="1244">
        <v>210</v>
      </c>
      <c r="B46" s="1249">
        <v>200</v>
      </c>
      <c r="C46" s="1252">
        <v>500</v>
      </c>
      <c r="D46" s="1252"/>
      <c r="E46" s="1252"/>
      <c r="F46" s="1253"/>
      <c r="G46" s="1254" t="s">
        <v>3602</v>
      </c>
      <c r="H46" s="1206">
        <v>2085623</v>
      </c>
      <c r="I46" s="1206">
        <v>2003311</v>
      </c>
      <c r="J46" s="1173" t="s">
        <v>2863</v>
      </c>
    </row>
    <row r="47" spans="1:10" s="1160" customFormat="1">
      <c r="A47" s="1244">
        <v>210</v>
      </c>
      <c r="B47" s="1249">
        <v>200</v>
      </c>
      <c r="C47" s="1252">
        <v>600</v>
      </c>
      <c r="D47" s="1252"/>
      <c r="E47" s="1252"/>
      <c r="F47" s="1253"/>
      <c r="G47" s="1254" t="s">
        <v>3603</v>
      </c>
      <c r="H47" s="1206">
        <v>240303</v>
      </c>
      <c r="I47" s="1206">
        <v>242868</v>
      </c>
      <c r="J47" s="1173" t="s">
        <v>2869</v>
      </c>
    </row>
    <row r="48" spans="1:10" s="1160" customFormat="1">
      <c r="A48" s="1244">
        <v>210</v>
      </c>
      <c r="B48" s="1249">
        <v>200</v>
      </c>
      <c r="C48" s="1252">
        <v>700</v>
      </c>
      <c r="D48" s="1252"/>
      <c r="E48" s="1252"/>
      <c r="F48" s="1253"/>
      <c r="G48" s="1254" t="s">
        <v>3604</v>
      </c>
      <c r="H48" s="1206">
        <v>4370706</v>
      </c>
      <c r="I48" s="1206">
        <v>4152614</v>
      </c>
      <c r="J48" s="1173" t="s">
        <v>2877</v>
      </c>
    </row>
    <row r="49" spans="1:10" s="1160" customFormat="1">
      <c r="A49" s="1244">
        <v>210</v>
      </c>
      <c r="B49" s="1249">
        <v>300</v>
      </c>
      <c r="C49" s="1249"/>
      <c r="D49" s="1249"/>
      <c r="E49" s="1249"/>
      <c r="F49" s="1250"/>
      <c r="G49" s="1264" t="s">
        <v>3605</v>
      </c>
      <c r="H49" s="1207"/>
      <c r="I49" s="1207"/>
      <c r="J49" s="1173"/>
    </row>
    <row r="50" spans="1:10" s="1160" customFormat="1">
      <c r="A50" s="1244">
        <v>210</v>
      </c>
      <c r="B50" s="1249">
        <v>300</v>
      </c>
      <c r="C50" s="1252">
        <v>100</v>
      </c>
      <c r="D50" s="1252"/>
      <c r="E50" s="1252"/>
      <c r="F50" s="1253"/>
      <c r="G50" s="1254" t="s">
        <v>3606</v>
      </c>
      <c r="H50" s="1206"/>
      <c r="I50" s="1206"/>
      <c r="J50" s="1173" t="s">
        <v>2817</v>
      </c>
    </row>
    <row r="51" spans="1:10" s="1160" customFormat="1">
      <c r="A51" s="1244">
        <v>210</v>
      </c>
      <c r="B51" s="1249">
        <v>300</v>
      </c>
      <c r="C51" s="1252">
        <v>200</v>
      </c>
      <c r="D51" s="1252"/>
      <c r="E51" s="1252"/>
      <c r="F51" s="1253"/>
      <c r="G51" s="1254" t="s">
        <v>3607</v>
      </c>
      <c r="H51" s="1206"/>
      <c r="I51" s="1206"/>
      <c r="J51" s="1173" t="s">
        <v>2819</v>
      </c>
    </row>
    <row r="52" spans="1:10" s="1160" customFormat="1">
      <c r="A52" s="1244">
        <v>210</v>
      </c>
      <c r="B52" s="1249">
        <v>300</v>
      </c>
      <c r="C52" s="1252">
        <v>300</v>
      </c>
      <c r="D52" s="1252"/>
      <c r="E52" s="1252"/>
      <c r="F52" s="1253"/>
      <c r="G52" s="1254" t="s">
        <v>3608</v>
      </c>
      <c r="H52" s="1206"/>
      <c r="I52" s="1206"/>
      <c r="J52" s="1173" t="s">
        <v>2821</v>
      </c>
    </row>
    <row r="53" spans="1:10" s="1160" customFormat="1">
      <c r="A53" s="1244">
        <v>210</v>
      </c>
      <c r="B53" s="1249">
        <v>300</v>
      </c>
      <c r="C53" s="1252">
        <v>400</v>
      </c>
      <c r="D53" s="1252"/>
      <c r="E53" s="1252"/>
      <c r="F53" s="1253"/>
      <c r="G53" s="1254" t="s">
        <v>3609</v>
      </c>
      <c r="H53" s="1206"/>
      <c r="I53" s="1206"/>
      <c r="J53" s="1173" t="s">
        <v>2823</v>
      </c>
    </row>
    <row r="54" spans="1:10" s="1160" customFormat="1">
      <c r="A54" s="1244">
        <v>210</v>
      </c>
      <c r="B54" s="1249">
        <v>400</v>
      </c>
      <c r="C54" s="1249"/>
      <c r="D54" s="1249"/>
      <c r="E54" s="1249"/>
      <c r="F54" s="1250"/>
      <c r="G54" s="1264" t="s">
        <v>3610</v>
      </c>
      <c r="H54" s="1265"/>
      <c r="I54" s="1265"/>
      <c r="J54" s="1266"/>
    </row>
    <row r="55" spans="1:10" s="1160" customFormat="1">
      <c r="A55" s="1244">
        <v>210</v>
      </c>
      <c r="B55" s="1249">
        <v>400</v>
      </c>
      <c r="C55" s="1252">
        <v>50</v>
      </c>
      <c r="D55" s="1252"/>
      <c r="E55" s="1252"/>
      <c r="F55" s="1253"/>
      <c r="G55" s="1254" t="s">
        <v>3611</v>
      </c>
      <c r="H55" s="1206"/>
      <c r="I55" s="1206"/>
      <c r="J55" s="1173" t="s">
        <v>2883</v>
      </c>
    </row>
    <row r="56" spans="1:10" s="1160" customFormat="1">
      <c r="A56" s="1244">
        <v>210</v>
      </c>
      <c r="B56" s="1249">
        <v>400</v>
      </c>
      <c r="C56" s="1252">
        <v>100</v>
      </c>
      <c r="D56" s="1252"/>
      <c r="E56" s="1252"/>
      <c r="F56" s="1253"/>
      <c r="G56" s="1254" t="s">
        <v>3612</v>
      </c>
      <c r="H56" s="1206"/>
      <c r="I56" s="1206"/>
      <c r="J56" s="1173" t="s">
        <v>2883</v>
      </c>
    </row>
    <row r="57" spans="1:10" s="1160" customFormat="1">
      <c r="A57" s="1244">
        <v>210</v>
      </c>
      <c r="B57" s="1249">
        <v>400</v>
      </c>
      <c r="C57" s="1252">
        <v>150</v>
      </c>
      <c r="D57" s="1252"/>
      <c r="E57" s="1252"/>
      <c r="F57" s="1253"/>
      <c r="G57" s="1254" t="s">
        <v>3613</v>
      </c>
      <c r="H57" s="1206"/>
      <c r="I57" s="1206"/>
      <c r="J57" s="1173" t="s">
        <v>2885</v>
      </c>
    </row>
    <row r="58" spans="1:10" s="1160" customFormat="1">
      <c r="A58" s="1244">
        <v>210</v>
      </c>
      <c r="B58" s="1249">
        <v>400</v>
      </c>
      <c r="C58" s="1252">
        <v>200</v>
      </c>
      <c r="D58" s="1252"/>
      <c r="E58" s="1252"/>
      <c r="F58" s="1253"/>
      <c r="G58" s="1254" t="s">
        <v>3614</v>
      </c>
      <c r="H58" s="1206"/>
      <c r="I58" s="1206"/>
      <c r="J58" s="1173" t="s">
        <v>2883</v>
      </c>
    </row>
    <row r="59" spans="1:10" s="1160" customFormat="1">
      <c r="A59" s="1244">
        <v>210</v>
      </c>
      <c r="B59" s="1249">
        <v>400</v>
      </c>
      <c r="C59" s="1252">
        <v>300</v>
      </c>
      <c r="D59" s="1252"/>
      <c r="E59" s="1252"/>
      <c r="F59" s="1253"/>
      <c r="G59" s="1254" t="s">
        <v>3615</v>
      </c>
      <c r="H59" s="1206"/>
      <c r="I59" s="1206"/>
      <c r="J59" s="1173" t="s">
        <v>2887</v>
      </c>
    </row>
    <row r="60" spans="1:10" s="1160" customFormat="1">
      <c r="A60" s="1244">
        <v>210</v>
      </c>
      <c r="B60" s="1249">
        <v>400</v>
      </c>
      <c r="C60" s="1252">
        <v>400</v>
      </c>
      <c r="D60" s="1252"/>
      <c r="E60" s="1252"/>
      <c r="F60" s="1253"/>
      <c r="G60" s="1254" t="s">
        <v>3616</v>
      </c>
      <c r="H60" s="1206"/>
      <c r="I60" s="1206"/>
      <c r="J60" s="1173" t="s">
        <v>2889</v>
      </c>
    </row>
    <row r="61" spans="1:10" s="1160" customFormat="1">
      <c r="A61" s="1244">
        <v>210</v>
      </c>
      <c r="B61" s="1249">
        <v>400</v>
      </c>
      <c r="C61" s="1252">
        <v>500</v>
      </c>
      <c r="D61" s="1252"/>
      <c r="E61" s="1252"/>
      <c r="F61" s="1253"/>
      <c r="G61" s="1254" t="s">
        <v>3617</v>
      </c>
      <c r="H61" s="1206"/>
      <c r="I61" s="1206"/>
      <c r="J61" s="1173" t="s">
        <v>2891</v>
      </c>
    </row>
    <row r="62" spans="1:10" s="1160" customFormat="1">
      <c r="A62" s="1244">
        <v>210</v>
      </c>
      <c r="B62" s="1249">
        <v>400</v>
      </c>
      <c r="C62" s="1252">
        <v>600</v>
      </c>
      <c r="D62" s="1252"/>
      <c r="E62" s="1252"/>
      <c r="F62" s="1253"/>
      <c r="G62" s="1254" t="s">
        <v>3618</v>
      </c>
      <c r="H62" s="1206"/>
      <c r="I62" s="1206"/>
      <c r="J62" s="1173" t="s">
        <v>2893</v>
      </c>
    </row>
    <row r="63" spans="1:10" s="1160" customFormat="1">
      <c r="A63" s="1244">
        <v>210</v>
      </c>
      <c r="B63" s="1249">
        <v>400</v>
      </c>
      <c r="C63" s="1252">
        <v>700</v>
      </c>
      <c r="D63" s="1252"/>
      <c r="E63" s="1252"/>
      <c r="F63" s="1253"/>
      <c r="G63" s="1254" t="s">
        <v>3619</v>
      </c>
      <c r="H63" s="1206"/>
      <c r="I63" s="1206"/>
      <c r="J63" s="1173" t="s">
        <v>2895</v>
      </c>
    </row>
    <row r="64" spans="1:10" s="1160" customFormat="1">
      <c r="A64" s="1244">
        <v>210</v>
      </c>
      <c r="B64" s="1249">
        <v>400</v>
      </c>
      <c r="C64" s="1252">
        <v>800</v>
      </c>
      <c r="D64" s="1252"/>
      <c r="E64" s="1252"/>
      <c r="F64" s="1253"/>
      <c r="G64" s="1254" t="s">
        <v>3620</v>
      </c>
      <c r="H64" s="1206"/>
      <c r="I64" s="1206"/>
      <c r="J64" s="1173" t="s">
        <v>2897</v>
      </c>
    </row>
    <row r="65" spans="1:10" s="1160" customFormat="1">
      <c r="A65" s="1244">
        <v>210</v>
      </c>
      <c r="B65" s="1249">
        <v>500</v>
      </c>
      <c r="C65" s="1249"/>
      <c r="D65" s="1249"/>
      <c r="E65" s="1249"/>
      <c r="F65" s="1250"/>
      <c r="G65" s="1264" t="s">
        <v>3621</v>
      </c>
      <c r="H65" s="1208"/>
      <c r="I65" s="1208"/>
      <c r="J65" s="1209"/>
    </row>
    <row r="66" spans="1:10" s="1160" customFormat="1">
      <c r="A66" s="1244">
        <v>210</v>
      </c>
      <c r="B66" s="1249">
        <v>500</v>
      </c>
      <c r="C66" s="1252">
        <v>100</v>
      </c>
      <c r="D66" s="1252"/>
      <c r="E66" s="1252"/>
      <c r="F66" s="1253"/>
      <c r="G66" s="1213" t="s">
        <v>3622</v>
      </c>
      <c r="H66" s="1248"/>
      <c r="I66" s="1248"/>
      <c r="J66" s="1209" t="s">
        <v>2903</v>
      </c>
    </row>
    <row r="67" spans="1:10" s="1160" customFormat="1">
      <c r="A67" s="1244">
        <v>210</v>
      </c>
      <c r="B67" s="1249">
        <v>500</v>
      </c>
      <c r="C67" s="1252">
        <v>101</v>
      </c>
      <c r="D67" s="1252"/>
      <c r="E67" s="1252"/>
      <c r="F67" s="1253"/>
      <c r="G67" s="1213" t="s">
        <v>3623</v>
      </c>
      <c r="H67" s="1248"/>
      <c r="I67" s="1248"/>
      <c r="J67" s="1209" t="s">
        <v>2905</v>
      </c>
    </row>
    <row r="68" spans="1:10" s="1160" customFormat="1">
      <c r="A68" s="1244">
        <v>210</v>
      </c>
      <c r="B68" s="1249">
        <v>500</v>
      </c>
      <c r="C68" s="1252">
        <v>102</v>
      </c>
      <c r="D68" s="1252"/>
      <c r="E68" s="1252"/>
      <c r="F68" s="1253"/>
      <c r="G68" s="1213" t="s">
        <v>3624</v>
      </c>
      <c r="H68" s="1248"/>
      <c r="I68" s="1248"/>
      <c r="J68" s="1209" t="s">
        <v>2907</v>
      </c>
    </row>
    <row r="69" spans="1:10" s="1160" customFormat="1">
      <c r="A69" s="1244">
        <v>210</v>
      </c>
      <c r="B69" s="1249">
        <v>500</v>
      </c>
      <c r="C69" s="1252">
        <v>103</v>
      </c>
      <c r="D69" s="1252"/>
      <c r="E69" s="1252"/>
      <c r="F69" s="1253"/>
      <c r="G69" s="1213" t="s">
        <v>3625</v>
      </c>
      <c r="H69" s="1248"/>
      <c r="I69" s="1248"/>
      <c r="J69" s="1209" t="s">
        <v>2909</v>
      </c>
    </row>
    <row r="70" spans="1:10" s="1160" customFormat="1">
      <c r="A70" s="1244">
        <v>210</v>
      </c>
      <c r="B70" s="1249">
        <v>500</v>
      </c>
      <c r="C70" s="1252">
        <v>200</v>
      </c>
      <c r="D70" s="1252"/>
      <c r="E70" s="1252"/>
      <c r="F70" s="1253"/>
      <c r="G70" s="1213" t="s">
        <v>3626</v>
      </c>
      <c r="H70" s="1248"/>
      <c r="I70" s="1248"/>
      <c r="J70" s="1209" t="s">
        <v>2969</v>
      </c>
    </row>
    <row r="71" spans="1:10" s="1160" customFormat="1">
      <c r="A71" s="1244">
        <v>210</v>
      </c>
      <c r="B71" s="1249">
        <v>500</v>
      </c>
      <c r="C71" s="1252">
        <v>201</v>
      </c>
      <c r="D71" s="1252"/>
      <c r="E71" s="1252"/>
      <c r="F71" s="1253"/>
      <c r="G71" s="1213" t="s">
        <v>3627</v>
      </c>
      <c r="H71" s="1248"/>
      <c r="I71" s="1248"/>
      <c r="J71" s="1209" t="s">
        <v>2971</v>
      </c>
    </row>
    <row r="72" spans="1:10" s="1160" customFormat="1">
      <c r="A72" s="1244">
        <v>210</v>
      </c>
      <c r="B72" s="1249">
        <v>500</v>
      </c>
      <c r="C72" s="1252">
        <v>202</v>
      </c>
      <c r="D72" s="1252"/>
      <c r="E72" s="1252"/>
      <c r="F72" s="1253"/>
      <c r="G72" s="1213" t="s">
        <v>3628</v>
      </c>
      <c r="H72" s="1248"/>
      <c r="I72" s="1248"/>
      <c r="J72" s="1209" t="s">
        <v>2973</v>
      </c>
    </row>
    <row r="73" spans="1:10" s="1160" customFormat="1">
      <c r="A73" s="1244">
        <v>210</v>
      </c>
      <c r="B73" s="1249">
        <v>500</v>
      </c>
      <c r="C73" s="1252">
        <v>203</v>
      </c>
      <c r="D73" s="1252"/>
      <c r="E73" s="1252"/>
      <c r="F73" s="1253"/>
      <c r="G73" s="1213" t="s">
        <v>3629</v>
      </c>
      <c r="H73" s="1248"/>
      <c r="I73" s="1248"/>
      <c r="J73" s="1209" t="s">
        <v>2975</v>
      </c>
    </row>
    <row r="74" spans="1:10" s="1160" customFormat="1" ht="26.4">
      <c r="A74" s="1244">
        <v>210</v>
      </c>
      <c r="B74" s="1249">
        <v>500</v>
      </c>
      <c r="C74" s="1252">
        <v>204</v>
      </c>
      <c r="D74" s="1252"/>
      <c r="E74" s="1252"/>
      <c r="F74" s="1253"/>
      <c r="G74" s="1213" t="s">
        <v>3630</v>
      </c>
      <c r="H74" s="1248"/>
      <c r="I74" s="1248"/>
      <c r="J74" s="1209" t="s">
        <v>2977</v>
      </c>
    </row>
    <row r="75" spans="1:10" s="1160" customFormat="1" ht="26.4">
      <c r="A75" s="1244">
        <v>210</v>
      </c>
      <c r="B75" s="1249">
        <v>500</v>
      </c>
      <c r="C75" s="1252">
        <v>205</v>
      </c>
      <c r="D75" s="1252"/>
      <c r="E75" s="1252"/>
      <c r="F75" s="1253"/>
      <c r="G75" s="1213" t="s">
        <v>3631</v>
      </c>
      <c r="H75" s="1248"/>
      <c r="I75" s="1248"/>
      <c r="J75" s="1209" t="s">
        <v>2979</v>
      </c>
    </row>
    <row r="76" spans="1:10" s="1160" customFormat="1">
      <c r="A76" s="1244">
        <v>210</v>
      </c>
      <c r="B76" s="1249">
        <v>500</v>
      </c>
      <c r="C76" s="1252">
        <v>206</v>
      </c>
      <c r="D76" s="1252"/>
      <c r="E76" s="1252"/>
      <c r="F76" s="1253"/>
      <c r="G76" s="1213" t="s">
        <v>3632</v>
      </c>
      <c r="H76" s="1248"/>
      <c r="I76" s="1248"/>
      <c r="J76" s="1209" t="s">
        <v>2981</v>
      </c>
    </row>
    <row r="77" spans="1:10" s="1160" customFormat="1" ht="26.4">
      <c r="A77" s="1244">
        <v>210</v>
      </c>
      <c r="B77" s="1249">
        <v>500</v>
      </c>
      <c r="C77" s="1252">
        <v>212</v>
      </c>
      <c r="D77" s="1252"/>
      <c r="E77" s="1252"/>
      <c r="F77" s="1253"/>
      <c r="G77" s="1213" t="s">
        <v>3633</v>
      </c>
      <c r="H77" s="1248"/>
      <c r="I77" s="1248"/>
      <c r="J77" s="1209" t="s">
        <v>2983</v>
      </c>
    </row>
    <row r="78" spans="1:10" s="1160" customFormat="1">
      <c r="A78" s="1244">
        <v>210</v>
      </c>
      <c r="B78" s="1249">
        <v>500</v>
      </c>
      <c r="C78" s="1252">
        <v>207</v>
      </c>
      <c r="D78" s="1252"/>
      <c r="E78" s="1252"/>
      <c r="F78" s="1253"/>
      <c r="G78" s="1213" t="s">
        <v>3634</v>
      </c>
      <c r="H78" s="1248"/>
      <c r="I78" s="1248"/>
      <c r="J78" s="1209" t="s">
        <v>2985</v>
      </c>
    </row>
    <row r="79" spans="1:10" s="1160" customFormat="1" ht="26.4">
      <c r="A79" s="1244">
        <v>210</v>
      </c>
      <c r="B79" s="1249">
        <v>500</v>
      </c>
      <c r="C79" s="1252">
        <v>208</v>
      </c>
      <c r="D79" s="1252"/>
      <c r="E79" s="1252"/>
      <c r="F79" s="1253"/>
      <c r="G79" s="1213" t="s">
        <v>3635</v>
      </c>
      <c r="H79" s="1248"/>
      <c r="I79" s="1248"/>
      <c r="J79" s="1209" t="s">
        <v>2989</v>
      </c>
    </row>
    <row r="80" spans="1:10" s="1160" customFormat="1" ht="26.4">
      <c r="A80" s="1244">
        <v>210</v>
      </c>
      <c r="B80" s="1249">
        <v>500</v>
      </c>
      <c r="C80" s="1252">
        <v>209</v>
      </c>
      <c r="D80" s="1252"/>
      <c r="E80" s="1252"/>
      <c r="F80" s="1253"/>
      <c r="G80" s="1213" t="s">
        <v>3636</v>
      </c>
      <c r="H80" s="1248"/>
      <c r="I80" s="1248"/>
      <c r="J80" s="1209" t="s">
        <v>2991</v>
      </c>
    </row>
    <row r="81" spans="1:10" s="1160" customFormat="1">
      <c r="A81" s="1244">
        <v>210</v>
      </c>
      <c r="B81" s="1249">
        <v>500</v>
      </c>
      <c r="C81" s="1252">
        <v>210</v>
      </c>
      <c r="D81" s="1252"/>
      <c r="E81" s="1252"/>
      <c r="F81" s="1253"/>
      <c r="G81" s="1213" t="s">
        <v>3637</v>
      </c>
      <c r="H81" s="1248"/>
      <c r="I81" s="1248"/>
      <c r="J81" s="1209" t="s">
        <v>2993</v>
      </c>
    </row>
    <row r="82" spans="1:10" s="1160" customFormat="1" ht="26.4">
      <c r="A82" s="1244">
        <v>210</v>
      </c>
      <c r="B82" s="1249">
        <v>500</v>
      </c>
      <c r="C82" s="1252">
        <v>211</v>
      </c>
      <c r="D82" s="1252"/>
      <c r="E82" s="1252"/>
      <c r="F82" s="1253"/>
      <c r="G82" s="1213" t="s">
        <v>3638</v>
      </c>
      <c r="H82" s="1248"/>
      <c r="I82" s="1248"/>
      <c r="J82" s="1209" t="s">
        <v>2995</v>
      </c>
    </row>
    <row r="83" spans="1:10" s="1160" customFormat="1">
      <c r="A83" s="1244">
        <v>210</v>
      </c>
      <c r="B83" s="1249">
        <v>500</v>
      </c>
      <c r="C83" s="1252">
        <v>300</v>
      </c>
      <c r="D83" s="1252"/>
      <c r="E83" s="1252"/>
      <c r="F83" s="1253"/>
      <c r="G83" s="1213" t="s">
        <v>3639</v>
      </c>
      <c r="H83" s="1248"/>
      <c r="I83" s="1248"/>
      <c r="J83" s="1209" t="s">
        <v>2997</v>
      </c>
    </row>
    <row r="84" spans="1:10" s="1267" customFormat="1">
      <c r="A84" s="1244">
        <v>210</v>
      </c>
      <c r="B84" s="1249">
        <v>500</v>
      </c>
      <c r="C84" s="1252">
        <v>402</v>
      </c>
      <c r="D84" s="1252"/>
      <c r="E84" s="1252"/>
      <c r="F84" s="1253"/>
      <c r="G84" s="1213" t="s">
        <v>3640</v>
      </c>
      <c r="H84" s="1248"/>
      <c r="I84" s="1248"/>
      <c r="J84" s="1209" t="s">
        <v>3004</v>
      </c>
    </row>
    <row r="85" spans="1:10" s="1267" customFormat="1" ht="26.4">
      <c r="A85" s="1244">
        <v>210</v>
      </c>
      <c r="B85" s="1249">
        <v>500</v>
      </c>
      <c r="C85" s="1252">
        <v>403</v>
      </c>
      <c r="D85" s="1252"/>
      <c r="E85" s="1252"/>
      <c r="F85" s="1253"/>
      <c r="G85" s="1213" t="s">
        <v>3641</v>
      </c>
      <c r="H85" s="1248"/>
      <c r="I85" s="1248"/>
      <c r="J85" s="1209" t="s">
        <v>3006</v>
      </c>
    </row>
    <row r="86" spans="1:10" s="1267" customFormat="1" ht="26.4">
      <c r="A86" s="1244">
        <v>210</v>
      </c>
      <c r="B86" s="1249">
        <v>500</v>
      </c>
      <c r="C86" s="1252">
        <v>404</v>
      </c>
      <c r="D86" s="1252"/>
      <c r="E86" s="1252"/>
      <c r="F86" s="1253"/>
      <c r="G86" s="1213" t="s">
        <v>3642</v>
      </c>
      <c r="H86" s="1248">
        <v>257733</v>
      </c>
      <c r="I86" s="1248">
        <v>257733</v>
      </c>
      <c r="J86" s="1209" t="s">
        <v>3008</v>
      </c>
    </row>
    <row r="87" spans="1:10" s="1267" customFormat="1" ht="26.4">
      <c r="A87" s="1244">
        <v>210</v>
      </c>
      <c r="B87" s="1249">
        <v>500</v>
      </c>
      <c r="C87" s="1252">
        <v>405</v>
      </c>
      <c r="D87" s="1252"/>
      <c r="E87" s="1252"/>
      <c r="F87" s="1253"/>
      <c r="G87" s="1213" t="s">
        <v>3643</v>
      </c>
      <c r="H87" s="1248"/>
      <c r="I87" s="1248"/>
      <c r="J87" s="1209" t="s">
        <v>3010</v>
      </c>
    </row>
    <row r="88" spans="1:10" s="1267" customFormat="1" ht="26.4">
      <c r="A88" s="1244">
        <v>210</v>
      </c>
      <c r="B88" s="1249">
        <v>500</v>
      </c>
      <c r="C88" s="1252">
        <v>406</v>
      </c>
      <c r="D88" s="1252"/>
      <c r="E88" s="1252"/>
      <c r="F88" s="1253"/>
      <c r="G88" s="1213" t="s">
        <v>3644</v>
      </c>
      <c r="H88" s="1248"/>
      <c r="I88" s="1248"/>
      <c r="J88" s="1209" t="s">
        <v>3012</v>
      </c>
    </row>
    <row r="89" spans="1:10" s="1267" customFormat="1" ht="26.4">
      <c r="A89" s="1244">
        <v>210</v>
      </c>
      <c r="B89" s="1249">
        <v>500</v>
      </c>
      <c r="C89" s="1252">
        <v>407</v>
      </c>
      <c r="D89" s="1252"/>
      <c r="E89" s="1252"/>
      <c r="F89" s="1253"/>
      <c r="G89" s="1213" t="s">
        <v>3645</v>
      </c>
      <c r="H89" s="1248"/>
      <c r="I89" s="1248"/>
      <c r="J89" s="1209" t="s">
        <v>3014</v>
      </c>
    </row>
    <row r="90" spans="1:10" s="1267" customFormat="1" ht="26.4">
      <c r="A90" s="1244">
        <v>210</v>
      </c>
      <c r="B90" s="1249">
        <v>500</v>
      </c>
      <c r="C90" s="1252">
        <v>408</v>
      </c>
      <c r="D90" s="1252"/>
      <c r="E90" s="1252"/>
      <c r="F90" s="1253"/>
      <c r="G90" s="1213" t="s">
        <v>3646</v>
      </c>
      <c r="H90" s="1248">
        <v>2358989</v>
      </c>
      <c r="I90" s="1248">
        <v>2304206</v>
      </c>
      <c r="J90" s="1209" t="s">
        <v>3016</v>
      </c>
    </row>
    <row r="91" spans="1:10" s="1267" customFormat="1" ht="26.4">
      <c r="A91" s="1244">
        <v>210</v>
      </c>
      <c r="B91" s="1249">
        <v>500</v>
      </c>
      <c r="C91" s="1252">
        <v>415</v>
      </c>
      <c r="D91" s="1252"/>
      <c r="E91" s="1252"/>
      <c r="F91" s="1253"/>
      <c r="G91" s="1213" t="s">
        <v>3647</v>
      </c>
      <c r="H91" s="1248"/>
      <c r="I91" s="1248"/>
      <c r="J91" s="1209" t="s">
        <v>3018</v>
      </c>
    </row>
    <row r="92" spans="1:10" s="1267" customFormat="1">
      <c r="A92" s="1244">
        <v>210</v>
      </c>
      <c r="B92" s="1249">
        <v>500</v>
      </c>
      <c r="C92" s="1252">
        <v>409</v>
      </c>
      <c r="D92" s="1252"/>
      <c r="E92" s="1252"/>
      <c r="F92" s="1253"/>
      <c r="G92" s="1213" t="s">
        <v>3648</v>
      </c>
      <c r="H92" s="1248"/>
      <c r="I92" s="1248"/>
      <c r="J92" s="1209" t="s">
        <v>3020</v>
      </c>
    </row>
    <row r="93" spans="1:10" s="1267" customFormat="1" ht="26.4">
      <c r="A93" s="1244">
        <v>210</v>
      </c>
      <c r="B93" s="1249">
        <v>500</v>
      </c>
      <c r="C93" s="1252">
        <v>416</v>
      </c>
      <c r="D93" s="1252"/>
      <c r="E93" s="1252"/>
      <c r="F93" s="1253"/>
      <c r="G93" s="1213" t="s">
        <v>3649</v>
      </c>
      <c r="H93" s="1248"/>
      <c r="I93" s="1248"/>
      <c r="J93" s="1209" t="s">
        <v>3022</v>
      </c>
    </row>
    <row r="94" spans="1:10" s="1267" customFormat="1" ht="26.4">
      <c r="A94" s="1244">
        <v>210</v>
      </c>
      <c r="B94" s="1249">
        <v>500</v>
      </c>
      <c r="C94" s="1252">
        <v>410</v>
      </c>
      <c r="D94" s="1252"/>
      <c r="E94" s="1252"/>
      <c r="F94" s="1253"/>
      <c r="G94" s="1213" t="s">
        <v>3650</v>
      </c>
      <c r="H94" s="1248"/>
      <c r="I94" s="1248"/>
      <c r="J94" s="1209" t="s">
        <v>3026</v>
      </c>
    </row>
    <row r="95" spans="1:10" s="1267" customFormat="1" ht="26.4">
      <c r="A95" s="1244">
        <v>210</v>
      </c>
      <c r="B95" s="1249">
        <v>500</v>
      </c>
      <c r="C95" s="1252">
        <v>411</v>
      </c>
      <c r="D95" s="1252"/>
      <c r="E95" s="1252"/>
      <c r="F95" s="1253"/>
      <c r="G95" s="1213" t="s">
        <v>3651</v>
      </c>
      <c r="H95" s="1248"/>
      <c r="I95" s="1248"/>
      <c r="J95" s="1209" t="s">
        <v>3028</v>
      </c>
    </row>
    <row r="96" spans="1:10" s="1267" customFormat="1" ht="26.4">
      <c r="A96" s="1244">
        <v>210</v>
      </c>
      <c r="B96" s="1249">
        <v>500</v>
      </c>
      <c r="C96" s="1252">
        <v>412</v>
      </c>
      <c r="D96" s="1252"/>
      <c r="E96" s="1252"/>
      <c r="F96" s="1253"/>
      <c r="G96" s="1213" t="s">
        <v>3652</v>
      </c>
      <c r="H96" s="1248"/>
      <c r="I96" s="1248"/>
      <c r="J96" s="1209" t="s">
        <v>3030</v>
      </c>
    </row>
    <row r="97" spans="1:10" s="1267" customFormat="1">
      <c r="A97" s="1244">
        <v>210</v>
      </c>
      <c r="B97" s="1249">
        <v>500</v>
      </c>
      <c r="C97" s="1252">
        <v>413</v>
      </c>
      <c r="D97" s="1252"/>
      <c r="E97" s="1252"/>
      <c r="F97" s="1253"/>
      <c r="G97" s="1213" t="s">
        <v>3653</v>
      </c>
      <c r="H97" s="1248"/>
      <c r="I97" s="1248"/>
      <c r="J97" s="1209" t="s">
        <v>3034</v>
      </c>
    </row>
    <row r="98" spans="1:10" s="1267" customFormat="1" ht="26.4">
      <c r="A98" s="1244">
        <v>210</v>
      </c>
      <c r="B98" s="1249">
        <v>500</v>
      </c>
      <c r="C98" s="1252">
        <v>414</v>
      </c>
      <c r="D98" s="1252"/>
      <c r="E98" s="1252"/>
      <c r="F98" s="1253"/>
      <c r="G98" s="1213" t="s">
        <v>3654</v>
      </c>
      <c r="H98" s="1248"/>
      <c r="I98" s="1248"/>
      <c r="J98" s="1209" t="s">
        <v>3036</v>
      </c>
    </row>
    <row r="99" spans="1:10" s="1267" customFormat="1">
      <c r="A99" s="1244">
        <v>210</v>
      </c>
      <c r="B99" s="1249">
        <v>500</v>
      </c>
      <c r="C99" s="1252">
        <v>500</v>
      </c>
      <c r="D99" s="1252"/>
      <c r="E99" s="1252"/>
      <c r="F99" s="1253"/>
      <c r="G99" s="1213" t="s">
        <v>3655</v>
      </c>
      <c r="H99" s="1248"/>
      <c r="I99" s="1248"/>
      <c r="J99" s="1209" t="s">
        <v>3042</v>
      </c>
    </row>
    <row r="100" spans="1:10" s="1267" customFormat="1" ht="26.4">
      <c r="A100" s="1244">
        <v>210</v>
      </c>
      <c r="B100" s="1249">
        <v>500</v>
      </c>
      <c r="C100" s="1252">
        <v>600</v>
      </c>
      <c r="D100" s="1252"/>
      <c r="E100" s="1252"/>
      <c r="F100" s="1253"/>
      <c r="G100" s="1213" t="s">
        <v>3656</v>
      </c>
      <c r="H100" s="1248"/>
      <c r="I100" s="1248"/>
      <c r="J100" s="1209" t="s">
        <v>3048</v>
      </c>
    </row>
    <row r="101" spans="1:10" s="1160" customFormat="1" ht="26.4">
      <c r="A101" s="1244">
        <v>210</v>
      </c>
      <c r="B101" s="1249">
        <v>500</v>
      </c>
      <c r="C101" s="1252">
        <v>601</v>
      </c>
      <c r="D101" s="1252"/>
      <c r="E101" s="1252"/>
      <c r="F101" s="1253"/>
      <c r="G101" s="1213" t="s">
        <v>3657</v>
      </c>
      <c r="H101" s="1248"/>
      <c r="I101" s="1248"/>
      <c r="J101" s="1209" t="s">
        <v>3050</v>
      </c>
    </row>
    <row r="102" spans="1:10" s="1160" customFormat="1" ht="26.4">
      <c r="A102" s="1244">
        <v>210</v>
      </c>
      <c r="B102" s="1249">
        <v>500</v>
      </c>
      <c r="C102" s="1252">
        <v>602</v>
      </c>
      <c r="D102" s="1252"/>
      <c r="E102" s="1252"/>
      <c r="F102" s="1253"/>
      <c r="G102" s="1213" t="s">
        <v>3658</v>
      </c>
      <c r="H102" s="1248"/>
      <c r="I102" s="1248"/>
      <c r="J102" s="1209" t="s">
        <v>3052</v>
      </c>
    </row>
    <row r="103" spans="1:10" s="1160" customFormat="1" ht="26.4">
      <c r="A103" s="1244">
        <v>210</v>
      </c>
      <c r="B103" s="1249">
        <v>500</v>
      </c>
      <c r="C103" s="1252">
        <v>603</v>
      </c>
      <c r="D103" s="1252"/>
      <c r="E103" s="1252"/>
      <c r="F103" s="1253"/>
      <c r="G103" s="1213" t="s">
        <v>3659</v>
      </c>
      <c r="H103" s="1248"/>
      <c r="I103" s="1248"/>
      <c r="J103" s="1209" t="s">
        <v>3054</v>
      </c>
    </row>
    <row r="104" spans="1:10" s="1160" customFormat="1">
      <c r="A104" s="1244">
        <v>210</v>
      </c>
      <c r="B104" s="1249">
        <v>500</v>
      </c>
      <c r="C104" s="1252">
        <v>604</v>
      </c>
      <c r="D104" s="1252"/>
      <c r="E104" s="1252"/>
      <c r="F104" s="1253"/>
      <c r="G104" s="1213" t="s">
        <v>3660</v>
      </c>
      <c r="H104" s="1248">
        <v>94177</v>
      </c>
      <c r="I104" s="1248">
        <v>94177</v>
      </c>
      <c r="J104" s="1209" t="s">
        <v>3058</v>
      </c>
    </row>
    <row r="105" spans="1:10" s="1160" customFormat="1">
      <c r="A105" s="1244">
        <v>210</v>
      </c>
      <c r="B105" s="1249">
        <v>500</v>
      </c>
      <c r="C105" s="1252">
        <v>700</v>
      </c>
      <c r="D105" s="1252"/>
      <c r="E105" s="1252"/>
      <c r="F105" s="1253"/>
      <c r="G105" s="1213" t="s">
        <v>3661</v>
      </c>
      <c r="H105" s="1248"/>
      <c r="I105" s="1248"/>
      <c r="J105" s="1209" t="s">
        <v>3064</v>
      </c>
    </row>
    <row r="106" spans="1:10" s="1160" customFormat="1">
      <c r="A106" s="1244">
        <v>210</v>
      </c>
      <c r="B106" s="1249">
        <v>500</v>
      </c>
      <c r="C106" s="1252">
        <v>701</v>
      </c>
      <c r="D106" s="1252"/>
      <c r="E106" s="1252"/>
      <c r="F106" s="1253"/>
      <c r="G106" s="1213" t="s">
        <v>3662</v>
      </c>
      <c r="H106" s="1248"/>
      <c r="I106" s="1248"/>
      <c r="J106" s="1209" t="s">
        <v>3066</v>
      </c>
    </row>
    <row r="107" spans="1:10" s="1160" customFormat="1">
      <c r="A107" s="1244">
        <v>210</v>
      </c>
      <c r="B107" s="1249">
        <v>500</v>
      </c>
      <c r="C107" s="1252">
        <v>702</v>
      </c>
      <c r="D107" s="1252"/>
      <c r="E107" s="1252"/>
      <c r="F107" s="1253"/>
      <c r="G107" s="1213" t="s">
        <v>3663</v>
      </c>
      <c r="H107" s="1248"/>
      <c r="I107" s="1248"/>
      <c r="J107" s="1209" t="s">
        <v>3068</v>
      </c>
    </row>
    <row r="108" spans="1:10" s="1160" customFormat="1">
      <c r="A108" s="1244">
        <v>210</v>
      </c>
      <c r="B108" s="1249">
        <v>500</v>
      </c>
      <c r="C108" s="1252">
        <v>703</v>
      </c>
      <c r="D108" s="1252"/>
      <c r="E108" s="1252"/>
      <c r="F108" s="1253"/>
      <c r="G108" s="1213" t="s">
        <v>3664</v>
      </c>
      <c r="H108" s="1248"/>
      <c r="I108" s="1248"/>
      <c r="J108" s="1209" t="s">
        <v>3070</v>
      </c>
    </row>
    <row r="109" spans="1:10" s="1160" customFormat="1">
      <c r="A109" s="1244">
        <v>210</v>
      </c>
      <c r="B109" s="1249">
        <v>500</v>
      </c>
      <c r="C109" s="1252">
        <v>900</v>
      </c>
      <c r="D109" s="1252"/>
      <c r="E109" s="1252"/>
      <c r="F109" s="1253"/>
      <c r="G109" s="1213" t="s">
        <v>3665</v>
      </c>
      <c r="H109" s="1248">
        <v>177259</v>
      </c>
      <c r="I109" s="1248">
        <v>177259</v>
      </c>
      <c r="J109" s="1209" t="s">
        <v>3074</v>
      </c>
    </row>
    <row r="110" spans="1:10" s="1160" customFormat="1">
      <c r="A110" s="1244">
        <v>210</v>
      </c>
      <c r="B110" s="1249">
        <v>500</v>
      </c>
      <c r="C110" s="1252">
        <v>901</v>
      </c>
      <c r="D110" s="1252"/>
      <c r="E110" s="1252"/>
      <c r="F110" s="1253"/>
      <c r="G110" s="1213" t="s">
        <v>3666</v>
      </c>
      <c r="H110" s="1248"/>
      <c r="I110" s="1248"/>
      <c r="J110" s="1209" t="s">
        <v>3076</v>
      </c>
    </row>
    <row r="111" spans="1:10" s="1160" customFormat="1">
      <c r="A111" s="1244">
        <v>210</v>
      </c>
      <c r="B111" s="1249">
        <v>500</v>
      </c>
      <c r="C111" s="1252">
        <v>902</v>
      </c>
      <c r="D111" s="1252"/>
      <c r="E111" s="1252"/>
      <c r="F111" s="1253"/>
      <c r="G111" s="1213" t="s">
        <v>3667</v>
      </c>
      <c r="H111" s="1248"/>
      <c r="I111" s="1248"/>
      <c r="J111" s="1209" t="s">
        <v>3078</v>
      </c>
    </row>
    <row r="112" spans="1:10" s="1160" customFormat="1">
      <c r="A112" s="1244">
        <v>210</v>
      </c>
      <c r="B112" s="1249">
        <v>500</v>
      </c>
      <c r="C112" s="1252">
        <v>903</v>
      </c>
      <c r="D112" s="1252"/>
      <c r="E112" s="1252"/>
      <c r="F112" s="1253"/>
      <c r="G112" s="1213" t="s">
        <v>3668</v>
      </c>
      <c r="H112" s="1248"/>
      <c r="I112" s="1248"/>
      <c r="J112" s="1209" t="s">
        <v>3080</v>
      </c>
    </row>
    <row r="113" spans="1:10" s="1160" customFormat="1">
      <c r="A113" s="1244">
        <v>210</v>
      </c>
      <c r="B113" s="1249">
        <v>500</v>
      </c>
      <c r="C113" s="1252">
        <v>990</v>
      </c>
      <c r="D113" s="1252"/>
      <c r="E113" s="1252"/>
      <c r="F113" s="1253"/>
      <c r="G113" s="1213" t="s">
        <v>3669</v>
      </c>
      <c r="H113" s="1248"/>
      <c r="I113" s="1248"/>
      <c r="J113" s="1209" t="s">
        <v>3082</v>
      </c>
    </row>
    <row r="114" spans="1:10" s="1160" customFormat="1" ht="26.4">
      <c r="A114" s="1244">
        <v>210</v>
      </c>
      <c r="B114" s="1249">
        <v>500</v>
      </c>
      <c r="C114" s="1252">
        <v>991</v>
      </c>
      <c r="D114" s="1245"/>
      <c r="E114" s="1245"/>
      <c r="F114" s="1268"/>
      <c r="G114" s="1218" t="s">
        <v>3670</v>
      </c>
      <c r="H114" s="1248"/>
      <c r="I114" s="1248"/>
      <c r="J114" s="1209" t="s">
        <v>3084</v>
      </c>
    </row>
    <row r="115" spans="1:10" s="1160" customFormat="1">
      <c r="A115" s="1269">
        <v>220</v>
      </c>
      <c r="B115" s="1270">
        <v>0</v>
      </c>
      <c r="C115" s="1270">
        <v>0</v>
      </c>
      <c r="D115" s="1270">
        <v>0</v>
      </c>
      <c r="E115" s="1270">
        <v>0</v>
      </c>
      <c r="F115" s="1271">
        <v>0</v>
      </c>
      <c r="G115" s="1272" t="s">
        <v>2723</v>
      </c>
      <c r="H115" s="1263"/>
      <c r="I115" s="1263"/>
      <c r="J115" s="1197"/>
    </row>
    <row r="116" spans="1:10" s="1160" customFormat="1">
      <c r="A116" s="1244">
        <v>220</v>
      </c>
      <c r="B116" s="1252">
        <v>100</v>
      </c>
      <c r="C116" s="1252"/>
      <c r="D116" s="1252"/>
      <c r="E116" s="1252"/>
      <c r="F116" s="1253"/>
      <c r="G116" s="1213" t="s">
        <v>3671</v>
      </c>
      <c r="H116" s="1206"/>
      <c r="I116" s="1206"/>
      <c r="J116" s="1173" t="s">
        <v>3188</v>
      </c>
    </row>
    <row r="117" spans="1:10" s="1167" customFormat="1">
      <c r="A117" s="1244">
        <v>220</v>
      </c>
      <c r="B117" s="1249">
        <v>200</v>
      </c>
      <c r="C117" s="1249"/>
      <c r="D117" s="1249"/>
      <c r="E117" s="1249"/>
      <c r="F117" s="1250"/>
      <c r="G117" s="1251" t="s">
        <v>3672</v>
      </c>
      <c r="H117" s="1207"/>
      <c r="I117" s="1207"/>
      <c r="J117" s="1173"/>
    </row>
    <row r="118" spans="1:10" s="1160" customFormat="1">
      <c r="A118" s="1244">
        <v>220</v>
      </c>
      <c r="B118" s="1249">
        <v>200</v>
      </c>
      <c r="C118" s="1252">
        <v>100</v>
      </c>
      <c r="D118" s="1252"/>
      <c r="E118" s="1252"/>
      <c r="F118" s="1253"/>
      <c r="G118" s="1213" t="s">
        <v>3673</v>
      </c>
      <c r="H118" s="1206">
        <v>3040490</v>
      </c>
      <c r="I118" s="1206">
        <v>3102182</v>
      </c>
      <c r="J118" s="1173" t="s">
        <v>3192</v>
      </c>
    </row>
    <row r="119" spans="1:10" s="1160" customFormat="1">
      <c r="A119" s="1244">
        <v>220</v>
      </c>
      <c r="B119" s="1249">
        <v>200</v>
      </c>
      <c r="C119" s="1252">
        <v>200</v>
      </c>
      <c r="D119" s="1252"/>
      <c r="E119" s="1252"/>
      <c r="F119" s="1253"/>
      <c r="G119" s="1213" t="s">
        <v>3674</v>
      </c>
      <c r="H119" s="1206">
        <v>731266</v>
      </c>
      <c r="I119" s="1206">
        <v>744085</v>
      </c>
      <c r="J119" s="1173" t="s">
        <v>3194</v>
      </c>
    </row>
    <row r="120" spans="1:10" s="1160" customFormat="1">
      <c r="A120" s="1244">
        <v>220</v>
      </c>
      <c r="B120" s="1249">
        <v>200</v>
      </c>
      <c r="C120" s="1252">
        <v>300</v>
      </c>
      <c r="D120" s="1252"/>
      <c r="E120" s="1252"/>
      <c r="F120" s="1253"/>
      <c r="G120" s="1213" t="s">
        <v>3675</v>
      </c>
      <c r="H120" s="1206"/>
      <c r="I120" s="1206"/>
      <c r="J120" s="1173" t="s">
        <v>3196</v>
      </c>
    </row>
    <row r="121" spans="1:10" s="1160" customFormat="1">
      <c r="A121" s="1244">
        <v>220</v>
      </c>
      <c r="B121" s="1249">
        <v>200</v>
      </c>
      <c r="C121" s="1252">
        <v>400</v>
      </c>
      <c r="D121" s="1252"/>
      <c r="E121" s="1252"/>
      <c r="F121" s="1253"/>
      <c r="G121" s="1213" t="s">
        <v>3676</v>
      </c>
      <c r="H121" s="1206"/>
      <c r="I121" s="1206"/>
      <c r="J121" s="1173" t="s">
        <v>3198</v>
      </c>
    </row>
    <row r="122" spans="1:10" s="1160" customFormat="1">
      <c r="A122" s="1244">
        <v>220</v>
      </c>
      <c r="B122" s="1249">
        <v>200</v>
      </c>
      <c r="C122" s="1252">
        <v>500</v>
      </c>
      <c r="D122" s="1252"/>
      <c r="E122" s="1252"/>
      <c r="F122" s="1253"/>
      <c r="G122" s="1213" t="s">
        <v>3677</v>
      </c>
      <c r="H122" s="1206"/>
      <c r="I122" s="1206"/>
      <c r="J122" s="1173" t="s">
        <v>3200</v>
      </c>
    </row>
    <row r="123" spans="1:10" s="1160" customFormat="1">
      <c r="A123" s="1244">
        <v>220</v>
      </c>
      <c r="B123" s="1249">
        <v>200</v>
      </c>
      <c r="C123" s="1252">
        <v>600</v>
      </c>
      <c r="D123" s="1252"/>
      <c r="E123" s="1252"/>
      <c r="F123" s="1253"/>
      <c r="G123" s="1213" t="s">
        <v>3678</v>
      </c>
      <c r="H123" s="1206"/>
      <c r="I123" s="1206"/>
      <c r="J123" s="1173" t="s">
        <v>3202</v>
      </c>
    </row>
    <row r="124" spans="1:10" s="1160" customFormat="1">
      <c r="A124" s="1244">
        <v>220</v>
      </c>
      <c r="B124" s="1249">
        <v>200</v>
      </c>
      <c r="C124" s="1249">
        <v>900</v>
      </c>
      <c r="D124" s="1249"/>
      <c r="E124" s="1249"/>
      <c r="F124" s="1250"/>
      <c r="G124" s="1251" t="s">
        <v>3679</v>
      </c>
      <c r="H124" s="1207"/>
      <c r="I124" s="1207"/>
      <c r="J124" s="1173" t="s">
        <v>3204</v>
      </c>
    </row>
    <row r="125" spans="1:10" s="1160" customFormat="1">
      <c r="A125" s="1244">
        <v>220</v>
      </c>
      <c r="B125" s="1249">
        <v>200</v>
      </c>
      <c r="C125" s="1249">
        <v>900</v>
      </c>
      <c r="D125" s="1252">
        <v>100</v>
      </c>
      <c r="E125" s="1256"/>
      <c r="F125" s="1257"/>
      <c r="G125" s="1254" t="s">
        <v>3680</v>
      </c>
      <c r="H125" s="1206"/>
      <c r="I125" s="1206"/>
      <c r="J125" s="1173"/>
    </row>
    <row r="126" spans="1:10" s="1160" customFormat="1">
      <c r="A126" s="1244">
        <v>220</v>
      </c>
      <c r="B126" s="1249">
        <v>200</v>
      </c>
      <c r="C126" s="1249">
        <v>900</v>
      </c>
      <c r="D126" s="1252">
        <v>200</v>
      </c>
      <c r="E126" s="1256"/>
      <c r="F126" s="1257"/>
      <c r="G126" s="1254" t="s">
        <v>3681</v>
      </c>
      <c r="H126" s="1206">
        <v>0</v>
      </c>
      <c r="I126" s="1206">
        <v>139124</v>
      </c>
      <c r="J126" s="1173"/>
    </row>
    <row r="127" spans="1:10" s="1160" customFormat="1">
      <c r="A127" s="1244">
        <v>220</v>
      </c>
      <c r="B127" s="1249">
        <v>200</v>
      </c>
      <c r="C127" s="1249">
        <v>900</v>
      </c>
      <c r="D127" s="1252">
        <v>900</v>
      </c>
      <c r="E127" s="1252"/>
      <c r="F127" s="1253"/>
      <c r="G127" s="1254" t="s">
        <v>3679</v>
      </c>
      <c r="H127" s="1206">
        <v>645701</v>
      </c>
      <c r="I127" s="1206">
        <f>636732+8969</f>
        <v>645701</v>
      </c>
      <c r="J127" s="1173"/>
    </row>
    <row r="128" spans="1:10" s="1160" customFormat="1">
      <c r="A128" s="1244">
        <v>220</v>
      </c>
      <c r="B128" s="1249">
        <v>300</v>
      </c>
      <c r="C128" s="1249"/>
      <c r="D128" s="1273"/>
      <c r="E128" s="1273"/>
      <c r="F128" s="1274"/>
      <c r="G128" s="1251" t="s">
        <v>3682</v>
      </c>
      <c r="H128" s="1207"/>
      <c r="I128" s="1207"/>
      <c r="J128" s="1173"/>
    </row>
    <row r="129" spans="1:10" s="1160" customFormat="1">
      <c r="A129" s="1244">
        <v>220</v>
      </c>
      <c r="B129" s="1249">
        <v>300</v>
      </c>
      <c r="C129" s="1252">
        <v>100</v>
      </c>
      <c r="D129" s="1256"/>
      <c r="E129" s="1256"/>
      <c r="F129" s="1257"/>
      <c r="G129" s="1213" t="s">
        <v>3683</v>
      </c>
      <c r="H129" s="1206"/>
      <c r="I129" s="1206"/>
      <c r="J129" s="1173" t="s">
        <v>3208</v>
      </c>
    </row>
    <row r="130" spans="1:10" s="1160" customFormat="1">
      <c r="A130" s="1244">
        <v>220</v>
      </c>
      <c r="B130" s="1249">
        <v>300</v>
      </c>
      <c r="C130" s="1252">
        <v>200</v>
      </c>
      <c r="D130" s="1256"/>
      <c r="E130" s="1256"/>
      <c r="F130" s="1257"/>
      <c r="G130" s="1213" t="s">
        <v>3684</v>
      </c>
      <c r="H130" s="1206"/>
      <c r="I130" s="1206"/>
      <c r="J130" s="1173" t="s">
        <v>3210</v>
      </c>
    </row>
    <row r="131" spans="1:10" s="1160" customFormat="1">
      <c r="A131" s="1244">
        <v>220</v>
      </c>
      <c r="B131" s="1249">
        <v>300</v>
      </c>
      <c r="C131" s="1245">
        <v>300</v>
      </c>
      <c r="D131" s="1256"/>
      <c r="E131" s="1256"/>
      <c r="F131" s="1257"/>
      <c r="G131" s="1213" t="s">
        <v>3685</v>
      </c>
      <c r="H131" s="1206"/>
      <c r="I131" s="1206"/>
      <c r="J131" s="1173" t="s">
        <v>3212</v>
      </c>
    </row>
    <row r="132" spans="1:10" s="1160" customFormat="1">
      <c r="A132" s="1244">
        <v>220</v>
      </c>
      <c r="B132" s="1249">
        <v>300</v>
      </c>
      <c r="C132" s="1252">
        <v>400</v>
      </c>
      <c r="D132" s="1256"/>
      <c r="E132" s="1256"/>
      <c r="F132" s="1257"/>
      <c r="G132" s="1213" t="s">
        <v>3686</v>
      </c>
      <c r="H132" s="1206"/>
      <c r="I132" s="1206"/>
      <c r="J132" s="1173" t="s">
        <v>3214</v>
      </c>
    </row>
    <row r="133" spans="1:10" s="1160" customFormat="1">
      <c r="A133" s="1244">
        <v>220</v>
      </c>
      <c r="B133" s="1249">
        <v>300</v>
      </c>
      <c r="C133" s="1252">
        <v>500</v>
      </c>
      <c r="D133" s="1256"/>
      <c r="E133" s="1256"/>
      <c r="F133" s="1257"/>
      <c r="G133" s="1213" t="s">
        <v>3687</v>
      </c>
      <c r="H133" s="1206"/>
      <c r="I133" s="1206"/>
      <c r="J133" s="1173" t="s">
        <v>3216</v>
      </c>
    </row>
    <row r="134" spans="1:10" s="1160" customFormat="1">
      <c r="A134" s="1244">
        <v>220</v>
      </c>
      <c r="B134" s="1249">
        <v>300</v>
      </c>
      <c r="C134" s="1252">
        <v>600</v>
      </c>
      <c r="D134" s="1256"/>
      <c r="E134" s="1256"/>
      <c r="F134" s="1257"/>
      <c r="G134" s="1213" t="s">
        <v>3688</v>
      </c>
      <c r="H134" s="1206"/>
      <c r="I134" s="1206"/>
      <c r="J134" s="1173" t="s">
        <v>3218</v>
      </c>
    </row>
    <row r="135" spans="1:10" s="1160" customFormat="1">
      <c r="A135" s="1244">
        <v>220</v>
      </c>
      <c r="B135" s="1249">
        <v>300</v>
      </c>
      <c r="C135" s="1245">
        <v>700</v>
      </c>
      <c r="D135" s="1256"/>
      <c r="E135" s="1256"/>
      <c r="F135" s="1257"/>
      <c r="G135" s="1213" t="s">
        <v>3689</v>
      </c>
      <c r="H135" s="1206"/>
      <c r="I135" s="1206"/>
      <c r="J135" s="1173" t="s">
        <v>3220</v>
      </c>
    </row>
    <row r="136" spans="1:10" s="1160" customFormat="1" ht="26.4">
      <c r="A136" s="1244">
        <v>220</v>
      </c>
      <c r="B136" s="1249">
        <v>300</v>
      </c>
      <c r="C136" s="1245">
        <v>800</v>
      </c>
      <c r="D136" s="1256"/>
      <c r="E136" s="1256"/>
      <c r="F136" s="1257"/>
      <c r="G136" s="1213" t="s">
        <v>3690</v>
      </c>
      <c r="H136" s="1206"/>
      <c r="I136" s="1206"/>
      <c r="J136" s="1173" t="s">
        <v>3222</v>
      </c>
    </row>
    <row r="137" spans="1:10" s="1160" customFormat="1">
      <c r="A137" s="1244">
        <v>220</v>
      </c>
      <c r="B137" s="1249">
        <v>400</v>
      </c>
      <c r="C137" s="1249"/>
      <c r="D137" s="1273"/>
      <c r="E137" s="1273"/>
      <c r="F137" s="1274"/>
      <c r="G137" s="1251" t="s">
        <v>3691</v>
      </c>
      <c r="H137" s="1207"/>
      <c r="I137" s="1207"/>
      <c r="J137" s="1173" t="s">
        <v>3224</v>
      </c>
    </row>
    <row r="138" spans="1:10" s="1160" customFormat="1" ht="26.4">
      <c r="A138" s="1244">
        <v>220</v>
      </c>
      <c r="B138" s="1249">
        <v>400</v>
      </c>
      <c r="C138" s="1252">
        <v>50</v>
      </c>
      <c r="D138" s="1273"/>
      <c r="E138" s="1273"/>
      <c r="F138" s="1274"/>
      <c r="G138" s="1213" t="s">
        <v>3692</v>
      </c>
      <c r="H138" s="1206">
        <v>606848</v>
      </c>
      <c r="I138" s="1206">
        <v>0</v>
      </c>
      <c r="J138" s="1173" t="s">
        <v>3226</v>
      </c>
    </row>
    <row r="139" spans="1:10" s="1160" customFormat="1">
      <c r="A139" s="1244">
        <v>220</v>
      </c>
      <c r="B139" s="1249">
        <v>400</v>
      </c>
      <c r="C139" s="1252">
        <v>100</v>
      </c>
      <c r="D139" s="1256"/>
      <c r="E139" s="1256"/>
      <c r="F139" s="1257"/>
      <c r="G139" s="1213" t="s">
        <v>3693</v>
      </c>
      <c r="H139" s="1206">
        <v>27224</v>
      </c>
      <c r="I139" s="1206">
        <v>27224</v>
      </c>
      <c r="J139" s="1173" t="s">
        <v>3228</v>
      </c>
    </row>
    <row r="140" spans="1:10" s="1160" customFormat="1">
      <c r="A140" s="1244">
        <v>220</v>
      </c>
      <c r="B140" s="1249">
        <v>400</v>
      </c>
      <c r="C140" s="1252">
        <v>200</v>
      </c>
      <c r="D140" s="1256"/>
      <c r="E140" s="1256"/>
      <c r="F140" s="1257"/>
      <c r="G140" s="1213" t="s">
        <v>3694</v>
      </c>
      <c r="H140" s="1206">
        <v>210590</v>
      </c>
      <c r="I140" s="1206">
        <v>131600</v>
      </c>
      <c r="J140" s="1173" t="s">
        <v>3230</v>
      </c>
    </row>
    <row r="141" spans="1:10" s="1160" customFormat="1">
      <c r="A141" s="1244">
        <v>220</v>
      </c>
      <c r="B141" s="1249">
        <v>400</v>
      </c>
      <c r="C141" s="1252">
        <v>300</v>
      </c>
      <c r="D141" s="1256"/>
      <c r="E141" s="1256"/>
      <c r="F141" s="1257"/>
      <c r="G141" s="1213" t="s">
        <v>3695</v>
      </c>
      <c r="H141" s="1206">
        <v>12693187</v>
      </c>
      <c r="I141" s="1206">
        <v>10459140</v>
      </c>
      <c r="J141" s="1173" t="s">
        <v>3232</v>
      </c>
    </row>
    <row r="142" spans="1:10" s="1160" customFormat="1">
      <c r="A142" s="1244">
        <v>220</v>
      </c>
      <c r="B142" s="1249">
        <v>400</v>
      </c>
      <c r="C142" s="1249">
        <v>400</v>
      </c>
      <c r="D142" s="1273"/>
      <c r="E142" s="1273"/>
      <c r="F142" s="1274"/>
      <c r="G142" s="1251" t="s">
        <v>3696</v>
      </c>
      <c r="H142" s="1207"/>
      <c r="I142" s="1207"/>
      <c r="J142" s="1173" t="s">
        <v>3234</v>
      </c>
    </row>
    <row r="143" spans="1:10" s="1160" customFormat="1">
      <c r="A143" s="1244">
        <v>220</v>
      </c>
      <c r="B143" s="1249">
        <v>400</v>
      </c>
      <c r="C143" s="1249">
        <v>400</v>
      </c>
      <c r="D143" s="1252">
        <v>100</v>
      </c>
      <c r="E143" s="1256"/>
      <c r="F143" s="1257"/>
      <c r="G143" s="1254" t="s">
        <v>3697</v>
      </c>
      <c r="H143" s="1206">
        <v>45952</v>
      </c>
      <c r="I143" s="1206">
        <v>33233</v>
      </c>
      <c r="J143" s="1173"/>
    </row>
    <row r="144" spans="1:10" s="1160" customFormat="1">
      <c r="A144" s="1244">
        <v>220</v>
      </c>
      <c r="B144" s="1249">
        <v>400</v>
      </c>
      <c r="C144" s="1249">
        <v>400</v>
      </c>
      <c r="D144" s="1252">
        <v>900</v>
      </c>
      <c r="E144" s="1256"/>
      <c r="F144" s="1257"/>
      <c r="G144" s="1254" t="s">
        <v>3698</v>
      </c>
      <c r="H144" s="1206">
        <v>81797</v>
      </c>
      <c r="I144" s="1206">
        <v>73104</v>
      </c>
      <c r="J144" s="1173"/>
    </row>
    <row r="145" spans="1:10" s="1160" customFormat="1">
      <c r="A145" s="1244">
        <v>220</v>
      </c>
      <c r="B145" s="1249">
        <v>500</v>
      </c>
      <c r="C145" s="1249"/>
      <c r="D145" s="1273"/>
      <c r="E145" s="1273"/>
      <c r="F145" s="1274"/>
      <c r="G145" s="1251" t="s">
        <v>3699</v>
      </c>
      <c r="H145" s="1207"/>
      <c r="I145" s="1207"/>
      <c r="J145" s="1173"/>
    </row>
    <row r="146" spans="1:10" s="1160" customFormat="1">
      <c r="A146" s="1244">
        <v>220</v>
      </c>
      <c r="B146" s="1249">
        <v>500</v>
      </c>
      <c r="C146" s="1252">
        <v>100</v>
      </c>
      <c r="D146" s="1256"/>
      <c r="E146" s="1256"/>
      <c r="F146" s="1257"/>
      <c r="G146" s="1213" t="s">
        <v>3700</v>
      </c>
      <c r="H146" s="1206"/>
      <c r="I146" s="1206"/>
      <c r="J146" s="1173" t="s">
        <v>3238</v>
      </c>
    </row>
    <row r="147" spans="1:10" s="1160" customFormat="1">
      <c r="A147" s="1244">
        <v>220</v>
      </c>
      <c r="B147" s="1249">
        <v>500</v>
      </c>
      <c r="C147" s="1249">
        <v>200</v>
      </c>
      <c r="D147" s="1273"/>
      <c r="E147" s="1273"/>
      <c r="F147" s="1274"/>
      <c r="G147" s="1251" t="s">
        <v>3701</v>
      </c>
      <c r="H147" s="1207"/>
      <c r="I147" s="1207"/>
      <c r="J147" s="1173"/>
    </row>
    <row r="148" spans="1:10" s="1160" customFormat="1">
      <c r="A148" s="1244">
        <v>220</v>
      </c>
      <c r="B148" s="1249">
        <v>500</v>
      </c>
      <c r="C148" s="1249">
        <v>200</v>
      </c>
      <c r="D148" s="1252">
        <v>100</v>
      </c>
      <c r="E148" s="1252"/>
      <c r="F148" s="1253"/>
      <c r="G148" s="1213" t="s">
        <v>3702</v>
      </c>
      <c r="H148" s="1206">
        <v>555020</v>
      </c>
      <c r="I148" s="1206">
        <v>240751</v>
      </c>
      <c r="J148" s="1173" t="s">
        <v>3242</v>
      </c>
    </row>
    <row r="149" spans="1:10" s="1160" customFormat="1">
      <c r="A149" s="1244">
        <v>220</v>
      </c>
      <c r="B149" s="1249">
        <v>500</v>
      </c>
      <c r="C149" s="1249">
        <v>200</v>
      </c>
      <c r="D149" s="1252">
        <v>200</v>
      </c>
      <c r="E149" s="1252"/>
      <c r="F149" s="1253"/>
      <c r="G149" s="1213" t="s">
        <v>3703</v>
      </c>
      <c r="H149" s="1206"/>
      <c r="I149" s="1206"/>
      <c r="J149" s="1173" t="s">
        <v>3244</v>
      </c>
    </row>
    <row r="150" spans="1:10" s="1160" customFormat="1">
      <c r="A150" s="1244">
        <v>220</v>
      </c>
      <c r="B150" s="1249">
        <v>500</v>
      </c>
      <c r="C150" s="1249">
        <v>200</v>
      </c>
      <c r="D150" s="1252">
        <v>300</v>
      </c>
      <c r="E150" s="1252"/>
      <c r="F150" s="1253"/>
      <c r="G150" s="1213" t="s">
        <v>3704</v>
      </c>
      <c r="H150" s="1206"/>
      <c r="I150" s="1206"/>
      <c r="J150" s="1173" t="s">
        <v>3246</v>
      </c>
    </row>
    <row r="151" spans="1:10" s="1160" customFormat="1">
      <c r="A151" s="1244">
        <v>220</v>
      </c>
      <c r="B151" s="1249">
        <v>500</v>
      </c>
      <c r="C151" s="1249">
        <v>900</v>
      </c>
      <c r="D151" s="1249"/>
      <c r="E151" s="1249"/>
      <c r="F151" s="1274"/>
      <c r="G151" s="1275" t="s">
        <v>3705</v>
      </c>
      <c r="H151" s="1207"/>
      <c r="I151" s="1207"/>
      <c r="J151" s="1173" t="s">
        <v>3248</v>
      </c>
    </row>
    <row r="152" spans="1:10" s="1160" customFormat="1">
      <c r="A152" s="1244">
        <v>220</v>
      </c>
      <c r="B152" s="1249">
        <v>500</v>
      </c>
      <c r="C152" s="1249">
        <v>900</v>
      </c>
      <c r="D152" s="1252">
        <v>100</v>
      </c>
      <c r="E152" s="1256"/>
      <c r="F152" s="1257"/>
      <c r="G152" s="1254" t="s">
        <v>3706</v>
      </c>
      <c r="H152" s="1248">
        <v>559203</v>
      </c>
      <c r="I152" s="1248">
        <v>559203</v>
      </c>
      <c r="J152" s="1209"/>
    </row>
    <row r="153" spans="1:10" s="1160" customFormat="1">
      <c r="A153" s="1244">
        <v>220</v>
      </c>
      <c r="B153" s="1249">
        <v>500</v>
      </c>
      <c r="C153" s="1249">
        <v>900</v>
      </c>
      <c r="D153" s="1252">
        <v>900</v>
      </c>
      <c r="E153" s="1252"/>
      <c r="F153" s="1253"/>
      <c r="G153" s="1254" t="s">
        <v>3705</v>
      </c>
      <c r="H153" s="1206"/>
      <c r="I153" s="1206"/>
      <c r="J153" s="1173"/>
    </row>
    <row r="154" spans="1:10" s="1160" customFormat="1">
      <c r="A154" s="1244">
        <v>220</v>
      </c>
      <c r="B154" s="1249">
        <v>500</v>
      </c>
      <c r="C154" s="1249">
        <v>950</v>
      </c>
      <c r="D154" s="1245"/>
      <c r="E154" s="1245"/>
      <c r="F154" s="1268"/>
      <c r="G154" s="1276" t="s">
        <v>3707</v>
      </c>
      <c r="H154" s="1206"/>
      <c r="I154" s="1206"/>
      <c r="J154" s="1173" t="s">
        <v>3250</v>
      </c>
    </row>
    <row r="155" spans="1:10" s="1160" customFormat="1">
      <c r="A155" s="1269">
        <v>230</v>
      </c>
      <c r="B155" s="1270">
        <v>0</v>
      </c>
      <c r="C155" s="1270">
        <v>0</v>
      </c>
      <c r="D155" s="1270">
        <v>0</v>
      </c>
      <c r="E155" s="1270">
        <v>0</v>
      </c>
      <c r="F155" s="1271">
        <v>0</v>
      </c>
      <c r="G155" s="1272" t="s">
        <v>2729</v>
      </c>
      <c r="H155" s="1263"/>
      <c r="I155" s="1263"/>
      <c r="J155" s="1197"/>
    </row>
    <row r="156" spans="1:10" s="1160" customFormat="1">
      <c r="A156" s="1277">
        <v>230</v>
      </c>
      <c r="B156" s="1252">
        <v>100</v>
      </c>
      <c r="C156" s="1252"/>
      <c r="D156" s="1252"/>
      <c r="E156" s="1252"/>
      <c r="F156" s="1253"/>
      <c r="G156" s="1213" t="s">
        <v>3708</v>
      </c>
      <c r="H156" s="1206"/>
      <c r="I156" s="1206"/>
      <c r="J156" s="1173" t="s">
        <v>3254</v>
      </c>
    </row>
    <row r="157" spans="1:10" s="1167" customFormat="1">
      <c r="A157" s="1277">
        <v>230</v>
      </c>
      <c r="B157" s="1252">
        <v>200</v>
      </c>
      <c r="C157" s="1252"/>
      <c r="D157" s="1252"/>
      <c r="E157" s="1252"/>
      <c r="F157" s="1253"/>
      <c r="G157" s="1213" t="s">
        <v>3709</v>
      </c>
      <c r="H157" s="1206"/>
      <c r="I157" s="1206"/>
      <c r="J157" s="1173" t="s">
        <v>3256</v>
      </c>
    </row>
    <row r="158" spans="1:10" s="1160" customFormat="1">
      <c r="A158" s="1278">
        <v>230</v>
      </c>
      <c r="B158" s="1252">
        <v>300</v>
      </c>
      <c r="C158" s="1252"/>
      <c r="D158" s="1245"/>
      <c r="E158" s="1245"/>
      <c r="F158" s="1268"/>
      <c r="G158" s="1279" t="s">
        <v>3710</v>
      </c>
      <c r="H158" s="1206"/>
      <c r="I158" s="1206"/>
      <c r="J158" s="1173" t="s">
        <v>3258</v>
      </c>
    </row>
    <row r="159" spans="1:10" s="1160" customFormat="1">
      <c r="A159" s="1269">
        <v>240</v>
      </c>
      <c r="B159" s="1270">
        <v>0</v>
      </c>
      <c r="C159" s="1270">
        <v>0</v>
      </c>
      <c r="D159" s="1270">
        <v>0</v>
      </c>
      <c r="E159" s="1270">
        <v>0</v>
      </c>
      <c r="F159" s="1271">
        <v>0</v>
      </c>
      <c r="G159" s="1272" t="s">
        <v>3711</v>
      </c>
      <c r="H159" s="1263"/>
      <c r="I159" s="1263"/>
      <c r="J159" s="1197"/>
    </row>
    <row r="160" spans="1:10" s="1160" customFormat="1">
      <c r="A160" s="1277">
        <v>240</v>
      </c>
      <c r="B160" s="1252">
        <v>50</v>
      </c>
      <c r="C160" s="1252"/>
      <c r="D160" s="1252"/>
      <c r="E160" s="1252"/>
      <c r="F160" s="1253"/>
      <c r="G160" s="1213" t="s">
        <v>3712</v>
      </c>
      <c r="H160" s="1206"/>
      <c r="I160" s="1206"/>
      <c r="J160" s="1173" t="s">
        <v>3262</v>
      </c>
    </row>
    <row r="161" spans="1:10" s="1167" customFormat="1">
      <c r="A161" s="1277">
        <v>240</v>
      </c>
      <c r="B161" s="1249">
        <v>100</v>
      </c>
      <c r="C161" s="1280"/>
      <c r="D161" s="1249"/>
      <c r="E161" s="1249"/>
      <c r="F161" s="1250"/>
      <c r="G161" s="1251" t="s">
        <v>3713</v>
      </c>
      <c r="H161" s="1207"/>
      <c r="I161" s="1207"/>
      <c r="J161" s="1173" t="s">
        <v>3264</v>
      </c>
    </row>
    <row r="162" spans="1:10" s="1160" customFormat="1">
      <c r="A162" s="1277">
        <v>240</v>
      </c>
      <c r="B162" s="1249">
        <v>100</v>
      </c>
      <c r="C162" s="1281">
        <v>100</v>
      </c>
      <c r="D162" s="1252"/>
      <c r="E162" s="1252"/>
      <c r="F162" s="1253"/>
      <c r="G162" s="1213" t="s">
        <v>3714</v>
      </c>
      <c r="H162" s="1206"/>
      <c r="I162" s="1206"/>
      <c r="J162" s="1173" t="s">
        <v>3266</v>
      </c>
    </row>
    <row r="163" spans="1:10" s="1160" customFormat="1">
      <c r="A163" s="1277">
        <v>240</v>
      </c>
      <c r="B163" s="1249">
        <v>100</v>
      </c>
      <c r="C163" s="1281">
        <v>200</v>
      </c>
      <c r="D163" s="1252"/>
      <c r="E163" s="1252"/>
      <c r="F163" s="1253"/>
      <c r="G163" s="1213" t="s">
        <v>3715</v>
      </c>
      <c r="H163" s="1206"/>
      <c r="I163" s="1206"/>
      <c r="J163" s="1173" t="s">
        <v>3268</v>
      </c>
    </row>
    <row r="164" spans="1:10" s="1160" customFormat="1">
      <c r="A164" s="1277">
        <v>240</v>
      </c>
      <c r="B164" s="1249">
        <v>100</v>
      </c>
      <c r="C164" s="1281">
        <v>300</v>
      </c>
      <c r="D164" s="1252"/>
      <c r="E164" s="1252"/>
      <c r="F164" s="1253"/>
      <c r="G164" s="1213" t="s">
        <v>3716</v>
      </c>
      <c r="H164" s="1206"/>
      <c r="I164" s="1206"/>
      <c r="J164" s="1173" t="s">
        <v>3270</v>
      </c>
    </row>
    <row r="165" spans="1:10" s="1160" customFormat="1">
      <c r="A165" s="1277">
        <v>240</v>
      </c>
      <c r="B165" s="1249">
        <v>100</v>
      </c>
      <c r="C165" s="1281">
        <v>400</v>
      </c>
      <c r="D165" s="1252"/>
      <c r="E165" s="1252"/>
      <c r="F165" s="1253"/>
      <c r="G165" s="1213" t="s">
        <v>3717</v>
      </c>
      <c r="H165" s="1206"/>
      <c r="I165" s="1206"/>
      <c r="J165" s="1173" t="s">
        <v>3272</v>
      </c>
    </row>
    <row r="166" spans="1:10" s="1160" customFormat="1">
      <c r="A166" s="1277">
        <v>240</v>
      </c>
      <c r="B166" s="1249">
        <v>100</v>
      </c>
      <c r="C166" s="1280">
        <v>500</v>
      </c>
      <c r="D166" s="1249"/>
      <c r="E166" s="1249"/>
      <c r="F166" s="1250"/>
      <c r="G166" s="1251" t="s">
        <v>3718</v>
      </c>
      <c r="H166" s="1207"/>
      <c r="I166" s="1207"/>
      <c r="J166" s="1173" t="s">
        <v>3274</v>
      </c>
    </row>
    <row r="167" spans="1:10" s="1160" customFormat="1">
      <c r="A167" s="1277">
        <v>240</v>
      </c>
      <c r="B167" s="1249">
        <v>100</v>
      </c>
      <c r="C167" s="1280">
        <v>500</v>
      </c>
      <c r="D167" s="1252">
        <v>100</v>
      </c>
      <c r="E167" s="1252"/>
      <c r="F167" s="1253"/>
      <c r="G167" s="1254" t="s">
        <v>3719</v>
      </c>
      <c r="H167" s="1206"/>
      <c r="I167" s="1206"/>
      <c r="J167" s="1173"/>
    </row>
    <row r="168" spans="1:10" s="1160" customFormat="1">
      <c r="A168" s="1277">
        <v>240</v>
      </c>
      <c r="B168" s="1249">
        <v>100</v>
      </c>
      <c r="C168" s="1280">
        <v>500</v>
      </c>
      <c r="D168" s="1252">
        <v>200</v>
      </c>
      <c r="E168" s="1252"/>
      <c r="F168" s="1253"/>
      <c r="G168" s="1254" t="s">
        <v>3718</v>
      </c>
      <c r="H168" s="1206"/>
      <c r="I168" s="1206"/>
      <c r="J168" s="1173"/>
    </row>
    <row r="169" spans="1:10" s="1160" customFormat="1">
      <c r="A169" s="1277">
        <v>240</v>
      </c>
      <c r="B169" s="1249">
        <v>100</v>
      </c>
      <c r="C169" s="1280">
        <v>500</v>
      </c>
      <c r="D169" s="1252">
        <v>800</v>
      </c>
      <c r="E169" s="1252"/>
      <c r="F169" s="1253"/>
      <c r="G169" s="1254" t="s">
        <v>3720</v>
      </c>
      <c r="H169" s="1206"/>
      <c r="I169" s="1206"/>
      <c r="J169" s="1173"/>
    </row>
    <row r="170" spans="1:10" s="1160" customFormat="1">
      <c r="A170" s="1277">
        <v>240</v>
      </c>
      <c r="B170" s="1249">
        <v>100</v>
      </c>
      <c r="C170" s="1280">
        <v>500</v>
      </c>
      <c r="D170" s="1252">
        <v>900</v>
      </c>
      <c r="E170" s="1252"/>
      <c r="F170" s="1253"/>
      <c r="G170" s="1254" t="s">
        <v>3721</v>
      </c>
      <c r="H170" s="1206"/>
      <c r="I170" s="1206"/>
      <c r="J170" s="1173"/>
    </row>
    <row r="171" spans="1:10" s="1160" customFormat="1">
      <c r="A171" s="1277">
        <v>240</v>
      </c>
      <c r="B171" s="1249">
        <v>150</v>
      </c>
      <c r="C171" s="1280"/>
      <c r="D171" s="1249"/>
      <c r="E171" s="1249"/>
      <c r="F171" s="1250"/>
      <c r="G171" s="1251" t="s">
        <v>3722</v>
      </c>
      <c r="H171" s="1207"/>
      <c r="I171" s="1207"/>
      <c r="J171" s="1173"/>
    </row>
    <row r="172" spans="1:10" s="1160" customFormat="1">
      <c r="A172" s="1277">
        <v>240</v>
      </c>
      <c r="B172" s="1249">
        <v>150</v>
      </c>
      <c r="C172" s="1281">
        <v>150</v>
      </c>
      <c r="D172" s="1252"/>
      <c r="E172" s="1252"/>
      <c r="F172" s="1253"/>
      <c r="G172" s="1213" t="s">
        <v>3723</v>
      </c>
      <c r="H172" s="1206">
        <v>418186</v>
      </c>
      <c r="I172" s="1206">
        <v>137866</v>
      </c>
      <c r="J172" s="1173" t="s">
        <v>3280</v>
      </c>
    </row>
    <row r="173" spans="1:10" s="1160" customFormat="1">
      <c r="A173" s="1277">
        <v>240</v>
      </c>
      <c r="B173" s="1249">
        <v>150</v>
      </c>
      <c r="C173" s="1281">
        <v>100</v>
      </c>
      <c r="D173" s="1252"/>
      <c r="E173" s="1252"/>
      <c r="F173" s="1253"/>
      <c r="G173" s="1213" t="s">
        <v>3724</v>
      </c>
      <c r="H173" s="1206"/>
      <c r="I173" s="1206"/>
      <c r="J173" s="1173" t="s">
        <v>3278</v>
      </c>
    </row>
    <row r="174" spans="1:10" s="1160" customFormat="1">
      <c r="A174" s="1277">
        <v>240</v>
      </c>
      <c r="B174" s="1249">
        <v>150</v>
      </c>
      <c r="C174" s="1281">
        <v>200</v>
      </c>
      <c r="D174" s="1252"/>
      <c r="E174" s="1252"/>
      <c r="F174" s="1253"/>
      <c r="G174" s="1213" t="s">
        <v>3725</v>
      </c>
      <c r="H174" s="1206"/>
      <c r="I174" s="1206"/>
      <c r="J174" s="1173" t="s">
        <v>3282</v>
      </c>
    </row>
    <row r="175" spans="1:10" s="1160" customFormat="1">
      <c r="A175" s="1277">
        <v>240</v>
      </c>
      <c r="B175" s="1249">
        <v>150</v>
      </c>
      <c r="C175" s="1281">
        <v>300</v>
      </c>
      <c r="D175" s="1252"/>
      <c r="E175" s="1252"/>
      <c r="F175" s="1253"/>
      <c r="G175" s="1213" t="s">
        <v>3726</v>
      </c>
      <c r="H175" s="1206">
        <v>407108</v>
      </c>
      <c r="I175" s="1206">
        <v>407108</v>
      </c>
      <c r="J175" s="1173" t="s">
        <v>3284</v>
      </c>
    </row>
    <row r="176" spans="1:10" s="1160" customFormat="1">
      <c r="A176" s="1277">
        <v>240</v>
      </c>
      <c r="B176" s="1249">
        <v>150</v>
      </c>
      <c r="C176" s="1281">
        <v>350</v>
      </c>
      <c r="D176" s="1252"/>
      <c r="E176" s="1252"/>
      <c r="F176" s="1253"/>
      <c r="G176" s="1213" t="s">
        <v>3727</v>
      </c>
      <c r="H176" s="1206"/>
      <c r="I176" s="1206"/>
      <c r="J176" s="1173" t="s">
        <v>3286</v>
      </c>
    </row>
    <row r="177" spans="1:10" s="1160" customFormat="1">
      <c r="A177" s="1277">
        <v>240</v>
      </c>
      <c r="B177" s="1249">
        <v>150</v>
      </c>
      <c r="C177" s="1281">
        <v>400</v>
      </c>
      <c r="D177" s="1252"/>
      <c r="E177" s="1252"/>
      <c r="F177" s="1253"/>
      <c r="G177" s="1213" t="s">
        <v>3728</v>
      </c>
      <c r="H177" s="1206"/>
      <c r="I177" s="1206"/>
      <c r="J177" s="1173" t="s">
        <v>3288</v>
      </c>
    </row>
    <row r="178" spans="1:10" s="1160" customFormat="1" ht="39.6">
      <c r="A178" s="1277">
        <v>240</v>
      </c>
      <c r="B178" s="1249">
        <v>150</v>
      </c>
      <c r="C178" s="1281">
        <v>410</v>
      </c>
      <c r="D178" s="1252"/>
      <c r="E178" s="1252"/>
      <c r="F178" s="1253"/>
      <c r="G178" s="1213" t="s">
        <v>3729</v>
      </c>
      <c r="H178" s="1206"/>
      <c r="I178" s="1206"/>
      <c r="J178" s="1173" t="s">
        <v>3290</v>
      </c>
    </row>
    <row r="179" spans="1:10" s="1160" customFormat="1">
      <c r="A179" s="1277">
        <v>240</v>
      </c>
      <c r="B179" s="1249">
        <v>150</v>
      </c>
      <c r="C179" s="1281">
        <v>420</v>
      </c>
      <c r="D179" s="1252"/>
      <c r="E179" s="1252"/>
      <c r="F179" s="1253"/>
      <c r="G179" s="1213" t="s">
        <v>3730</v>
      </c>
      <c r="H179" s="1206"/>
      <c r="I179" s="1206"/>
      <c r="J179" s="1173" t="s">
        <v>3292</v>
      </c>
    </row>
    <row r="180" spans="1:10" s="1160" customFormat="1">
      <c r="A180" s="1277">
        <v>240</v>
      </c>
      <c r="B180" s="1249">
        <v>150</v>
      </c>
      <c r="C180" s="1281">
        <v>430</v>
      </c>
      <c r="D180" s="1252"/>
      <c r="E180" s="1252"/>
      <c r="F180" s="1253"/>
      <c r="G180" s="1213" t="s">
        <v>3731</v>
      </c>
      <c r="H180" s="1206"/>
      <c r="I180" s="1206"/>
      <c r="J180" s="1173" t="s">
        <v>3294</v>
      </c>
    </row>
    <row r="181" spans="1:10" s="1160" customFormat="1">
      <c r="A181" s="1277">
        <v>240</v>
      </c>
      <c r="B181" s="1249">
        <v>150</v>
      </c>
      <c r="C181" s="1280">
        <v>500</v>
      </c>
      <c r="D181" s="1249"/>
      <c r="E181" s="1249"/>
      <c r="F181" s="1250"/>
      <c r="G181" s="1213" t="s">
        <v>3732</v>
      </c>
      <c r="H181" s="1207"/>
      <c r="I181" s="1207"/>
      <c r="J181" s="1173" t="s">
        <v>3296</v>
      </c>
    </row>
    <row r="182" spans="1:10" s="1160" customFormat="1">
      <c r="A182" s="1277">
        <v>240</v>
      </c>
      <c r="B182" s="1249">
        <v>150</v>
      </c>
      <c r="C182" s="1280">
        <v>500</v>
      </c>
      <c r="D182" s="1252">
        <v>100</v>
      </c>
      <c r="E182" s="1252"/>
      <c r="F182" s="1253"/>
      <c r="G182" s="1254" t="s">
        <v>3733</v>
      </c>
      <c r="H182" s="1206"/>
      <c r="I182" s="1206"/>
      <c r="J182" s="1173"/>
    </row>
    <row r="183" spans="1:10" s="1160" customFormat="1">
      <c r="A183" s="1277">
        <v>240</v>
      </c>
      <c r="B183" s="1249">
        <v>150</v>
      </c>
      <c r="C183" s="1280">
        <v>500</v>
      </c>
      <c r="D183" s="1252">
        <v>200</v>
      </c>
      <c r="E183" s="1252"/>
      <c r="F183" s="1253"/>
      <c r="G183" s="1254" t="s">
        <v>3734</v>
      </c>
      <c r="H183" s="1206"/>
      <c r="I183" s="1206"/>
      <c r="J183" s="1173"/>
    </row>
    <row r="184" spans="1:10" s="1160" customFormat="1">
      <c r="A184" s="1277">
        <v>240</v>
      </c>
      <c r="B184" s="1249">
        <v>150</v>
      </c>
      <c r="C184" s="1280">
        <v>500</v>
      </c>
      <c r="D184" s="1252">
        <v>300</v>
      </c>
      <c r="E184" s="1252"/>
      <c r="F184" s="1253"/>
      <c r="G184" s="1254" t="s">
        <v>3732</v>
      </c>
      <c r="H184" s="1206">
        <v>16851</v>
      </c>
      <c r="I184" s="1206">
        <v>16851</v>
      </c>
      <c r="J184" s="1173"/>
    </row>
    <row r="185" spans="1:10" s="1160" customFormat="1">
      <c r="A185" s="1277">
        <v>240</v>
      </c>
      <c r="B185" s="1249">
        <v>150</v>
      </c>
      <c r="C185" s="1280">
        <v>500</v>
      </c>
      <c r="D185" s="1252">
        <v>800</v>
      </c>
      <c r="E185" s="1252"/>
      <c r="F185" s="1253"/>
      <c r="G185" s="1254" t="s">
        <v>3720</v>
      </c>
      <c r="H185" s="1206">
        <v>0</v>
      </c>
      <c r="I185" s="1206">
        <v>27</v>
      </c>
      <c r="J185" s="1173"/>
    </row>
    <row r="186" spans="1:10" s="1160" customFormat="1">
      <c r="A186" s="1277">
        <v>240</v>
      </c>
      <c r="B186" s="1249">
        <v>150</v>
      </c>
      <c r="C186" s="1280">
        <v>500</v>
      </c>
      <c r="D186" s="1252">
        <v>900</v>
      </c>
      <c r="E186" s="1252"/>
      <c r="F186" s="1253"/>
      <c r="G186" s="1254" t="s">
        <v>3721</v>
      </c>
      <c r="H186" s="1206"/>
      <c r="I186" s="1206"/>
      <c r="J186" s="1173"/>
    </row>
    <row r="187" spans="1:10" s="1160" customFormat="1">
      <c r="A187" s="1277">
        <v>240</v>
      </c>
      <c r="B187" s="1249">
        <v>200</v>
      </c>
      <c r="C187" s="1249"/>
      <c r="D187" s="1249"/>
      <c r="E187" s="1249"/>
      <c r="F187" s="1250"/>
      <c r="G187" s="1251" t="s">
        <v>3735</v>
      </c>
      <c r="H187" s="1207"/>
      <c r="I187" s="1207"/>
      <c r="J187" s="1173" t="s">
        <v>3298</v>
      </c>
    </row>
    <row r="188" spans="1:10" s="1160" customFormat="1">
      <c r="A188" s="1277">
        <v>240</v>
      </c>
      <c r="B188" s="1249">
        <v>200</v>
      </c>
      <c r="C188" s="1252">
        <v>100</v>
      </c>
      <c r="D188" s="1252"/>
      <c r="E188" s="1252"/>
      <c r="F188" s="1253"/>
      <c r="G188" s="1254" t="s">
        <v>3736</v>
      </c>
      <c r="H188" s="1206"/>
      <c r="I188" s="1206"/>
      <c r="J188" s="1173"/>
    </row>
    <row r="189" spans="1:10" s="1160" customFormat="1">
      <c r="A189" s="1277">
        <v>240</v>
      </c>
      <c r="B189" s="1249">
        <v>200</v>
      </c>
      <c r="C189" s="1252">
        <v>200</v>
      </c>
      <c r="D189" s="1252"/>
      <c r="E189" s="1252"/>
      <c r="F189" s="1253"/>
      <c r="G189" s="1254" t="s">
        <v>3737</v>
      </c>
      <c r="H189" s="1206"/>
      <c r="I189" s="1206"/>
      <c r="J189" s="1173"/>
    </row>
    <row r="190" spans="1:10" s="1160" customFormat="1">
      <c r="A190" s="1277">
        <v>240</v>
      </c>
      <c r="B190" s="1249">
        <v>200</v>
      </c>
      <c r="C190" s="1252">
        <v>800</v>
      </c>
      <c r="D190" s="1252"/>
      <c r="E190" s="1252"/>
      <c r="F190" s="1253"/>
      <c r="G190" s="1254" t="s">
        <v>3720</v>
      </c>
      <c r="H190" s="1206"/>
      <c r="I190" s="1206">
        <v>1626</v>
      </c>
      <c r="J190" s="1173"/>
    </row>
    <row r="191" spans="1:10" s="1160" customFormat="1">
      <c r="A191" s="1277">
        <v>240</v>
      </c>
      <c r="B191" s="1249">
        <v>200</v>
      </c>
      <c r="C191" s="1252">
        <v>900</v>
      </c>
      <c r="D191" s="1252"/>
      <c r="E191" s="1252"/>
      <c r="F191" s="1253"/>
      <c r="G191" s="1254" t="s">
        <v>3721</v>
      </c>
      <c r="H191" s="1206"/>
      <c r="I191" s="1206"/>
      <c r="J191" s="1173"/>
    </row>
    <row r="192" spans="1:10" s="1160" customFormat="1">
      <c r="A192" s="1277">
        <v>240</v>
      </c>
      <c r="B192" s="1249">
        <v>250</v>
      </c>
      <c r="C192" s="1249"/>
      <c r="D192" s="1249"/>
      <c r="E192" s="1249"/>
      <c r="F192" s="1250"/>
      <c r="G192" s="1251" t="s">
        <v>3738</v>
      </c>
      <c r="H192" s="1207"/>
      <c r="I192" s="1207"/>
      <c r="J192" s="1173" t="s">
        <v>3300</v>
      </c>
    </row>
    <row r="193" spans="1:10" s="1160" customFormat="1">
      <c r="A193" s="1277">
        <v>240</v>
      </c>
      <c r="B193" s="1249">
        <v>250</v>
      </c>
      <c r="C193" s="1249">
        <v>100</v>
      </c>
      <c r="D193" s="1249"/>
      <c r="E193" s="1249"/>
      <c r="F193" s="1250"/>
      <c r="G193" s="1251" t="s">
        <v>3739</v>
      </c>
      <c r="H193" s="1207"/>
      <c r="I193" s="1207"/>
      <c r="J193" s="1173" t="s">
        <v>3302</v>
      </c>
    </row>
    <row r="194" spans="1:10" s="1160" customFormat="1">
      <c r="A194" s="1277">
        <v>240</v>
      </c>
      <c r="B194" s="1249">
        <v>250</v>
      </c>
      <c r="C194" s="1249">
        <v>100</v>
      </c>
      <c r="D194" s="1252">
        <v>100</v>
      </c>
      <c r="E194" s="1252"/>
      <c r="F194" s="1253"/>
      <c r="G194" s="1213" t="s">
        <v>3740</v>
      </c>
      <c r="H194" s="1206"/>
      <c r="I194" s="1206"/>
      <c r="J194" s="1173" t="s">
        <v>3304</v>
      </c>
    </row>
    <row r="195" spans="1:10" s="1160" customFormat="1" ht="26.4">
      <c r="A195" s="1277">
        <v>240</v>
      </c>
      <c r="B195" s="1249">
        <v>250</v>
      </c>
      <c r="C195" s="1249">
        <v>100</v>
      </c>
      <c r="D195" s="1252">
        <v>200</v>
      </c>
      <c r="E195" s="1252"/>
      <c r="F195" s="1253"/>
      <c r="G195" s="1213" t="s">
        <v>3741</v>
      </c>
      <c r="H195" s="1206"/>
      <c r="I195" s="1206"/>
      <c r="J195" s="1173" t="s">
        <v>3306</v>
      </c>
    </row>
    <row r="196" spans="1:10" s="1160" customFormat="1" ht="26.4">
      <c r="A196" s="1277">
        <v>240</v>
      </c>
      <c r="B196" s="1249">
        <v>250</v>
      </c>
      <c r="C196" s="1249">
        <v>100</v>
      </c>
      <c r="D196" s="1252">
        <v>300</v>
      </c>
      <c r="E196" s="1252"/>
      <c r="F196" s="1253"/>
      <c r="G196" s="1213" t="s">
        <v>3742</v>
      </c>
      <c r="H196" s="1206"/>
      <c r="I196" s="1206"/>
      <c r="J196" s="1173" t="s">
        <v>3308</v>
      </c>
    </row>
    <row r="197" spans="1:10" s="1160" customFormat="1" ht="26.4">
      <c r="A197" s="1277">
        <v>240</v>
      </c>
      <c r="B197" s="1249">
        <v>250</v>
      </c>
      <c r="C197" s="1249">
        <v>100</v>
      </c>
      <c r="D197" s="1252">
        <v>400</v>
      </c>
      <c r="E197" s="1252"/>
      <c r="F197" s="1253"/>
      <c r="G197" s="1213" t="s">
        <v>3743</v>
      </c>
      <c r="H197" s="1206"/>
      <c r="I197" s="1206"/>
      <c r="J197" s="1173" t="s">
        <v>3310</v>
      </c>
    </row>
    <row r="198" spans="1:10" s="1160" customFormat="1" ht="26.4">
      <c r="A198" s="1277">
        <v>240</v>
      </c>
      <c r="B198" s="1249">
        <v>250</v>
      </c>
      <c r="C198" s="1249">
        <v>100</v>
      </c>
      <c r="D198" s="1249">
        <v>500</v>
      </c>
      <c r="E198" s="1249"/>
      <c r="F198" s="1250"/>
      <c r="G198" s="1251" t="s">
        <v>3744</v>
      </c>
      <c r="H198" s="1207"/>
      <c r="I198" s="1207"/>
      <c r="J198" s="1173" t="s">
        <v>3312</v>
      </c>
    </row>
    <row r="199" spans="1:10" s="1160" customFormat="1" ht="26.4">
      <c r="A199" s="1277">
        <v>240</v>
      </c>
      <c r="B199" s="1249">
        <v>250</v>
      </c>
      <c r="C199" s="1249">
        <v>100</v>
      </c>
      <c r="D199" s="1249">
        <v>500</v>
      </c>
      <c r="E199" s="1252">
        <v>10</v>
      </c>
      <c r="F199" s="1253"/>
      <c r="G199" s="1254" t="s">
        <v>3744</v>
      </c>
      <c r="H199" s="1206">
        <v>1105635</v>
      </c>
      <c r="I199" s="1206">
        <v>1072018</v>
      </c>
      <c r="J199" s="1173"/>
    </row>
    <row r="200" spans="1:10" s="1160" customFormat="1">
      <c r="A200" s="1277">
        <v>240</v>
      </c>
      <c r="B200" s="1249">
        <v>250</v>
      </c>
      <c r="C200" s="1249">
        <v>100</v>
      </c>
      <c r="D200" s="1249">
        <v>500</v>
      </c>
      <c r="E200" s="1252">
        <v>80</v>
      </c>
      <c r="F200" s="1253"/>
      <c r="G200" s="1254" t="s">
        <v>3720</v>
      </c>
      <c r="H200" s="1206">
        <v>1245193</v>
      </c>
      <c r="I200" s="1206">
        <v>117466</v>
      </c>
      <c r="J200" s="1173"/>
    </row>
    <row r="201" spans="1:10" s="1160" customFormat="1">
      <c r="A201" s="1277">
        <v>240</v>
      </c>
      <c r="B201" s="1249">
        <v>250</v>
      </c>
      <c r="C201" s="1249">
        <v>100</v>
      </c>
      <c r="D201" s="1249">
        <v>500</v>
      </c>
      <c r="E201" s="1252">
        <v>90</v>
      </c>
      <c r="F201" s="1253"/>
      <c r="G201" s="1254" t="s">
        <v>3721</v>
      </c>
      <c r="H201" s="1206"/>
      <c r="I201" s="1206"/>
      <c r="J201" s="1173"/>
    </row>
    <row r="202" spans="1:10" s="1160" customFormat="1">
      <c r="A202" s="1277">
        <v>240</v>
      </c>
      <c r="B202" s="1249">
        <v>250</v>
      </c>
      <c r="C202" s="1249">
        <v>100</v>
      </c>
      <c r="D202" s="1249">
        <v>600</v>
      </c>
      <c r="E202" s="1249"/>
      <c r="F202" s="1250"/>
      <c r="G202" s="1251" t="s">
        <v>3745</v>
      </c>
      <c r="H202" s="1207"/>
      <c r="I202" s="1207"/>
      <c r="J202" s="1173" t="s">
        <v>3314</v>
      </c>
    </row>
    <row r="203" spans="1:10" s="1160" customFormat="1">
      <c r="A203" s="1277">
        <v>240</v>
      </c>
      <c r="B203" s="1249">
        <v>250</v>
      </c>
      <c r="C203" s="1249">
        <v>100</v>
      </c>
      <c r="D203" s="1249">
        <v>600</v>
      </c>
      <c r="E203" s="1252">
        <v>10</v>
      </c>
      <c r="F203" s="1253"/>
      <c r="G203" s="1254" t="s">
        <v>3746</v>
      </c>
      <c r="H203" s="1206">
        <v>1550104</v>
      </c>
      <c r="I203" s="1206">
        <v>1470678</v>
      </c>
      <c r="J203" s="1173"/>
    </row>
    <row r="204" spans="1:10" s="1160" customFormat="1">
      <c r="A204" s="1277">
        <v>240</v>
      </c>
      <c r="B204" s="1249">
        <v>250</v>
      </c>
      <c r="C204" s="1249">
        <v>100</v>
      </c>
      <c r="D204" s="1249">
        <v>600</v>
      </c>
      <c r="E204" s="1252">
        <v>80</v>
      </c>
      <c r="F204" s="1253"/>
      <c r="G204" s="1254" t="s">
        <v>3720</v>
      </c>
      <c r="H204" s="1206">
        <v>326503</v>
      </c>
      <c r="I204" s="1206">
        <v>312423</v>
      </c>
      <c r="J204" s="1173"/>
    </row>
    <row r="205" spans="1:10" s="1160" customFormat="1">
      <c r="A205" s="1277">
        <v>240</v>
      </c>
      <c r="B205" s="1249">
        <v>250</v>
      </c>
      <c r="C205" s="1249">
        <v>100</v>
      </c>
      <c r="D205" s="1249">
        <v>600</v>
      </c>
      <c r="E205" s="1252">
        <v>90</v>
      </c>
      <c r="F205" s="1253"/>
      <c r="G205" s="1254" t="s">
        <v>3721</v>
      </c>
      <c r="H205" s="1206">
        <v>0</v>
      </c>
      <c r="I205" s="1206">
        <v>677</v>
      </c>
      <c r="J205" s="1173"/>
    </row>
    <row r="206" spans="1:10" s="1160" customFormat="1">
      <c r="A206" s="1277">
        <v>240</v>
      </c>
      <c r="B206" s="1249">
        <v>250</v>
      </c>
      <c r="C206" s="1249">
        <v>100</v>
      </c>
      <c r="D206" s="1249">
        <v>700</v>
      </c>
      <c r="E206" s="1252"/>
      <c r="F206" s="1253"/>
      <c r="G206" s="1254" t="s">
        <v>3747</v>
      </c>
      <c r="H206" s="1206"/>
      <c r="I206" s="1206"/>
      <c r="J206" s="1173" t="s">
        <v>3316</v>
      </c>
    </row>
    <row r="207" spans="1:10" s="1160" customFormat="1" ht="26.4">
      <c r="A207" s="1277">
        <v>240</v>
      </c>
      <c r="B207" s="1249">
        <v>250</v>
      </c>
      <c r="C207" s="1249">
        <v>100</v>
      </c>
      <c r="D207" s="1249">
        <v>800</v>
      </c>
      <c r="E207" s="1252"/>
      <c r="F207" s="1253"/>
      <c r="G207" s="1254" t="s">
        <v>3748</v>
      </c>
      <c r="H207" s="1206"/>
      <c r="I207" s="1206"/>
      <c r="J207" s="1173" t="s">
        <v>3318</v>
      </c>
    </row>
    <row r="208" spans="1:10" s="1160" customFormat="1">
      <c r="A208" s="1277">
        <v>240</v>
      </c>
      <c r="B208" s="1249">
        <v>250</v>
      </c>
      <c r="C208" s="1249">
        <v>100</v>
      </c>
      <c r="D208" s="1249">
        <v>900</v>
      </c>
      <c r="E208" s="1252"/>
      <c r="F208" s="1253"/>
      <c r="G208" s="1254" t="s">
        <v>3749</v>
      </c>
      <c r="H208" s="1206"/>
      <c r="I208" s="1206"/>
      <c r="J208" s="1173" t="s">
        <v>3320</v>
      </c>
    </row>
    <row r="209" spans="1:10" s="1160" customFormat="1">
      <c r="A209" s="1277">
        <v>240</v>
      </c>
      <c r="B209" s="1249">
        <v>250</v>
      </c>
      <c r="C209" s="1249">
        <v>200</v>
      </c>
      <c r="D209" s="1249"/>
      <c r="E209" s="1249"/>
      <c r="F209" s="1250"/>
      <c r="G209" s="1251" t="s">
        <v>3750</v>
      </c>
      <c r="H209" s="1207"/>
      <c r="I209" s="1207"/>
      <c r="J209" s="1173" t="s">
        <v>3322</v>
      </c>
    </row>
    <row r="210" spans="1:10" s="1160" customFormat="1">
      <c r="A210" s="1277">
        <v>240</v>
      </c>
      <c r="B210" s="1249">
        <v>250</v>
      </c>
      <c r="C210" s="1249">
        <v>200</v>
      </c>
      <c r="D210" s="1252">
        <v>100</v>
      </c>
      <c r="E210" s="1252"/>
      <c r="F210" s="1253"/>
      <c r="G210" s="1254" t="s">
        <v>3751</v>
      </c>
      <c r="H210" s="1206">
        <v>263974</v>
      </c>
      <c r="I210" s="1206">
        <v>126399</v>
      </c>
      <c r="J210" s="1173"/>
    </row>
    <row r="211" spans="1:10" s="1160" customFormat="1">
      <c r="A211" s="1277">
        <v>240</v>
      </c>
      <c r="B211" s="1249">
        <v>250</v>
      </c>
      <c r="C211" s="1249">
        <v>200</v>
      </c>
      <c r="D211" s="1252">
        <v>800</v>
      </c>
      <c r="E211" s="1252"/>
      <c r="F211" s="1253"/>
      <c r="G211" s="1254" t="s">
        <v>3720</v>
      </c>
      <c r="H211" s="1206">
        <v>130942</v>
      </c>
      <c r="I211" s="1206">
        <v>56254</v>
      </c>
      <c r="J211" s="1173"/>
    </row>
    <row r="212" spans="1:10" s="1160" customFormat="1">
      <c r="A212" s="1277">
        <v>240</v>
      </c>
      <c r="B212" s="1249">
        <v>250</v>
      </c>
      <c r="C212" s="1249">
        <v>200</v>
      </c>
      <c r="D212" s="1252">
        <v>900</v>
      </c>
      <c r="E212" s="1252"/>
      <c r="F212" s="1253"/>
      <c r="G212" s="1254" t="s">
        <v>3721</v>
      </c>
      <c r="H212" s="1206"/>
      <c r="I212" s="1206">
        <v>-643</v>
      </c>
      <c r="J212" s="1173"/>
    </row>
    <row r="213" spans="1:10" s="1160" customFormat="1" ht="26.4">
      <c r="A213" s="1277">
        <v>240</v>
      </c>
      <c r="B213" s="1249">
        <v>250</v>
      </c>
      <c r="C213" s="1249">
        <v>300</v>
      </c>
      <c r="D213" s="1249"/>
      <c r="E213" s="1249"/>
      <c r="F213" s="1250"/>
      <c r="G213" s="1251" t="s">
        <v>3752</v>
      </c>
      <c r="H213" s="1207"/>
      <c r="I213" s="1207"/>
      <c r="J213" s="1173" t="s">
        <v>3324</v>
      </c>
    </row>
    <row r="214" spans="1:10" s="1160" customFormat="1" ht="26.4">
      <c r="A214" s="1277">
        <v>240</v>
      </c>
      <c r="B214" s="1249">
        <v>250</v>
      </c>
      <c r="C214" s="1249">
        <v>300</v>
      </c>
      <c r="D214" s="1252">
        <v>100</v>
      </c>
      <c r="E214" s="1252"/>
      <c r="F214" s="1253"/>
      <c r="G214" s="1254" t="s">
        <v>3753</v>
      </c>
      <c r="H214" s="1206"/>
      <c r="I214" s="1206"/>
      <c r="J214" s="1173" t="s">
        <v>3326</v>
      </c>
    </row>
    <row r="215" spans="1:10" s="1160" customFormat="1" ht="26.4">
      <c r="A215" s="1277">
        <v>240</v>
      </c>
      <c r="B215" s="1249">
        <v>250</v>
      </c>
      <c r="C215" s="1249">
        <v>300</v>
      </c>
      <c r="D215" s="1252">
        <v>200</v>
      </c>
      <c r="E215" s="1252"/>
      <c r="F215" s="1253"/>
      <c r="G215" s="1254" t="s">
        <v>3754</v>
      </c>
      <c r="H215" s="1206"/>
      <c r="I215" s="1206"/>
      <c r="J215" s="1173" t="s">
        <v>3328</v>
      </c>
    </row>
    <row r="216" spans="1:10" s="1160" customFormat="1" ht="26.4">
      <c r="A216" s="1277">
        <v>240</v>
      </c>
      <c r="B216" s="1249">
        <v>250</v>
      </c>
      <c r="C216" s="1249">
        <v>300</v>
      </c>
      <c r="D216" s="1252">
        <v>300</v>
      </c>
      <c r="E216" s="1252"/>
      <c r="F216" s="1253"/>
      <c r="G216" s="1254" t="s">
        <v>3755</v>
      </c>
      <c r="H216" s="1206"/>
      <c r="I216" s="1206"/>
      <c r="J216" s="1173" t="s">
        <v>3330</v>
      </c>
    </row>
    <row r="217" spans="1:10" s="1160" customFormat="1" ht="39.6">
      <c r="A217" s="1277">
        <v>240</v>
      </c>
      <c r="B217" s="1249">
        <v>250</v>
      </c>
      <c r="C217" s="1249">
        <v>300</v>
      </c>
      <c r="D217" s="1252">
        <v>400</v>
      </c>
      <c r="E217" s="1252"/>
      <c r="F217" s="1253"/>
      <c r="G217" s="1254" t="s">
        <v>3756</v>
      </c>
      <c r="H217" s="1206"/>
      <c r="I217" s="1206"/>
      <c r="J217" s="1173" t="s">
        <v>3332</v>
      </c>
    </row>
    <row r="218" spans="1:10" s="1160" customFormat="1" ht="26.4">
      <c r="A218" s="1277">
        <v>240</v>
      </c>
      <c r="B218" s="1249">
        <v>250</v>
      </c>
      <c r="C218" s="1249">
        <v>300</v>
      </c>
      <c r="D218" s="1252">
        <v>500</v>
      </c>
      <c r="E218" s="1252"/>
      <c r="F218" s="1253"/>
      <c r="G218" s="1254" t="s">
        <v>3757</v>
      </c>
      <c r="H218" s="1206"/>
      <c r="I218" s="1206"/>
      <c r="J218" s="1173" t="s">
        <v>3334</v>
      </c>
    </row>
    <row r="219" spans="1:10" s="1160" customFormat="1">
      <c r="A219" s="1277">
        <v>240</v>
      </c>
      <c r="B219" s="1249">
        <v>300</v>
      </c>
      <c r="C219" s="1249"/>
      <c r="D219" s="1249"/>
      <c r="E219" s="1249"/>
      <c r="F219" s="1250"/>
      <c r="G219" s="1251" t="s">
        <v>3758</v>
      </c>
      <c r="H219" s="1207"/>
      <c r="I219" s="1207"/>
      <c r="J219" s="1173"/>
    </row>
    <row r="220" spans="1:10" s="1160" customFormat="1">
      <c r="A220" s="1277">
        <v>240</v>
      </c>
      <c r="B220" s="1249">
        <v>300</v>
      </c>
      <c r="C220" s="1252">
        <v>100</v>
      </c>
      <c r="D220" s="1252"/>
      <c r="E220" s="1252"/>
      <c r="F220" s="1253"/>
      <c r="G220" s="1213" t="s">
        <v>3759</v>
      </c>
      <c r="H220" s="1206"/>
      <c r="I220" s="1206"/>
      <c r="J220" s="1173" t="s">
        <v>3338</v>
      </c>
    </row>
    <row r="221" spans="1:10" s="1160" customFormat="1">
      <c r="A221" s="1277">
        <v>240</v>
      </c>
      <c r="B221" s="1249">
        <v>300</v>
      </c>
      <c r="C221" s="1252">
        <v>200</v>
      </c>
      <c r="D221" s="1252"/>
      <c r="E221" s="1252"/>
      <c r="F221" s="1253"/>
      <c r="G221" s="1213" t="s">
        <v>3760</v>
      </c>
      <c r="H221" s="1206"/>
      <c r="I221" s="1206"/>
      <c r="J221" s="1173" t="s">
        <v>3340</v>
      </c>
    </row>
    <row r="222" spans="1:10" s="1160" customFormat="1">
      <c r="A222" s="1277">
        <v>240</v>
      </c>
      <c r="B222" s="1249">
        <v>300</v>
      </c>
      <c r="C222" s="1249">
        <v>300</v>
      </c>
      <c r="D222" s="1249"/>
      <c r="E222" s="1249"/>
      <c r="F222" s="1250"/>
      <c r="G222" s="1251" t="s">
        <v>3761</v>
      </c>
      <c r="H222" s="1207"/>
      <c r="I222" s="1207"/>
      <c r="J222" s="1173" t="s">
        <v>3342</v>
      </c>
    </row>
    <row r="223" spans="1:10" s="1160" customFormat="1">
      <c r="A223" s="1277">
        <v>240</v>
      </c>
      <c r="B223" s="1249">
        <v>300</v>
      </c>
      <c r="C223" s="1249">
        <v>300</v>
      </c>
      <c r="D223" s="1252">
        <v>100</v>
      </c>
      <c r="E223" s="1252"/>
      <c r="F223" s="1253"/>
      <c r="G223" s="1254" t="s">
        <v>3761</v>
      </c>
      <c r="H223" s="1206"/>
      <c r="I223" s="1206"/>
      <c r="J223" s="1173"/>
    </row>
    <row r="224" spans="1:10" s="1160" customFormat="1">
      <c r="A224" s="1277">
        <v>240</v>
      </c>
      <c r="B224" s="1249">
        <v>300</v>
      </c>
      <c r="C224" s="1249">
        <v>300</v>
      </c>
      <c r="D224" s="1252">
        <v>800</v>
      </c>
      <c r="E224" s="1252"/>
      <c r="F224" s="1253"/>
      <c r="G224" s="1254" t="s">
        <v>3720</v>
      </c>
      <c r="H224" s="1206">
        <v>77</v>
      </c>
      <c r="I224" s="1206">
        <v>77</v>
      </c>
      <c r="J224" s="1173"/>
    </row>
    <row r="225" spans="1:10" s="1160" customFormat="1">
      <c r="A225" s="1277">
        <v>240</v>
      </c>
      <c r="B225" s="1249">
        <v>300</v>
      </c>
      <c r="C225" s="1249">
        <v>300</v>
      </c>
      <c r="D225" s="1252">
        <v>900</v>
      </c>
      <c r="E225" s="1252"/>
      <c r="F225" s="1253"/>
      <c r="G225" s="1254" t="s">
        <v>3721</v>
      </c>
      <c r="H225" s="1206"/>
      <c r="I225" s="1206"/>
      <c r="J225" s="1173"/>
    </row>
    <row r="226" spans="1:10" s="1160" customFormat="1">
      <c r="A226" s="1277">
        <v>240</v>
      </c>
      <c r="B226" s="1249">
        <v>350</v>
      </c>
      <c r="C226" s="1249"/>
      <c r="D226" s="1249"/>
      <c r="E226" s="1249"/>
      <c r="F226" s="1250"/>
      <c r="G226" s="1251" t="s">
        <v>3762</v>
      </c>
      <c r="H226" s="1207"/>
      <c r="I226" s="1207"/>
      <c r="J226" s="1173"/>
    </row>
    <row r="227" spans="1:10" s="1160" customFormat="1">
      <c r="A227" s="1277">
        <v>240</v>
      </c>
      <c r="B227" s="1249">
        <v>350</v>
      </c>
      <c r="C227" s="1249">
        <v>100</v>
      </c>
      <c r="D227" s="1249"/>
      <c r="E227" s="1249"/>
      <c r="F227" s="1250"/>
      <c r="G227" s="1251" t="s">
        <v>3763</v>
      </c>
      <c r="H227" s="1207"/>
      <c r="I227" s="1207"/>
      <c r="J227" s="1173" t="s">
        <v>3346</v>
      </c>
    </row>
    <row r="228" spans="1:10" s="1160" customFormat="1" ht="26.4">
      <c r="A228" s="1277"/>
      <c r="B228" s="1249"/>
      <c r="C228" s="1249"/>
      <c r="D228" s="1252"/>
      <c r="E228" s="1252"/>
      <c r="F228" s="1253"/>
      <c r="G228" s="1254" t="s">
        <v>3763</v>
      </c>
      <c r="H228" s="1207"/>
      <c r="I228" s="1207"/>
      <c r="J228" s="1173" t="s">
        <v>3348</v>
      </c>
    </row>
    <row r="229" spans="1:10" s="1160" customFormat="1" ht="26.4">
      <c r="A229" s="1277">
        <v>240</v>
      </c>
      <c r="B229" s="1249">
        <v>350</v>
      </c>
      <c r="C229" s="1249">
        <v>100</v>
      </c>
      <c r="D229" s="1252">
        <v>100</v>
      </c>
      <c r="E229" s="1252"/>
      <c r="F229" s="1253"/>
      <c r="G229" s="1254" t="s">
        <v>3763</v>
      </c>
      <c r="H229" s="1206"/>
      <c r="I229" s="1206"/>
      <c r="J229" s="1173" t="s">
        <v>3348</v>
      </c>
    </row>
    <row r="230" spans="1:10" s="1160" customFormat="1">
      <c r="A230" s="1277">
        <v>240</v>
      </c>
      <c r="B230" s="1249">
        <v>350</v>
      </c>
      <c r="C230" s="1249">
        <v>100</v>
      </c>
      <c r="D230" s="1252">
        <v>800</v>
      </c>
      <c r="E230" s="1252"/>
      <c r="F230" s="1253"/>
      <c r="G230" s="1254" t="s">
        <v>3720</v>
      </c>
      <c r="H230" s="1206"/>
      <c r="I230" s="1206"/>
      <c r="J230" s="1173" t="s">
        <v>3348</v>
      </c>
    </row>
    <row r="231" spans="1:10" s="1160" customFormat="1">
      <c r="A231" s="1277">
        <v>240</v>
      </c>
      <c r="B231" s="1249">
        <v>350</v>
      </c>
      <c r="C231" s="1249">
        <v>100</v>
      </c>
      <c r="D231" s="1252">
        <v>900</v>
      </c>
      <c r="E231" s="1252"/>
      <c r="F231" s="1253"/>
      <c r="G231" s="1254" t="s">
        <v>3764</v>
      </c>
      <c r="H231" s="1206"/>
      <c r="I231" s="1206"/>
      <c r="J231" s="1173" t="s">
        <v>3350</v>
      </c>
    </row>
    <row r="232" spans="1:10" s="1160" customFormat="1">
      <c r="A232" s="1277">
        <v>240</v>
      </c>
      <c r="B232" s="1249">
        <v>350</v>
      </c>
      <c r="C232" s="1249">
        <v>200</v>
      </c>
      <c r="D232" s="1249"/>
      <c r="E232" s="1249"/>
      <c r="F232" s="1250"/>
      <c r="G232" s="1251" t="s">
        <v>3765</v>
      </c>
      <c r="H232" s="1207"/>
      <c r="I232" s="1207"/>
      <c r="J232" s="1173" t="s">
        <v>3352</v>
      </c>
    </row>
    <row r="233" spans="1:10" s="1160" customFormat="1">
      <c r="A233" s="1277"/>
      <c r="B233" s="1249"/>
      <c r="C233" s="1249"/>
      <c r="D233" s="1252"/>
      <c r="E233" s="1249"/>
      <c r="F233" s="1250"/>
      <c r="G233" s="1251" t="s">
        <v>3765</v>
      </c>
      <c r="H233" s="1207"/>
      <c r="I233" s="1207"/>
      <c r="J233" s="1173" t="s">
        <v>3354</v>
      </c>
    </row>
    <row r="234" spans="1:10" s="1160" customFormat="1">
      <c r="A234" s="1277">
        <v>240</v>
      </c>
      <c r="B234" s="1249">
        <v>350</v>
      </c>
      <c r="C234" s="1249">
        <v>200</v>
      </c>
      <c r="D234" s="1252">
        <v>100</v>
      </c>
      <c r="E234" s="1252"/>
      <c r="F234" s="1253"/>
      <c r="G234" s="1254" t="s">
        <v>3766</v>
      </c>
      <c r="H234" s="1206">
        <f>4608738-606848</f>
        <v>4001890</v>
      </c>
      <c r="I234" s="1206">
        <v>3101316</v>
      </c>
      <c r="J234" s="1173" t="s">
        <v>3354</v>
      </c>
    </row>
    <row r="235" spans="1:10" s="1160" customFormat="1">
      <c r="A235" s="1277">
        <v>240</v>
      </c>
      <c r="B235" s="1249">
        <v>350</v>
      </c>
      <c r="C235" s="1249">
        <v>200</v>
      </c>
      <c r="D235" s="1252">
        <v>200</v>
      </c>
      <c r="E235" s="1252"/>
      <c r="F235" s="1253"/>
      <c r="G235" s="1254" t="s">
        <v>3767</v>
      </c>
      <c r="H235" s="1206">
        <v>70340</v>
      </c>
      <c r="I235" s="1206">
        <v>107447</v>
      </c>
      <c r="J235" s="1173" t="s">
        <v>3354</v>
      </c>
    </row>
    <row r="236" spans="1:10" s="1160" customFormat="1">
      <c r="A236" s="1277">
        <v>240</v>
      </c>
      <c r="B236" s="1249">
        <v>350</v>
      </c>
      <c r="C236" s="1249">
        <v>200</v>
      </c>
      <c r="D236" s="1252">
        <v>400</v>
      </c>
      <c r="E236" s="1252"/>
      <c r="F236" s="1253"/>
      <c r="G236" s="1254" t="s">
        <v>2367</v>
      </c>
      <c r="H236" s="1206"/>
      <c r="I236" s="1206"/>
      <c r="J236" s="1173" t="s">
        <v>3354</v>
      </c>
    </row>
    <row r="237" spans="1:10" s="1160" customFormat="1">
      <c r="A237" s="1277">
        <v>240</v>
      </c>
      <c r="B237" s="1249">
        <v>350</v>
      </c>
      <c r="C237" s="1249">
        <v>200</v>
      </c>
      <c r="D237" s="1252">
        <v>500</v>
      </c>
      <c r="E237" s="1252"/>
      <c r="F237" s="1253"/>
      <c r="G237" s="1254" t="s">
        <v>3768</v>
      </c>
      <c r="H237" s="1206"/>
      <c r="I237" s="1206"/>
      <c r="J237" s="1173" t="s">
        <v>3354</v>
      </c>
    </row>
    <row r="238" spans="1:10" s="1160" customFormat="1">
      <c r="A238" s="1277">
        <v>240</v>
      </c>
      <c r="B238" s="1249">
        <v>350</v>
      </c>
      <c r="C238" s="1249">
        <v>200</v>
      </c>
      <c r="D238" s="1252">
        <v>600</v>
      </c>
      <c r="E238" s="1252"/>
      <c r="F238" s="1253"/>
      <c r="G238" s="1254" t="s">
        <v>3769</v>
      </c>
      <c r="H238" s="1206"/>
      <c r="I238" s="1206"/>
      <c r="J238" s="1173" t="s">
        <v>3354</v>
      </c>
    </row>
    <row r="239" spans="1:10" s="1160" customFormat="1">
      <c r="A239" s="1277">
        <v>240</v>
      </c>
      <c r="B239" s="1249">
        <v>350</v>
      </c>
      <c r="C239" s="1249">
        <v>200</v>
      </c>
      <c r="D239" s="1252">
        <v>800</v>
      </c>
      <c r="E239" s="1252"/>
      <c r="F239" s="1253"/>
      <c r="G239" s="1254" t="s">
        <v>3720</v>
      </c>
      <c r="H239" s="1206">
        <v>2686335</v>
      </c>
      <c r="I239" s="1206">
        <v>2041288</v>
      </c>
      <c r="J239" s="1173" t="s">
        <v>3354</v>
      </c>
    </row>
    <row r="240" spans="1:10" s="1160" customFormat="1">
      <c r="A240" s="1277">
        <v>240</v>
      </c>
      <c r="B240" s="1249">
        <v>350</v>
      </c>
      <c r="C240" s="1249">
        <v>200</v>
      </c>
      <c r="D240" s="1249">
        <v>900</v>
      </c>
      <c r="E240" s="1249"/>
      <c r="F240" s="1250"/>
      <c r="G240" s="1264" t="s">
        <v>3770</v>
      </c>
      <c r="H240" s="1206">
        <v>-426972</v>
      </c>
      <c r="I240" s="1206">
        <v>-338257</v>
      </c>
      <c r="J240" s="1173" t="s">
        <v>3356</v>
      </c>
    </row>
    <row r="241" spans="1:10" s="1160" customFormat="1">
      <c r="A241" s="1277">
        <v>240</v>
      </c>
      <c r="B241" s="1249">
        <v>400</v>
      </c>
      <c r="C241" s="1249"/>
      <c r="D241" s="1249"/>
      <c r="E241" s="1249"/>
      <c r="F241" s="1250"/>
      <c r="G241" s="1251" t="s">
        <v>3771</v>
      </c>
      <c r="H241" s="1207"/>
      <c r="I241" s="1207"/>
      <c r="J241" s="1173" t="s">
        <v>3358</v>
      </c>
    </row>
    <row r="242" spans="1:10" s="1160" customFormat="1">
      <c r="A242" s="1277">
        <v>240</v>
      </c>
      <c r="B242" s="1249">
        <v>400</v>
      </c>
      <c r="C242" s="1252">
        <v>100</v>
      </c>
      <c r="D242" s="1252"/>
      <c r="E242" s="1252"/>
      <c r="F242" s="1253"/>
      <c r="G242" s="1254" t="s">
        <v>3772</v>
      </c>
      <c r="H242" s="1206"/>
      <c r="I242" s="1206"/>
      <c r="J242" s="1173"/>
    </row>
    <row r="243" spans="1:10" s="1160" customFormat="1">
      <c r="A243" s="1277">
        <v>240</v>
      </c>
      <c r="B243" s="1249">
        <v>400</v>
      </c>
      <c r="C243" s="1252">
        <v>200</v>
      </c>
      <c r="D243" s="1252"/>
      <c r="E243" s="1252"/>
      <c r="F243" s="1253"/>
      <c r="G243" s="1254" t="s">
        <v>3773</v>
      </c>
      <c r="H243" s="1206"/>
      <c r="I243" s="1206"/>
      <c r="J243" s="1173"/>
    </row>
    <row r="244" spans="1:10" s="1160" customFormat="1">
      <c r="A244" s="1277">
        <v>240</v>
      </c>
      <c r="B244" s="1249">
        <v>450</v>
      </c>
      <c r="C244" s="1249"/>
      <c r="D244" s="1249"/>
      <c r="E244" s="1249"/>
      <c r="F244" s="1250"/>
      <c r="G244" s="1251" t="s">
        <v>3774</v>
      </c>
      <c r="H244" s="1207"/>
      <c r="I244" s="1207"/>
      <c r="J244" s="1173" t="s">
        <v>3360</v>
      </c>
    </row>
    <row r="245" spans="1:10" s="1160" customFormat="1">
      <c r="A245" s="1277">
        <v>240</v>
      </c>
      <c r="B245" s="1249">
        <v>450</v>
      </c>
      <c r="C245" s="1252">
        <v>100</v>
      </c>
      <c r="D245" s="1252"/>
      <c r="E245" s="1252"/>
      <c r="F245" s="1253"/>
      <c r="G245" s="1254" t="s">
        <v>115</v>
      </c>
      <c r="H245" s="1206"/>
      <c r="I245" s="1206"/>
      <c r="J245" s="1173"/>
    </row>
    <row r="246" spans="1:10" s="1160" customFormat="1">
      <c r="A246" s="1277">
        <v>240</v>
      </c>
      <c r="B246" s="1249">
        <v>450</v>
      </c>
      <c r="C246" s="1252">
        <v>200</v>
      </c>
      <c r="D246" s="1252"/>
      <c r="E246" s="1252"/>
      <c r="F246" s="1253"/>
      <c r="G246" s="1254" t="s">
        <v>110</v>
      </c>
      <c r="H246" s="1206">
        <v>445206</v>
      </c>
      <c r="I246" s="1206">
        <v>488186</v>
      </c>
      <c r="J246" s="1173"/>
    </row>
    <row r="247" spans="1:10" s="1160" customFormat="1">
      <c r="A247" s="1277">
        <v>240</v>
      </c>
      <c r="B247" s="1249">
        <v>450</v>
      </c>
      <c r="C247" s="1252">
        <v>300</v>
      </c>
      <c r="D247" s="1252"/>
      <c r="E247" s="1252"/>
      <c r="F247" s="1253"/>
      <c r="G247" s="1254" t="s">
        <v>3775</v>
      </c>
      <c r="H247" s="1206">
        <v>1090172</v>
      </c>
      <c r="I247" s="1206">
        <v>1034986</v>
      </c>
      <c r="J247" s="1173"/>
    </row>
    <row r="248" spans="1:10" s="1160" customFormat="1">
      <c r="A248" s="1277">
        <v>240</v>
      </c>
      <c r="B248" s="1249">
        <v>450</v>
      </c>
      <c r="C248" s="1252">
        <v>400</v>
      </c>
      <c r="D248" s="1252"/>
      <c r="E248" s="1252"/>
      <c r="F248" s="1253"/>
      <c r="G248" s="1254" t="s">
        <v>3776</v>
      </c>
      <c r="H248" s="1206">
        <v>322910</v>
      </c>
      <c r="I248" s="1206">
        <v>399417</v>
      </c>
      <c r="J248" s="1173"/>
    </row>
    <row r="249" spans="1:10" s="1160" customFormat="1">
      <c r="A249" s="1277">
        <v>240</v>
      </c>
      <c r="B249" s="1249">
        <v>450</v>
      </c>
      <c r="C249" s="1252">
        <v>500</v>
      </c>
      <c r="D249" s="1252"/>
      <c r="E249" s="1252"/>
      <c r="F249" s="1253"/>
      <c r="G249" s="1254" t="s">
        <v>3777</v>
      </c>
      <c r="H249" s="1206"/>
      <c r="I249" s="1206"/>
      <c r="J249" s="1173"/>
    </row>
    <row r="250" spans="1:10" s="1160" customFormat="1">
      <c r="A250" s="1277">
        <v>240</v>
      </c>
      <c r="B250" s="1249">
        <v>450</v>
      </c>
      <c r="C250" s="1252">
        <v>600</v>
      </c>
      <c r="D250" s="1252"/>
      <c r="E250" s="1252"/>
      <c r="F250" s="1253"/>
      <c r="G250" s="1254" t="s">
        <v>3778</v>
      </c>
      <c r="H250" s="1206"/>
      <c r="I250" s="1206"/>
      <c r="J250" s="1173"/>
    </row>
    <row r="251" spans="1:10" s="1160" customFormat="1">
      <c r="A251" s="1277">
        <v>240</v>
      </c>
      <c r="B251" s="1249">
        <v>450</v>
      </c>
      <c r="C251" s="1252">
        <v>700</v>
      </c>
      <c r="D251" s="1252"/>
      <c r="E251" s="1252"/>
      <c r="F251" s="1253"/>
      <c r="G251" s="1254" t="s">
        <v>3779</v>
      </c>
      <c r="H251" s="1206"/>
      <c r="I251" s="1206"/>
      <c r="J251" s="1173"/>
    </row>
    <row r="252" spans="1:10" s="1160" customFormat="1">
      <c r="A252" s="1277">
        <v>240</v>
      </c>
      <c r="B252" s="1249">
        <v>450</v>
      </c>
      <c r="C252" s="1252">
        <v>800</v>
      </c>
      <c r="D252" s="1252"/>
      <c r="E252" s="1252"/>
      <c r="F252" s="1253"/>
      <c r="G252" s="1254" t="s">
        <v>3780</v>
      </c>
      <c r="H252" s="1206">
        <v>57543</v>
      </c>
      <c r="I252" s="1206">
        <v>82008</v>
      </c>
      <c r="J252" s="1173"/>
    </row>
    <row r="253" spans="1:10" s="1160" customFormat="1">
      <c r="A253" s="1277">
        <v>240</v>
      </c>
      <c r="B253" s="1249">
        <v>450</v>
      </c>
      <c r="C253" s="1252">
        <v>900</v>
      </c>
      <c r="D253" s="1252"/>
      <c r="E253" s="1252"/>
      <c r="F253" s="1253"/>
      <c r="G253" s="1254" t="s">
        <v>3781</v>
      </c>
      <c r="H253" s="1206">
        <v>106</v>
      </c>
      <c r="I253" s="1206">
        <v>162</v>
      </c>
      <c r="J253" s="1173"/>
    </row>
    <row r="254" spans="1:10" s="1160" customFormat="1">
      <c r="A254" s="1277">
        <v>240</v>
      </c>
      <c r="B254" s="1249">
        <v>500</v>
      </c>
      <c r="C254" s="1249"/>
      <c r="D254" s="1249"/>
      <c r="E254" s="1249"/>
      <c r="F254" s="1250"/>
      <c r="G254" s="1251" t="s">
        <v>3782</v>
      </c>
      <c r="H254" s="1207"/>
      <c r="I254" s="1207"/>
      <c r="J254" s="1173" t="s">
        <v>3362</v>
      </c>
    </row>
    <row r="255" spans="1:10" s="1160" customFormat="1">
      <c r="A255" s="1277">
        <v>240</v>
      </c>
      <c r="B255" s="1249">
        <v>500</v>
      </c>
      <c r="C255" s="1252">
        <v>100</v>
      </c>
      <c r="D255" s="1252"/>
      <c r="E255" s="1252"/>
      <c r="F255" s="1253"/>
      <c r="G255" s="1254" t="s">
        <v>3783</v>
      </c>
      <c r="H255" s="1206">
        <v>1733349</v>
      </c>
      <c r="I255" s="1206">
        <v>1766577</v>
      </c>
      <c r="J255" s="1173"/>
    </row>
    <row r="256" spans="1:10" s="1160" customFormat="1">
      <c r="A256" s="1277">
        <v>240</v>
      </c>
      <c r="B256" s="1249">
        <v>500</v>
      </c>
      <c r="C256" s="1252">
        <v>200</v>
      </c>
      <c r="D256" s="1252"/>
      <c r="E256" s="1252"/>
      <c r="F256" s="1253"/>
      <c r="G256" s="1254" t="s">
        <v>3784</v>
      </c>
      <c r="H256" s="1206">
        <v>10354</v>
      </c>
      <c r="I256" s="1206">
        <v>29833</v>
      </c>
      <c r="J256" s="1173"/>
    </row>
    <row r="257" spans="1:10" s="1160" customFormat="1">
      <c r="A257" s="1277">
        <v>240</v>
      </c>
      <c r="B257" s="1249">
        <v>500</v>
      </c>
      <c r="C257" s="1252">
        <v>300</v>
      </c>
      <c r="D257" s="1252"/>
      <c r="E257" s="1252"/>
      <c r="F257" s="1253"/>
      <c r="G257" s="1254" t="s">
        <v>3785</v>
      </c>
      <c r="H257" s="1206"/>
      <c r="I257" s="1206">
        <v>0</v>
      </c>
      <c r="J257" s="1173"/>
    </row>
    <row r="258" spans="1:10" s="1160" customFormat="1">
      <c r="A258" s="1277">
        <v>240</v>
      </c>
      <c r="B258" s="1249">
        <v>500</v>
      </c>
      <c r="C258" s="1252">
        <v>400</v>
      </c>
      <c r="D258" s="1252"/>
      <c r="E258" s="1252"/>
      <c r="F258" s="1253"/>
      <c r="G258" s="1254" t="s">
        <v>3786</v>
      </c>
      <c r="H258" s="1206"/>
      <c r="I258" s="1206"/>
      <c r="J258" s="1173"/>
    </row>
    <row r="259" spans="1:10" s="1160" customFormat="1">
      <c r="A259" s="1277">
        <v>240</v>
      </c>
      <c r="B259" s="1249">
        <v>500</v>
      </c>
      <c r="C259" s="1252">
        <v>500</v>
      </c>
      <c r="D259" s="1252"/>
      <c r="E259" s="1252"/>
      <c r="F259" s="1253"/>
      <c r="G259" s="1254" t="s">
        <v>3787</v>
      </c>
      <c r="H259" s="1206"/>
      <c r="I259" s="1206"/>
      <c r="J259" s="1173"/>
    </row>
    <row r="260" spans="1:10" s="1160" customFormat="1">
      <c r="A260" s="1277">
        <v>240</v>
      </c>
      <c r="B260" s="1249">
        <v>500</v>
      </c>
      <c r="C260" s="1252">
        <v>600</v>
      </c>
      <c r="D260" s="1252"/>
      <c r="E260" s="1252"/>
      <c r="F260" s="1253"/>
      <c r="G260" s="1254" t="s">
        <v>3788</v>
      </c>
      <c r="H260" s="1206">
        <v>15773</v>
      </c>
      <c r="I260" s="1206"/>
      <c r="J260" s="1173"/>
    </row>
    <row r="261" spans="1:10" s="1160" customFormat="1">
      <c r="A261" s="1277">
        <v>240</v>
      </c>
      <c r="B261" s="1249">
        <v>500</v>
      </c>
      <c r="C261" s="1252">
        <v>700</v>
      </c>
      <c r="D261" s="1252"/>
      <c r="E261" s="1252"/>
      <c r="F261" s="1253"/>
      <c r="G261" s="1254" t="s">
        <v>3789</v>
      </c>
      <c r="H261" s="1206"/>
      <c r="I261" s="1206"/>
      <c r="J261" s="1173"/>
    </row>
    <row r="262" spans="1:10" s="1160" customFormat="1">
      <c r="A262" s="1277">
        <v>240</v>
      </c>
      <c r="B262" s="1249">
        <v>500</v>
      </c>
      <c r="C262" s="1252">
        <v>800</v>
      </c>
      <c r="D262" s="1252"/>
      <c r="E262" s="1252"/>
      <c r="F262" s="1253"/>
      <c r="G262" s="1254" t="s">
        <v>3790</v>
      </c>
      <c r="H262" s="1206"/>
      <c r="I262" s="1206"/>
      <c r="J262" s="1173"/>
    </row>
    <row r="263" spans="1:10" s="1160" customFormat="1">
      <c r="A263" s="1277">
        <v>240</v>
      </c>
      <c r="B263" s="1249">
        <v>500</v>
      </c>
      <c r="C263" s="1252">
        <v>900</v>
      </c>
      <c r="D263" s="1252"/>
      <c r="E263" s="1252"/>
      <c r="F263" s="1253"/>
      <c r="G263" s="1254" t="s">
        <v>3791</v>
      </c>
      <c r="H263" s="1206">
        <v>7304</v>
      </c>
      <c r="I263" s="1206"/>
      <c r="J263" s="1173"/>
    </row>
    <row r="264" spans="1:10" s="1160" customFormat="1">
      <c r="A264" s="1277">
        <v>240</v>
      </c>
      <c r="B264" s="1249">
        <v>550</v>
      </c>
      <c r="C264" s="1249"/>
      <c r="D264" s="1249"/>
      <c r="E264" s="1249"/>
      <c r="F264" s="1250"/>
      <c r="G264" s="1251" t="s">
        <v>3792</v>
      </c>
      <c r="H264" s="1207"/>
      <c r="I264" s="1207"/>
      <c r="J264" s="1173"/>
    </row>
    <row r="265" spans="1:10" s="1160" customFormat="1">
      <c r="A265" s="1277">
        <v>240</v>
      </c>
      <c r="B265" s="1249">
        <v>550</v>
      </c>
      <c r="C265" s="1252">
        <v>100</v>
      </c>
      <c r="D265" s="1252"/>
      <c r="E265" s="1252"/>
      <c r="F265" s="1253"/>
      <c r="G265" s="1213" t="s">
        <v>3793</v>
      </c>
      <c r="H265" s="1206"/>
      <c r="I265" s="1206"/>
      <c r="J265" s="1173" t="s">
        <v>3366</v>
      </c>
    </row>
    <row r="266" spans="1:10" s="1160" customFormat="1">
      <c r="A266" s="1277">
        <v>240</v>
      </c>
      <c r="B266" s="1249">
        <v>550</v>
      </c>
      <c r="C266" s="1249">
        <v>200</v>
      </c>
      <c r="D266" s="1249"/>
      <c r="E266" s="1249"/>
      <c r="F266" s="1250"/>
      <c r="G266" s="1251" t="s">
        <v>3794</v>
      </c>
      <c r="H266" s="1207"/>
      <c r="I266" s="1207"/>
      <c r="J266" s="1173" t="s">
        <v>3368</v>
      </c>
    </row>
    <row r="267" spans="1:10" s="1160" customFormat="1">
      <c r="A267" s="1277">
        <v>240</v>
      </c>
      <c r="B267" s="1249">
        <v>550</v>
      </c>
      <c r="C267" s="1249">
        <v>200</v>
      </c>
      <c r="D267" s="1252">
        <v>100</v>
      </c>
      <c r="E267" s="1252"/>
      <c r="F267" s="1253"/>
      <c r="G267" s="1254" t="s">
        <v>3795</v>
      </c>
      <c r="H267" s="1206">
        <v>770180</v>
      </c>
      <c r="I267" s="1206">
        <v>1424550</v>
      </c>
      <c r="J267" s="1173"/>
    </row>
    <row r="268" spans="1:10" s="1160" customFormat="1">
      <c r="A268" s="1277">
        <v>240</v>
      </c>
      <c r="B268" s="1249">
        <v>550</v>
      </c>
      <c r="C268" s="1249">
        <v>200</v>
      </c>
      <c r="D268" s="1252">
        <v>200</v>
      </c>
      <c r="E268" s="1252"/>
      <c r="F268" s="1253"/>
      <c r="G268" s="1254" t="s">
        <v>3796</v>
      </c>
      <c r="H268" s="1206">
        <v>1888043</v>
      </c>
      <c r="I268" s="1206">
        <v>2176448</v>
      </c>
      <c r="J268" s="1173"/>
    </row>
    <row r="269" spans="1:10" s="1160" customFormat="1">
      <c r="A269" s="1277">
        <v>240</v>
      </c>
      <c r="B269" s="1249">
        <v>550</v>
      </c>
      <c r="C269" s="1249">
        <v>300</v>
      </c>
      <c r="D269" s="1249"/>
      <c r="E269" s="1249"/>
      <c r="F269" s="1250"/>
      <c r="G269" s="1251" t="s">
        <v>3797</v>
      </c>
      <c r="H269" s="1207"/>
      <c r="I269" s="1207"/>
      <c r="J269" s="1173" t="s">
        <v>3370</v>
      </c>
    </row>
    <row r="270" spans="1:10" s="1160" customFormat="1">
      <c r="A270" s="1277">
        <v>240</v>
      </c>
      <c r="B270" s="1249">
        <v>550</v>
      </c>
      <c r="C270" s="1249">
        <v>300</v>
      </c>
      <c r="D270" s="1252">
        <v>100</v>
      </c>
      <c r="E270" s="1252"/>
      <c r="F270" s="1253"/>
      <c r="G270" s="1254" t="s">
        <v>3798</v>
      </c>
      <c r="H270" s="1220"/>
      <c r="I270" s="1220"/>
      <c r="J270" s="1191"/>
    </row>
    <row r="271" spans="1:10" s="1160" customFormat="1">
      <c r="A271" s="1277">
        <v>240</v>
      </c>
      <c r="B271" s="1249">
        <v>550</v>
      </c>
      <c r="C271" s="1249">
        <v>300</v>
      </c>
      <c r="D271" s="1252">
        <v>200</v>
      </c>
      <c r="E271" s="1252"/>
      <c r="F271" s="1253"/>
      <c r="G271" s="1254" t="s">
        <v>3799</v>
      </c>
      <c r="H271" s="1220"/>
      <c r="I271" s="1220"/>
      <c r="J271" s="1191"/>
    </row>
    <row r="272" spans="1:10" s="1160" customFormat="1">
      <c r="A272" s="1277">
        <v>240</v>
      </c>
      <c r="B272" s="1249">
        <v>550</v>
      </c>
      <c r="C272" s="1249">
        <v>400</v>
      </c>
      <c r="D272" s="1249"/>
      <c r="E272" s="1249"/>
      <c r="F272" s="1250"/>
      <c r="G272" s="1251" t="s">
        <v>3800</v>
      </c>
      <c r="H272" s="1207"/>
      <c r="I272" s="1207"/>
      <c r="J272" s="1173" t="s">
        <v>3372</v>
      </c>
    </row>
    <row r="273" spans="1:10" s="1160" customFormat="1">
      <c r="A273" s="1277">
        <v>240</v>
      </c>
      <c r="B273" s="1249">
        <v>550</v>
      </c>
      <c r="C273" s="1249">
        <v>400</v>
      </c>
      <c r="D273" s="1252">
        <v>50</v>
      </c>
      <c r="E273" s="1252"/>
      <c r="F273" s="1253"/>
      <c r="G273" s="1254" t="s">
        <v>3801</v>
      </c>
      <c r="H273" s="1248"/>
      <c r="I273" s="1248"/>
      <c r="J273" s="1209"/>
    </row>
    <row r="274" spans="1:10" s="1160" customFormat="1">
      <c r="A274" s="1277">
        <v>240</v>
      </c>
      <c r="B274" s="1249">
        <v>550</v>
      </c>
      <c r="C274" s="1249">
        <v>400</v>
      </c>
      <c r="D274" s="1252">
        <v>100</v>
      </c>
      <c r="E274" s="1252"/>
      <c r="F274" s="1253"/>
      <c r="G274" s="1254" t="s">
        <v>3802</v>
      </c>
      <c r="H274" s="1206"/>
      <c r="I274" s="1206"/>
      <c r="J274" s="1173"/>
    </row>
    <row r="275" spans="1:10" s="1160" customFormat="1">
      <c r="A275" s="1277">
        <v>240</v>
      </c>
      <c r="B275" s="1249">
        <v>550</v>
      </c>
      <c r="C275" s="1249">
        <v>400</v>
      </c>
      <c r="D275" s="1252">
        <v>150</v>
      </c>
      <c r="E275" s="1252"/>
      <c r="F275" s="1253"/>
      <c r="G275" s="1254" t="s">
        <v>3803</v>
      </c>
      <c r="H275" s="1206"/>
      <c r="I275" s="1206"/>
      <c r="J275" s="1173"/>
    </row>
    <row r="276" spans="1:10" s="1160" customFormat="1">
      <c r="A276" s="1277">
        <v>240</v>
      </c>
      <c r="B276" s="1249">
        <v>550</v>
      </c>
      <c r="C276" s="1249">
        <v>400</v>
      </c>
      <c r="D276" s="1252">
        <v>200</v>
      </c>
      <c r="E276" s="1252"/>
      <c r="F276" s="1253"/>
      <c r="G276" s="1254" t="s">
        <v>3804</v>
      </c>
      <c r="H276" s="1206">
        <v>2083</v>
      </c>
      <c r="I276" s="1206">
        <v>1632</v>
      </c>
      <c r="J276" s="1173"/>
    </row>
    <row r="277" spans="1:10" s="1160" customFormat="1">
      <c r="A277" s="1277">
        <v>240</v>
      </c>
      <c r="B277" s="1249">
        <v>550</v>
      </c>
      <c r="C277" s="1249">
        <v>400</v>
      </c>
      <c r="D277" s="1249">
        <v>250</v>
      </c>
      <c r="E277" s="1249"/>
      <c r="F277" s="1250"/>
      <c r="G277" s="1264" t="s">
        <v>3805</v>
      </c>
      <c r="H277" s="1207"/>
      <c r="I277" s="1207"/>
      <c r="J277" s="1173"/>
    </row>
    <row r="278" spans="1:10" s="1160" customFormat="1">
      <c r="A278" s="1277">
        <v>240</v>
      </c>
      <c r="B278" s="1249">
        <v>550</v>
      </c>
      <c r="C278" s="1249">
        <v>400</v>
      </c>
      <c r="D278" s="1249">
        <v>250</v>
      </c>
      <c r="E278" s="1252">
        <v>10</v>
      </c>
      <c r="F278" s="1253"/>
      <c r="G278" s="1254" t="s">
        <v>3805</v>
      </c>
      <c r="H278" s="1206"/>
      <c r="I278" s="1206"/>
      <c r="J278" s="1173"/>
    </row>
    <row r="279" spans="1:10" s="1160" customFormat="1">
      <c r="A279" s="1277">
        <v>240</v>
      </c>
      <c r="B279" s="1249">
        <v>550</v>
      </c>
      <c r="C279" s="1249">
        <v>400</v>
      </c>
      <c r="D279" s="1249">
        <v>250</v>
      </c>
      <c r="E279" s="1252">
        <v>20</v>
      </c>
      <c r="F279" s="1253"/>
      <c r="G279" s="1254" t="s">
        <v>3806</v>
      </c>
      <c r="H279" s="1206"/>
      <c r="I279" s="1206"/>
      <c r="J279" s="1173"/>
    </row>
    <row r="280" spans="1:10" s="1160" customFormat="1">
      <c r="A280" s="1277">
        <v>240</v>
      </c>
      <c r="B280" s="1249">
        <v>550</v>
      </c>
      <c r="C280" s="1249">
        <v>400</v>
      </c>
      <c r="D280" s="1252">
        <v>300</v>
      </c>
      <c r="E280" s="1252"/>
      <c r="F280" s="1253"/>
      <c r="G280" s="1254" t="s">
        <v>3807</v>
      </c>
      <c r="H280" s="1206"/>
      <c r="I280" s="1206"/>
      <c r="J280" s="1173"/>
    </row>
    <row r="281" spans="1:10" s="1160" customFormat="1">
      <c r="A281" s="1277">
        <v>240</v>
      </c>
      <c r="B281" s="1249">
        <v>550</v>
      </c>
      <c r="C281" s="1249">
        <v>400</v>
      </c>
      <c r="D281" s="1252">
        <v>350</v>
      </c>
      <c r="E281" s="1252"/>
      <c r="F281" s="1253"/>
      <c r="G281" s="1254" t="s">
        <v>3808</v>
      </c>
      <c r="H281" s="1206">
        <v>107220</v>
      </c>
      <c r="I281" s="1206">
        <v>38492</v>
      </c>
      <c r="J281" s="1173"/>
    </row>
    <row r="282" spans="1:10" s="1160" customFormat="1">
      <c r="A282" s="1277">
        <v>240</v>
      </c>
      <c r="B282" s="1249">
        <v>550</v>
      </c>
      <c r="C282" s="1249">
        <v>400</v>
      </c>
      <c r="D282" s="1252">
        <v>400</v>
      </c>
      <c r="E282" s="1252"/>
      <c r="F282" s="1253"/>
      <c r="G282" s="1254" t="s">
        <v>3809</v>
      </c>
      <c r="H282" s="1206"/>
      <c r="I282" s="1206"/>
      <c r="J282" s="1173"/>
    </row>
    <row r="283" spans="1:10" s="1160" customFormat="1">
      <c r="A283" s="1277">
        <v>240</v>
      </c>
      <c r="B283" s="1249">
        <v>550</v>
      </c>
      <c r="C283" s="1249">
        <v>400</v>
      </c>
      <c r="D283" s="1249">
        <v>450</v>
      </c>
      <c r="E283" s="1249"/>
      <c r="F283" s="1250"/>
      <c r="G283" s="1264" t="s">
        <v>3810</v>
      </c>
      <c r="H283" s="1207"/>
      <c r="I283" s="1207"/>
      <c r="J283" s="1173"/>
    </row>
    <row r="284" spans="1:10" s="1160" customFormat="1">
      <c r="A284" s="1277">
        <v>240</v>
      </c>
      <c r="B284" s="1249">
        <v>550</v>
      </c>
      <c r="C284" s="1249">
        <v>400</v>
      </c>
      <c r="D284" s="1249">
        <v>450</v>
      </c>
      <c r="E284" s="1252">
        <v>10</v>
      </c>
      <c r="F284" s="1253"/>
      <c r="G284" s="1254" t="s">
        <v>3810</v>
      </c>
      <c r="H284" s="1206"/>
      <c r="I284" s="1206"/>
      <c r="J284" s="1173"/>
    </row>
    <row r="285" spans="1:10" s="1160" customFormat="1">
      <c r="A285" s="1277">
        <v>240</v>
      </c>
      <c r="B285" s="1249">
        <v>550</v>
      </c>
      <c r="C285" s="1249">
        <v>400</v>
      </c>
      <c r="D285" s="1249">
        <v>450</v>
      </c>
      <c r="E285" s="1252">
        <v>20</v>
      </c>
      <c r="F285" s="1253"/>
      <c r="G285" s="1254" t="s">
        <v>3811</v>
      </c>
      <c r="H285" s="1206">
        <v>272930</v>
      </c>
      <c r="I285" s="1206">
        <v>357730</v>
      </c>
      <c r="J285" s="1173"/>
    </row>
    <row r="286" spans="1:10" s="1160" customFormat="1">
      <c r="A286" s="1277">
        <v>240</v>
      </c>
      <c r="B286" s="1249">
        <v>550</v>
      </c>
      <c r="C286" s="1249">
        <v>400</v>
      </c>
      <c r="D286" s="1252">
        <v>500</v>
      </c>
      <c r="E286" s="1252"/>
      <c r="F286" s="1253"/>
      <c r="G286" s="1254" t="s">
        <v>3812</v>
      </c>
      <c r="H286" s="1206">
        <v>525081</v>
      </c>
      <c r="I286" s="1206">
        <v>386369</v>
      </c>
      <c r="J286" s="1173"/>
    </row>
    <row r="287" spans="1:10" s="1160" customFormat="1">
      <c r="A287" s="1277">
        <v>240</v>
      </c>
      <c r="B287" s="1249">
        <v>550</v>
      </c>
      <c r="C287" s="1249">
        <v>400</v>
      </c>
      <c r="D287" s="1252">
        <v>600</v>
      </c>
      <c r="E287" s="1252"/>
      <c r="F287" s="1253"/>
      <c r="G287" s="1254" t="s">
        <v>2698</v>
      </c>
      <c r="H287" s="1206">
        <v>207419</v>
      </c>
      <c r="I287" s="1206">
        <v>141455</v>
      </c>
      <c r="J287" s="1173"/>
    </row>
    <row r="288" spans="1:10" s="1160" customFormat="1">
      <c r="A288" s="1277">
        <v>240</v>
      </c>
      <c r="B288" s="1249">
        <v>550</v>
      </c>
      <c r="C288" s="1249">
        <v>400</v>
      </c>
      <c r="D288" s="1249">
        <v>700</v>
      </c>
      <c r="E288" s="1249"/>
      <c r="F288" s="1250"/>
      <c r="G288" s="1264" t="s">
        <v>3813</v>
      </c>
      <c r="H288" s="1207"/>
      <c r="I288" s="1207"/>
      <c r="J288" s="1173"/>
    </row>
    <row r="289" spans="1:10" s="1160" customFormat="1">
      <c r="A289" s="1277">
        <v>240</v>
      </c>
      <c r="B289" s="1249">
        <v>550</v>
      </c>
      <c r="C289" s="1249">
        <v>400</v>
      </c>
      <c r="D289" s="1249">
        <v>700</v>
      </c>
      <c r="E289" s="1252">
        <v>10</v>
      </c>
      <c r="F289" s="1253"/>
      <c r="G289" s="1254" t="s">
        <v>3719</v>
      </c>
      <c r="H289" s="1206"/>
      <c r="I289" s="1206"/>
      <c r="J289" s="1173"/>
    </row>
    <row r="290" spans="1:10" s="1160" customFormat="1">
      <c r="A290" s="1277">
        <v>240</v>
      </c>
      <c r="B290" s="1249">
        <v>550</v>
      </c>
      <c r="C290" s="1249">
        <v>400</v>
      </c>
      <c r="D290" s="1249">
        <v>700</v>
      </c>
      <c r="E290" s="1252">
        <v>20</v>
      </c>
      <c r="F290" s="1253"/>
      <c r="G290" s="1254" t="s">
        <v>3813</v>
      </c>
      <c r="H290" s="1206">
        <v>22956</v>
      </c>
      <c r="I290" s="1206">
        <v>21465</v>
      </c>
      <c r="J290" s="1173"/>
    </row>
    <row r="291" spans="1:10" s="1160" customFormat="1">
      <c r="A291" s="1277">
        <v>240</v>
      </c>
      <c r="B291" s="1249">
        <v>550</v>
      </c>
      <c r="C291" s="1249">
        <v>400</v>
      </c>
      <c r="D291" s="1252">
        <v>800</v>
      </c>
      <c r="E291" s="1252"/>
      <c r="F291" s="1253"/>
      <c r="G291" s="1254" t="s">
        <v>3720</v>
      </c>
      <c r="H291" s="1206">
        <v>732</v>
      </c>
      <c r="I291" s="1206">
        <v>732</v>
      </c>
      <c r="J291" s="1173"/>
    </row>
    <row r="292" spans="1:10" s="1160" customFormat="1">
      <c r="A292" s="1277">
        <v>240</v>
      </c>
      <c r="B292" s="1249">
        <v>550</v>
      </c>
      <c r="C292" s="1249">
        <v>400</v>
      </c>
      <c r="D292" s="1252">
        <v>900</v>
      </c>
      <c r="E292" s="1252"/>
      <c r="F292" s="1253"/>
      <c r="G292" s="1254" t="s">
        <v>3721</v>
      </c>
      <c r="H292" s="1206"/>
      <c r="I292" s="1206"/>
      <c r="J292" s="1173"/>
    </row>
    <row r="293" spans="1:10" s="1160" customFormat="1">
      <c r="A293" s="1269">
        <v>250</v>
      </c>
      <c r="B293" s="1270">
        <v>0</v>
      </c>
      <c r="C293" s="1270">
        <v>0</v>
      </c>
      <c r="D293" s="1270">
        <v>0</v>
      </c>
      <c r="E293" s="1270">
        <v>0</v>
      </c>
      <c r="F293" s="1271">
        <v>0</v>
      </c>
      <c r="G293" s="1272" t="s">
        <v>2756</v>
      </c>
      <c r="H293" s="1263"/>
      <c r="I293" s="1263"/>
      <c r="J293" s="1197"/>
    </row>
    <row r="294" spans="1:10" s="1160" customFormat="1">
      <c r="A294" s="1277">
        <v>250</v>
      </c>
      <c r="B294" s="1249">
        <v>100</v>
      </c>
      <c r="C294" s="1249"/>
      <c r="D294" s="1249"/>
      <c r="E294" s="1249"/>
      <c r="F294" s="1250"/>
      <c r="G294" s="1251" t="s">
        <v>3814</v>
      </c>
      <c r="H294" s="1207"/>
      <c r="I294" s="1207"/>
      <c r="J294" s="1173"/>
    </row>
    <row r="295" spans="1:10" s="1160" customFormat="1">
      <c r="A295" s="1277">
        <v>250</v>
      </c>
      <c r="B295" s="1249">
        <v>100</v>
      </c>
      <c r="C295" s="1252">
        <v>100</v>
      </c>
      <c r="D295" s="1252"/>
      <c r="E295" s="1252"/>
      <c r="F295" s="1253"/>
      <c r="G295" s="1213" t="s">
        <v>2757</v>
      </c>
      <c r="H295" s="1206">
        <v>9196</v>
      </c>
      <c r="I295" s="1206">
        <v>9279</v>
      </c>
      <c r="J295" s="1173" t="s">
        <v>3378</v>
      </c>
    </row>
    <row r="296" spans="1:10" s="1160" customFormat="1">
      <c r="A296" s="1277">
        <v>250</v>
      </c>
      <c r="B296" s="1249">
        <v>100</v>
      </c>
      <c r="C296" s="1252">
        <v>200</v>
      </c>
      <c r="D296" s="1252"/>
      <c r="E296" s="1252"/>
      <c r="F296" s="1253"/>
      <c r="G296" s="1213" t="s">
        <v>3815</v>
      </c>
      <c r="H296" s="1206">
        <v>29</v>
      </c>
      <c r="I296" s="1206"/>
      <c r="J296" s="1173" t="s">
        <v>3380</v>
      </c>
    </row>
    <row r="297" spans="1:10" s="1167" customFormat="1">
      <c r="A297" s="1277">
        <v>250</v>
      </c>
      <c r="B297" s="1249">
        <v>200</v>
      </c>
      <c r="C297" s="1252"/>
      <c r="D297" s="1252"/>
      <c r="E297" s="1252"/>
      <c r="F297" s="1253"/>
      <c r="G297" s="1251" t="s">
        <v>3816</v>
      </c>
      <c r="H297" s="1207"/>
      <c r="I297" s="1207"/>
      <c r="J297" s="1173"/>
    </row>
    <row r="298" spans="1:10" s="1160" customFormat="1">
      <c r="A298" s="1277">
        <v>250</v>
      </c>
      <c r="B298" s="1249">
        <v>200</v>
      </c>
      <c r="C298" s="1252">
        <v>100</v>
      </c>
      <c r="D298" s="1252"/>
      <c r="E298" s="1252"/>
      <c r="F298" s="1253"/>
      <c r="G298" s="1213" t="s">
        <v>2758</v>
      </c>
      <c r="H298" s="1206"/>
      <c r="I298" s="1206"/>
      <c r="J298" s="1173" t="s">
        <v>3384</v>
      </c>
    </row>
    <row r="299" spans="1:10" s="1160" customFormat="1">
      <c r="A299" s="1282">
        <v>250</v>
      </c>
      <c r="B299" s="1273">
        <v>200</v>
      </c>
      <c r="C299" s="1256">
        <v>200</v>
      </c>
      <c r="D299" s="1256"/>
      <c r="E299" s="1256"/>
      <c r="F299" s="1283"/>
      <c r="G299" s="1258" t="s">
        <v>3817</v>
      </c>
      <c r="H299" s="1220"/>
      <c r="I299" s="1220">
        <v>11</v>
      </c>
      <c r="J299" s="1191" t="s">
        <v>3386</v>
      </c>
    </row>
    <row r="300" spans="1:10" s="1160" customFormat="1" ht="39.6">
      <c r="A300" s="1282">
        <v>250</v>
      </c>
      <c r="B300" s="1273">
        <v>200</v>
      </c>
      <c r="C300" s="1256">
        <v>300</v>
      </c>
      <c r="D300" s="1256"/>
      <c r="E300" s="1256"/>
      <c r="F300" s="1257"/>
      <c r="G300" s="1258" t="s">
        <v>3818</v>
      </c>
      <c r="H300" s="1220"/>
      <c r="I300" s="1220"/>
      <c r="J300" s="1191" t="s">
        <v>3388</v>
      </c>
    </row>
    <row r="301" spans="1:10" s="1160" customFormat="1">
      <c r="A301" s="1284">
        <v>280</v>
      </c>
      <c r="B301" s="1285">
        <v>0</v>
      </c>
      <c r="C301" s="1285">
        <v>0</v>
      </c>
      <c r="D301" s="1285">
        <v>0</v>
      </c>
      <c r="E301" s="1285">
        <v>0</v>
      </c>
      <c r="F301" s="1286">
        <v>0</v>
      </c>
      <c r="G301" s="1287" t="s">
        <v>3819</v>
      </c>
      <c r="H301" s="1288">
        <f>SUM(H4:H300)</f>
        <v>137508604</v>
      </c>
      <c r="I301" s="1288">
        <f>SUM(I4:I300)</f>
        <v>121977866</v>
      </c>
      <c r="J301" s="1289" t="s">
        <v>3390</v>
      </c>
    </row>
    <row r="302" spans="1:10" s="1160" customFormat="1">
      <c r="A302" s="1259">
        <v>290</v>
      </c>
      <c r="B302" s="1260">
        <v>0</v>
      </c>
      <c r="C302" s="1260">
        <v>0</v>
      </c>
      <c r="D302" s="1260">
        <v>0</v>
      </c>
      <c r="E302" s="1260">
        <v>0</v>
      </c>
      <c r="F302" s="1261">
        <v>0</v>
      </c>
      <c r="G302" s="1262" t="s">
        <v>3820</v>
      </c>
      <c r="H302" s="1263"/>
      <c r="I302" s="1263"/>
      <c r="J302" s="1197"/>
    </row>
    <row r="303" spans="1:10" s="1160" customFormat="1">
      <c r="A303" s="1277">
        <v>290</v>
      </c>
      <c r="B303" s="1252">
        <v>100</v>
      </c>
      <c r="C303" s="1252"/>
      <c r="D303" s="1252"/>
      <c r="E303" s="1252"/>
      <c r="F303" s="1253"/>
      <c r="G303" s="1254" t="s">
        <v>3821</v>
      </c>
      <c r="H303" s="1206"/>
      <c r="I303" s="1206"/>
      <c r="J303" s="1290"/>
    </row>
    <row r="304" spans="1:10" s="1160" customFormat="1">
      <c r="A304" s="1277">
        <v>290</v>
      </c>
      <c r="B304" s="1252">
        <v>200</v>
      </c>
      <c r="C304" s="1252"/>
      <c r="D304" s="1252"/>
      <c r="E304" s="1252"/>
      <c r="F304" s="1253"/>
      <c r="G304" s="1254" t="s">
        <v>3822</v>
      </c>
      <c r="H304" s="1206"/>
      <c r="I304" s="1206"/>
      <c r="J304" s="1290"/>
    </row>
    <row r="305" spans="1:10" s="1160" customFormat="1">
      <c r="A305" s="1277">
        <v>290</v>
      </c>
      <c r="B305" s="1252">
        <v>300</v>
      </c>
      <c r="C305" s="1252"/>
      <c r="D305" s="1252"/>
      <c r="E305" s="1252"/>
      <c r="F305" s="1253"/>
      <c r="G305" s="1254" t="s">
        <v>3823</v>
      </c>
      <c r="H305" s="1206"/>
      <c r="I305" s="1206"/>
      <c r="J305" s="1290"/>
    </row>
    <row r="306" spans="1:10" s="1167" customFormat="1">
      <c r="A306" s="1269">
        <v>295</v>
      </c>
      <c r="B306" s="1270">
        <v>0</v>
      </c>
      <c r="C306" s="1270">
        <v>0</v>
      </c>
      <c r="D306" s="1270">
        <v>0</v>
      </c>
      <c r="E306" s="1270">
        <v>0</v>
      </c>
      <c r="F306" s="1271">
        <v>0</v>
      </c>
      <c r="G306" s="1272" t="s">
        <v>2695</v>
      </c>
      <c r="H306" s="1263"/>
      <c r="I306" s="1263"/>
      <c r="J306" s="1197"/>
    </row>
    <row r="307" spans="1:10" s="1160" customFormat="1">
      <c r="A307" s="1277">
        <v>295</v>
      </c>
      <c r="B307" s="1252">
        <v>100</v>
      </c>
      <c r="C307" s="1252"/>
      <c r="D307" s="1252"/>
      <c r="E307" s="1252"/>
      <c r="F307" s="1253"/>
      <c r="G307" s="1213" t="s">
        <v>3553</v>
      </c>
      <c r="H307" s="1206">
        <v>42910</v>
      </c>
      <c r="I307" s="1206"/>
      <c r="J307" s="1173" t="s">
        <v>3394</v>
      </c>
    </row>
    <row r="308" spans="1:10" s="1160" customFormat="1">
      <c r="A308" s="1277">
        <v>295</v>
      </c>
      <c r="B308" s="1252">
        <v>200</v>
      </c>
      <c r="C308" s="1252"/>
      <c r="D308" s="1252"/>
      <c r="E308" s="1252"/>
      <c r="F308" s="1253"/>
      <c r="G308" s="1213" t="s">
        <v>3554</v>
      </c>
      <c r="H308" s="1206"/>
      <c r="I308" s="1206"/>
      <c r="J308" s="1173" t="s">
        <v>3396</v>
      </c>
    </row>
    <row r="309" spans="1:10" s="1160" customFormat="1">
      <c r="A309" s="1277">
        <v>295</v>
      </c>
      <c r="B309" s="1252">
        <v>300</v>
      </c>
      <c r="C309" s="1252"/>
      <c r="D309" s="1252"/>
      <c r="E309" s="1252"/>
      <c r="F309" s="1253"/>
      <c r="G309" s="1213" t="s">
        <v>3555</v>
      </c>
      <c r="H309" s="1206"/>
      <c r="I309" s="1206"/>
      <c r="J309" s="1173" t="s">
        <v>3398</v>
      </c>
    </row>
    <row r="310" spans="1:10" s="1167" customFormat="1">
      <c r="A310" s="1277">
        <v>295</v>
      </c>
      <c r="B310" s="1252">
        <v>350</v>
      </c>
      <c r="C310" s="1252"/>
      <c r="D310" s="1252"/>
      <c r="E310" s="1252"/>
      <c r="F310" s="1253"/>
      <c r="G310" s="1213" t="s">
        <v>3556</v>
      </c>
      <c r="H310" s="1206"/>
      <c r="I310" s="1206"/>
      <c r="J310" s="1173" t="s">
        <v>3400</v>
      </c>
    </row>
    <row r="311" spans="1:10" s="1160" customFormat="1">
      <c r="A311" s="1277">
        <v>295</v>
      </c>
      <c r="B311" s="1249">
        <v>400</v>
      </c>
      <c r="C311" s="1249"/>
      <c r="D311" s="1249"/>
      <c r="E311" s="1249"/>
      <c r="F311" s="1250"/>
      <c r="G311" s="1251" t="s">
        <v>3557</v>
      </c>
      <c r="H311" s="1207"/>
      <c r="I311" s="1207"/>
      <c r="J311" s="1173" t="s">
        <v>3402</v>
      </c>
    </row>
    <row r="312" spans="1:10" s="1160" customFormat="1">
      <c r="A312" s="1277">
        <v>295</v>
      </c>
      <c r="B312" s="1249">
        <v>400</v>
      </c>
      <c r="C312" s="1252">
        <v>100</v>
      </c>
      <c r="D312" s="1252"/>
      <c r="E312" s="1252"/>
      <c r="F312" s="1253"/>
      <c r="G312" s="1254" t="s">
        <v>3558</v>
      </c>
      <c r="H312" s="1206"/>
      <c r="I312" s="1206"/>
      <c r="J312" s="1173"/>
    </row>
    <row r="313" spans="1:10" s="1160" customFormat="1">
      <c r="A313" s="1277">
        <v>295</v>
      </c>
      <c r="B313" s="1249">
        <v>400</v>
      </c>
      <c r="C313" s="1252">
        <v>200</v>
      </c>
      <c r="D313" s="1252"/>
      <c r="E313" s="1252"/>
      <c r="F313" s="1253"/>
      <c r="G313" s="1254" t="s">
        <v>2698</v>
      </c>
      <c r="H313" s="1206"/>
      <c r="I313" s="1206"/>
      <c r="J313" s="1291"/>
    </row>
    <row r="314" spans="1:10" s="1160" customFormat="1">
      <c r="A314" s="1277">
        <v>295</v>
      </c>
      <c r="B314" s="1249">
        <v>400</v>
      </c>
      <c r="C314" s="1252">
        <v>300</v>
      </c>
      <c r="D314" s="1252"/>
      <c r="E314" s="1252"/>
      <c r="F314" s="1253"/>
      <c r="G314" s="1254" t="s">
        <v>3559</v>
      </c>
      <c r="H314" s="1206">
        <v>2782163</v>
      </c>
      <c r="I314" s="1206">
        <v>2782163</v>
      </c>
      <c r="J314" s="1291"/>
    </row>
    <row r="315" spans="1:10" s="1160" customFormat="1">
      <c r="A315" s="1277">
        <v>295</v>
      </c>
      <c r="B315" s="1249">
        <v>400</v>
      </c>
      <c r="C315" s="1252">
        <v>400</v>
      </c>
      <c r="D315" s="1252"/>
      <c r="E315" s="1252"/>
      <c r="F315" s="1253"/>
      <c r="G315" s="1254" t="s">
        <v>3560</v>
      </c>
      <c r="H315" s="1206"/>
      <c r="I315" s="1206"/>
      <c r="J315" s="1291"/>
    </row>
    <row r="316" spans="1:10" s="1160" customFormat="1">
      <c r="A316" s="1277">
        <v>295</v>
      </c>
      <c r="B316" s="1249">
        <v>400</v>
      </c>
      <c r="C316" s="1252">
        <v>500</v>
      </c>
      <c r="D316" s="1252"/>
      <c r="E316" s="1252"/>
      <c r="F316" s="1253"/>
      <c r="G316" s="1254" t="s">
        <v>3561</v>
      </c>
      <c r="H316" s="1206"/>
      <c r="I316" s="1206"/>
      <c r="J316" s="1291"/>
    </row>
    <row r="317" spans="1:10" s="1160" customFormat="1">
      <c r="A317" s="1277">
        <v>295</v>
      </c>
      <c r="B317" s="1249">
        <v>400</v>
      </c>
      <c r="C317" s="1252">
        <v>600</v>
      </c>
      <c r="D317" s="1252"/>
      <c r="E317" s="1252"/>
      <c r="F317" s="1253"/>
      <c r="G317" s="1254" t="s">
        <v>3562</v>
      </c>
      <c r="H317" s="1206"/>
      <c r="I317" s="1206"/>
      <c r="J317" s="1291"/>
    </row>
    <row r="318" spans="1:10" s="1160" customFormat="1" ht="13.8" thickBot="1">
      <c r="A318" s="1292">
        <v>295</v>
      </c>
      <c r="B318" s="1293">
        <v>400</v>
      </c>
      <c r="C318" s="1294">
        <v>900</v>
      </c>
      <c r="D318" s="1294"/>
      <c r="E318" s="1294"/>
      <c r="F318" s="1295"/>
      <c r="G318" s="1296" t="s">
        <v>3563</v>
      </c>
      <c r="H318" s="1233"/>
      <c r="I318" s="1233"/>
      <c r="J318" s="1297"/>
    </row>
    <row r="319" spans="1:10" s="1160" customFormat="1">
      <c r="A319" s="1298"/>
      <c r="B319" s="1298"/>
      <c r="H319" s="1299"/>
      <c r="I319" s="1299"/>
    </row>
    <row r="320" spans="1:10" s="1160" customFormat="1">
      <c r="A320" s="1300"/>
      <c r="B320" s="1300"/>
      <c r="C320" s="1300"/>
      <c r="D320" s="1300"/>
      <c r="E320" s="1300"/>
      <c r="F320" s="1300"/>
      <c r="G320" s="1300"/>
      <c r="H320" s="1301"/>
      <c r="I320" s="1301"/>
      <c r="J320" s="1300"/>
    </row>
    <row r="321" spans="1:10" s="1160" customFormat="1">
      <c r="A321" s="1298"/>
      <c r="B321" s="1298"/>
      <c r="H321" s="151"/>
      <c r="I321" s="151"/>
    </row>
    <row r="322" spans="1:10" s="1160" customFormat="1">
      <c r="A322" s="1298"/>
      <c r="H322" s="151"/>
      <c r="I322" s="151"/>
    </row>
    <row r="323" spans="1:10" s="1160" customFormat="1">
      <c r="A323" s="1300"/>
      <c r="B323" s="1300"/>
      <c r="C323" s="1300"/>
      <c r="D323" s="1300"/>
      <c r="E323" s="1300"/>
      <c r="F323" s="1300"/>
      <c r="G323" s="1300"/>
      <c r="H323" s="1301"/>
      <c r="I323" s="1301"/>
      <c r="J323" s="1300"/>
    </row>
    <row r="325" spans="1:10" s="1160" customFormat="1">
      <c r="A325" s="1300"/>
      <c r="B325" s="1300"/>
      <c r="C325" s="1300"/>
      <c r="D325" s="1300"/>
      <c r="E325" s="1300"/>
      <c r="F325" s="1300"/>
      <c r="G325" s="1300"/>
      <c r="H325" s="1301"/>
      <c r="I325" s="1301"/>
      <c r="J325" s="1300"/>
    </row>
    <row r="326" spans="1:10" s="1160" customFormat="1">
      <c r="A326" s="1300"/>
      <c r="B326" s="1300"/>
      <c r="C326" s="1300"/>
      <c r="D326" s="1300"/>
      <c r="E326" s="1300"/>
      <c r="F326" s="1300"/>
      <c r="G326" s="1300"/>
      <c r="H326" s="1301"/>
      <c r="I326" s="1301"/>
      <c r="J326" s="1300"/>
    </row>
  </sheetData>
  <mergeCells count="5">
    <mergeCell ref="A1:F1"/>
    <mergeCell ref="G1:G2"/>
    <mergeCell ref="H1:H2"/>
    <mergeCell ref="I1:I2"/>
    <mergeCell ref="J1:J2"/>
  </mergeCells>
  <printOptions horizontalCentered="1"/>
  <pageMargins left="0.59055118110236227" right="0.23622047244094491" top="0.51181102362204722" bottom="0.39370078740157483" header="0.31496062992125984" footer="0.15748031496062992"/>
  <pageSetup paperSize="9" scale="6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03"/>
  <sheetViews>
    <sheetView zoomScaleNormal="100" workbookViewId="0">
      <pane xSplit="1" ySplit="2" topLeftCell="B12" activePane="bottomRight" state="frozen"/>
      <selection activeCell="G22" sqref="G22"/>
      <selection pane="topRight" activeCell="G22" sqref="G22"/>
      <selection pane="bottomLeft" activeCell="G22" sqref="G22"/>
      <selection pane="bottomRight" activeCell="G22" sqref="G22"/>
    </sheetView>
  </sheetViews>
  <sheetFormatPr defaultColWidth="9.109375" defaultRowHeight="13.8"/>
  <cols>
    <col min="1" max="1" width="20.6640625" style="512" customWidth="1"/>
    <col min="2" max="2" width="14.44140625" style="510" customWidth="1"/>
    <col min="3" max="3" width="14.88671875" style="509" customWidth="1"/>
    <col min="4" max="4" width="17" style="509" customWidth="1"/>
    <col min="5" max="5" width="14.44140625" style="509" customWidth="1"/>
    <col min="6" max="6" width="14.6640625" style="509" customWidth="1"/>
    <col min="7" max="8" width="12.88671875" style="509" customWidth="1"/>
    <col min="9" max="9" width="13.33203125" style="509" customWidth="1"/>
    <col min="10" max="10" width="13.88671875" style="509" customWidth="1"/>
    <col min="11" max="11" width="18.33203125" style="509" customWidth="1"/>
    <col min="12" max="12" width="15" style="509" customWidth="1"/>
    <col min="13" max="13" width="12.88671875" style="509" bestFit="1" customWidth="1"/>
    <col min="14" max="14" width="17.88671875" style="509" customWidth="1"/>
    <col min="15" max="15" width="14" style="509" customWidth="1"/>
    <col min="16" max="16" width="16.44140625" style="509" customWidth="1"/>
    <col min="17" max="17" width="12.88671875" style="509" customWidth="1"/>
    <col min="18" max="18" width="14.6640625" style="509" customWidth="1"/>
    <col min="19" max="24" width="15.6640625" style="509" customWidth="1"/>
    <col min="25" max="25" width="10.88671875" style="509" customWidth="1"/>
    <col min="26" max="16384" width="9.109375" style="509"/>
  </cols>
  <sheetData>
    <row r="1" spans="1:16">
      <c r="B1" s="540"/>
      <c r="C1" s="1483" t="s">
        <v>2308</v>
      </c>
      <c r="D1" s="1484"/>
      <c r="E1" s="1484"/>
      <c r="F1" s="541"/>
      <c r="G1" s="542"/>
      <c r="H1" s="514"/>
    </row>
    <row r="2" spans="1:16" s="514" customFormat="1">
      <c r="B2" s="543" t="s">
        <v>2309</v>
      </c>
      <c r="C2" s="544">
        <v>2014</v>
      </c>
      <c r="D2" s="544" t="s">
        <v>2310</v>
      </c>
      <c r="E2" s="544" t="s">
        <v>2311</v>
      </c>
      <c r="F2" s="544" t="s">
        <v>2312</v>
      </c>
      <c r="G2" s="544" t="s">
        <v>2313</v>
      </c>
      <c r="H2" s="544" t="s">
        <v>2314</v>
      </c>
      <c r="I2" s="544" t="s">
        <v>2315</v>
      </c>
      <c r="J2" s="544" t="s">
        <v>2316</v>
      </c>
      <c r="K2" s="544" t="s">
        <v>2317</v>
      </c>
      <c r="L2" s="512"/>
    </row>
    <row r="3" spans="1:16" s="514" customFormat="1">
      <c r="A3" s="545" t="s">
        <v>2318</v>
      </c>
      <c r="B3" s="546"/>
      <c r="C3" s="546"/>
      <c r="D3" s="546"/>
      <c r="E3" s="546"/>
      <c r="F3" s="546">
        <f>683201.83+58588.17+216646.26</f>
        <v>958436.26</v>
      </c>
      <c r="G3" s="546"/>
      <c r="H3" s="546"/>
      <c r="I3" s="546"/>
      <c r="J3" s="546"/>
      <c r="K3" s="547">
        <f t="shared" ref="K3:K24" si="0">SUM(B3:J3)</f>
        <v>958436.26</v>
      </c>
      <c r="L3" s="546">
        <v>772420.48</v>
      </c>
    </row>
    <row r="4" spans="1:16" s="514" customFormat="1">
      <c r="A4" s="545" t="s">
        <v>2319</v>
      </c>
      <c r="B4" s="548"/>
      <c r="C4" s="544"/>
      <c r="D4" s="544"/>
      <c r="E4" s="544"/>
      <c r="F4" s="544"/>
      <c r="G4" s="544"/>
      <c r="H4" s="544"/>
      <c r="I4" s="544"/>
      <c r="J4" s="544"/>
      <c r="K4" s="546">
        <f t="shared" si="0"/>
        <v>0</v>
      </c>
      <c r="L4" s="512"/>
    </row>
    <row r="5" spans="1:16">
      <c r="A5" s="545" t="s">
        <v>2185</v>
      </c>
      <c r="B5" s="546">
        <v>120000</v>
      </c>
      <c r="C5" s="546"/>
      <c r="D5" s="546">
        <v>50000</v>
      </c>
      <c r="E5" s="546"/>
      <c r="F5" s="546">
        <v>16000</v>
      </c>
      <c r="G5" s="546">
        <v>2500</v>
      </c>
      <c r="H5" s="546">
        <v>2000</v>
      </c>
      <c r="I5" s="546">
        <v>1000</v>
      </c>
      <c r="J5" s="546"/>
      <c r="K5" s="547">
        <f t="shared" si="0"/>
        <v>191500</v>
      </c>
      <c r="L5" s="517"/>
      <c r="M5" s="1485" t="s">
        <v>2320</v>
      </c>
      <c r="N5" s="1486"/>
      <c r="O5" s="1486"/>
      <c r="P5" s="1487"/>
    </row>
    <row r="6" spans="1:16">
      <c r="A6" s="545" t="s">
        <v>2188</v>
      </c>
      <c r="B6" s="546">
        <v>60000</v>
      </c>
      <c r="C6" s="546"/>
      <c r="D6" s="546"/>
      <c r="E6" s="546"/>
      <c r="F6" s="546">
        <v>46000</v>
      </c>
      <c r="G6" s="546"/>
      <c r="H6" s="546">
        <v>9500</v>
      </c>
      <c r="I6" s="546"/>
      <c r="J6" s="546"/>
      <c r="K6" s="547">
        <f t="shared" si="0"/>
        <v>115500</v>
      </c>
      <c r="L6" s="517"/>
      <c r="M6" s="549"/>
      <c r="N6" s="550"/>
      <c r="O6" s="550"/>
      <c r="P6" s="551"/>
    </row>
    <row r="7" spans="1:16">
      <c r="A7" s="545" t="s">
        <v>2321</v>
      </c>
      <c r="B7" s="546">
        <f>480000-85000</f>
        <v>395000</v>
      </c>
      <c r="C7" s="546"/>
      <c r="D7" s="546">
        <v>110000</v>
      </c>
      <c r="E7" s="546"/>
      <c r="F7" s="546">
        <v>155693.4</v>
      </c>
      <c r="G7" s="546">
        <v>22000</v>
      </c>
      <c r="H7" s="546">
        <v>23000</v>
      </c>
      <c r="I7" s="546">
        <v>48000</v>
      </c>
      <c r="J7" s="546"/>
      <c r="K7" s="547">
        <f t="shared" si="0"/>
        <v>753693.4</v>
      </c>
      <c r="L7" s="517"/>
      <c r="M7" s="549"/>
      <c r="N7" s="550" t="s">
        <v>2322</v>
      </c>
      <c r="O7" s="550" t="s">
        <v>2323</v>
      </c>
      <c r="P7" s="551"/>
    </row>
    <row r="8" spans="1:16">
      <c r="A8" s="545" t="s">
        <v>2324</v>
      </c>
      <c r="B8" s="546"/>
      <c r="C8" s="546"/>
      <c r="D8" s="546"/>
      <c r="E8" s="546"/>
      <c r="F8" s="546"/>
      <c r="G8" s="546"/>
      <c r="H8" s="546"/>
      <c r="I8" s="546">
        <v>1000</v>
      </c>
      <c r="J8" s="546"/>
      <c r="K8" s="547">
        <f t="shared" si="0"/>
        <v>1000</v>
      </c>
      <c r="L8" s="517"/>
      <c r="M8" s="549"/>
      <c r="N8" s="550"/>
      <c r="O8" s="550"/>
      <c r="P8" s="551"/>
    </row>
    <row r="9" spans="1:16">
      <c r="A9" s="545" t="s">
        <v>2325</v>
      </c>
      <c r="B9" s="546">
        <v>50000</v>
      </c>
      <c r="C9" s="546">
        <v>10000</v>
      </c>
      <c r="D9" s="546">
        <v>22400</v>
      </c>
      <c r="E9" s="546"/>
      <c r="F9" s="546">
        <v>28500</v>
      </c>
      <c r="G9" s="546">
        <v>3000</v>
      </c>
      <c r="H9" s="546"/>
      <c r="I9" s="546"/>
      <c r="J9" s="546"/>
      <c r="K9" s="547">
        <f t="shared" si="0"/>
        <v>113900</v>
      </c>
      <c r="L9" s="517"/>
      <c r="M9" s="552" t="s">
        <v>2326</v>
      </c>
      <c r="N9" s="553">
        <v>3376729.26</v>
      </c>
      <c r="O9" s="554"/>
      <c r="P9" s="555"/>
    </row>
    <row r="10" spans="1:16">
      <c r="A10" s="545" t="s">
        <v>2327</v>
      </c>
      <c r="B10" s="546"/>
      <c r="C10" s="546"/>
      <c r="D10" s="546"/>
      <c r="E10" s="546"/>
      <c r="F10" s="546"/>
      <c r="G10" s="546"/>
      <c r="H10" s="546"/>
      <c r="I10" s="546">
        <v>500</v>
      </c>
      <c r="J10" s="546"/>
      <c r="K10" s="547">
        <f t="shared" si="0"/>
        <v>500</v>
      </c>
      <c r="L10" s="517"/>
      <c r="M10" s="556" t="s">
        <v>2328</v>
      </c>
      <c r="N10" s="557">
        <v>123120</v>
      </c>
      <c r="O10" s="557"/>
      <c r="P10" s="555"/>
    </row>
    <row r="11" spans="1:16">
      <c r="A11" s="545" t="s">
        <v>2329</v>
      </c>
      <c r="B11" s="546">
        <v>260000</v>
      </c>
      <c r="C11" s="546">
        <v>3000</v>
      </c>
      <c r="D11" s="546">
        <v>15000</v>
      </c>
      <c r="E11" s="546"/>
      <c r="F11" s="546">
        <v>38000</v>
      </c>
      <c r="G11" s="546">
        <v>133840</v>
      </c>
      <c r="H11" s="546">
        <v>45250</v>
      </c>
      <c r="I11" s="546">
        <v>11500</v>
      </c>
      <c r="J11" s="546"/>
      <c r="K11" s="547">
        <f t="shared" si="0"/>
        <v>506590</v>
      </c>
      <c r="L11" s="517"/>
      <c r="M11" s="549" t="s">
        <v>2330</v>
      </c>
      <c r="N11" s="550">
        <v>30000</v>
      </c>
      <c r="O11" s="550"/>
      <c r="P11" s="551"/>
    </row>
    <row r="12" spans="1:16">
      <c r="A12" s="545" t="s">
        <v>2331</v>
      </c>
      <c r="B12" s="546"/>
      <c r="C12" s="546">
        <v>144500</v>
      </c>
      <c r="D12" s="546"/>
      <c r="E12" s="546"/>
      <c r="F12" s="546"/>
      <c r="G12" s="546"/>
      <c r="H12" s="546">
        <v>20500</v>
      </c>
      <c r="I12" s="546"/>
      <c r="J12" s="546"/>
      <c r="K12" s="547">
        <f t="shared" si="0"/>
        <v>165000</v>
      </c>
      <c r="L12" s="517"/>
      <c r="M12" s="549" t="s">
        <v>2332</v>
      </c>
      <c r="N12" s="558">
        <v>153346.70000000001</v>
      </c>
      <c r="O12" s="550"/>
      <c r="P12" s="559"/>
    </row>
    <row r="13" spans="1:16">
      <c r="A13" s="545" t="s">
        <v>2333</v>
      </c>
      <c r="B13" s="546"/>
      <c r="C13" s="546"/>
      <c r="D13" s="546"/>
      <c r="E13" s="546"/>
      <c r="F13" s="546"/>
      <c r="G13" s="546"/>
      <c r="H13" s="546"/>
      <c r="I13" s="546"/>
      <c r="J13" s="546"/>
      <c r="K13" s="546">
        <f t="shared" si="0"/>
        <v>0</v>
      </c>
      <c r="L13" s="517"/>
      <c r="M13" s="549" t="s">
        <v>2334</v>
      </c>
      <c r="N13" s="560">
        <f>+N9-N10-N11-N12</f>
        <v>3070262.5599999996</v>
      </c>
      <c r="O13" s="550"/>
      <c r="P13" s="561"/>
    </row>
    <row r="14" spans="1:16">
      <c r="A14" s="545" t="s">
        <v>2335</v>
      </c>
      <c r="B14" s="546">
        <v>200000</v>
      </c>
      <c r="C14" s="546"/>
      <c r="D14" s="546">
        <v>20000</v>
      </c>
      <c r="E14" s="546"/>
      <c r="F14" s="546"/>
      <c r="G14" s="546"/>
      <c r="H14" s="546"/>
      <c r="I14" s="546"/>
      <c r="J14" s="546"/>
      <c r="K14" s="547">
        <f t="shared" si="0"/>
        <v>220000</v>
      </c>
      <c r="L14" s="517"/>
      <c r="M14" s="556" t="s">
        <v>2336</v>
      </c>
      <c r="N14" s="562">
        <f>+N13*N15</f>
        <v>2456210.048</v>
      </c>
      <c r="O14" s="557"/>
      <c r="P14" s="555"/>
    </row>
    <row r="15" spans="1:16">
      <c r="A15" s="545" t="s">
        <v>2337</v>
      </c>
      <c r="B15" s="546">
        <f>425000-35000</f>
        <v>390000</v>
      </c>
      <c r="C15" s="546">
        <v>56000</v>
      </c>
      <c r="D15" s="546">
        <v>89104.960000000006</v>
      </c>
      <c r="E15" s="546">
        <v>22000</v>
      </c>
      <c r="F15" s="546">
        <v>78800</v>
      </c>
      <c r="G15" s="546">
        <v>114790</v>
      </c>
      <c r="H15" s="546">
        <v>8500</v>
      </c>
      <c r="I15" s="546">
        <v>165800</v>
      </c>
      <c r="J15" s="546"/>
      <c r="K15" s="547">
        <f t="shared" si="0"/>
        <v>924994.96</v>
      </c>
      <c r="L15" s="517"/>
      <c r="M15" s="563"/>
      <c r="N15" s="564">
        <v>0.8</v>
      </c>
      <c r="O15" s="565"/>
      <c r="P15" s="566"/>
    </row>
    <row r="16" spans="1:16">
      <c r="A16" s="545" t="s">
        <v>2338</v>
      </c>
      <c r="B16" s="546">
        <f>200000+140000</f>
        <v>340000</v>
      </c>
      <c r="C16" s="546">
        <v>35000</v>
      </c>
      <c r="D16" s="546">
        <v>55000</v>
      </c>
      <c r="E16" s="546"/>
      <c r="F16" s="546">
        <v>85000</v>
      </c>
      <c r="G16" s="546">
        <v>132500</v>
      </c>
      <c r="H16" s="546">
        <v>39500</v>
      </c>
      <c r="I16" s="546"/>
      <c r="J16" s="546"/>
      <c r="K16" s="547">
        <f t="shared" si="0"/>
        <v>687000</v>
      </c>
      <c r="L16" s="517"/>
    </row>
    <row r="17" spans="1:15">
      <c r="A17" s="545" t="s">
        <v>2339</v>
      </c>
      <c r="B17" s="546">
        <f>80000-40000-3600</f>
        <v>36400</v>
      </c>
      <c r="C17" s="546">
        <v>5000</v>
      </c>
      <c r="D17" s="546">
        <v>10000</v>
      </c>
      <c r="E17" s="546"/>
      <c r="F17" s="546">
        <v>23750</v>
      </c>
      <c r="G17" s="546">
        <v>2400</v>
      </c>
      <c r="H17" s="546">
        <v>6867</v>
      </c>
      <c r="I17" s="546">
        <v>31700</v>
      </c>
      <c r="J17" s="546"/>
      <c r="K17" s="547">
        <f t="shared" si="0"/>
        <v>116117</v>
      </c>
      <c r="L17" s="517"/>
      <c r="M17" s="515"/>
    </row>
    <row r="18" spans="1:15">
      <c r="A18" s="545" t="s">
        <v>2340</v>
      </c>
      <c r="B18" s="546">
        <v>33000</v>
      </c>
      <c r="C18" s="546"/>
      <c r="D18" s="546"/>
      <c r="E18" s="546"/>
      <c r="F18" s="546"/>
      <c r="G18" s="546"/>
      <c r="H18" s="546"/>
      <c r="I18" s="546">
        <v>33000</v>
      </c>
      <c r="J18" s="546"/>
      <c r="K18" s="547">
        <f t="shared" si="0"/>
        <v>66000</v>
      </c>
      <c r="L18" s="517"/>
      <c r="M18" s="515"/>
      <c r="N18" s="510">
        <v>1063148.05</v>
      </c>
      <c r="O18" s="509" t="s">
        <v>2341</v>
      </c>
    </row>
    <row r="19" spans="1:15">
      <c r="A19" s="545" t="s">
        <v>2342</v>
      </c>
      <c r="B19" s="546">
        <v>1000</v>
      </c>
      <c r="C19" s="546"/>
      <c r="D19" s="546"/>
      <c r="E19" s="546"/>
      <c r="F19" s="546">
        <v>6000</v>
      </c>
      <c r="G19" s="546"/>
      <c r="H19" s="546"/>
      <c r="I19" s="546"/>
      <c r="J19" s="546"/>
      <c r="K19" s="547">
        <f t="shared" si="0"/>
        <v>7000</v>
      </c>
      <c r="L19" s="517"/>
      <c r="M19" s="515"/>
      <c r="N19" s="510"/>
    </row>
    <row r="20" spans="1:15">
      <c r="A20" s="545" t="s">
        <v>2343</v>
      </c>
      <c r="B20" s="546">
        <v>350000</v>
      </c>
      <c r="C20" s="546"/>
      <c r="D20" s="546">
        <v>5000</v>
      </c>
      <c r="E20" s="546"/>
      <c r="F20" s="546">
        <v>200</v>
      </c>
      <c r="G20" s="546">
        <v>5400</v>
      </c>
      <c r="H20" s="546">
        <v>1500</v>
      </c>
      <c r="I20" s="546">
        <v>2900</v>
      </c>
      <c r="J20" s="546"/>
      <c r="K20" s="547">
        <f t="shared" si="0"/>
        <v>365000</v>
      </c>
      <c r="L20" s="517"/>
      <c r="M20" s="515"/>
    </row>
    <row r="21" spans="1:15">
      <c r="A21" s="545" t="s">
        <v>2344</v>
      </c>
      <c r="B21" s="546">
        <v>1000</v>
      </c>
      <c r="C21" s="546"/>
      <c r="D21" s="546"/>
      <c r="E21" s="546"/>
      <c r="F21" s="546">
        <f>1000</f>
        <v>1000</v>
      </c>
      <c r="G21" s="546"/>
      <c r="H21" s="546"/>
      <c r="I21" s="546">
        <v>1000</v>
      </c>
      <c r="J21" s="546"/>
      <c r="K21" s="547">
        <f t="shared" si="0"/>
        <v>3000</v>
      </c>
      <c r="L21" s="517"/>
      <c r="M21" s="515"/>
      <c r="N21" s="517" t="s">
        <v>2345</v>
      </c>
    </row>
    <row r="22" spans="1:15">
      <c r="A22" s="545" t="s">
        <v>2426</v>
      </c>
      <c r="B22" s="546">
        <v>3600</v>
      </c>
      <c r="C22" s="546"/>
      <c r="D22" s="546"/>
      <c r="E22" s="546"/>
      <c r="F22" s="546"/>
      <c r="G22" s="546"/>
      <c r="H22" s="546"/>
      <c r="I22" s="546"/>
      <c r="J22" s="546"/>
      <c r="K22" s="547">
        <f t="shared" si="0"/>
        <v>3600</v>
      </c>
      <c r="L22" s="517"/>
      <c r="M22" s="515"/>
      <c r="N22" s="517"/>
    </row>
    <row r="23" spans="1:15">
      <c r="A23" s="545" t="s">
        <v>2346</v>
      </c>
      <c r="B23" s="546">
        <v>40000</v>
      </c>
      <c r="C23" s="546"/>
      <c r="D23" s="546"/>
      <c r="E23" s="546"/>
      <c r="F23" s="546"/>
      <c r="G23" s="546"/>
      <c r="H23" s="546"/>
      <c r="I23" s="546"/>
      <c r="J23" s="546"/>
      <c r="K23" s="547">
        <f t="shared" si="0"/>
        <v>40000</v>
      </c>
      <c r="L23" s="517"/>
      <c r="M23" s="515"/>
    </row>
    <row r="24" spans="1:15">
      <c r="A24" s="545" t="s">
        <v>2347</v>
      </c>
      <c r="B24" s="546">
        <v>50000</v>
      </c>
      <c r="C24" s="546"/>
      <c r="D24" s="546">
        <v>20000</v>
      </c>
      <c r="E24" s="546"/>
      <c r="F24" s="546">
        <f>641000</f>
        <v>641000</v>
      </c>
      <c r="G24" s="546">
        <f>87000+20000</f>
        <v>107000</v>
      </c>
      <c r="H24" s="546">
        <v>224532</v>
      </c>
      <c r="I24" s="546"/>
      <c r="J24" s="546"/>
      <c r="K24" s="546">
        <f t="shared" si="0"/>
        <v>1042532</v>
      </c>
      <c r="L24" s="517"/>
      <c r="M24" s="515"/>
    </row>
    <row r="25" spans="1:15" s="512" customFormat="1">
      <c r="A25" s="512" t="s">
        <v>2348</v>
      </c>
      <c r="B25" s="568">
        <f>SUM(B3:B24)</f>
        <v>2330000</v>
      </c>
      <c r="C25" s="568">
        <f>SUM(C3:C24)</f>
        <v>253500</v>
      </c>
      <c r="D25" s="568">
        <f t="shared" ref="D25:J25" si="1">SUM(D3:D24)</f>
        <v>396504.96</v>
      </c>
      <c r="E25" s="568">
        <f t="shared" si="1"/>
        <v>22000</v>
      </c>
      <c r="F25" s="568">
        <f>SUM(F3:F24)</f>
        <v>2078379.66</v>
      </c>
      <c r="G25" s="568">
        <f t="shared" si="1"/>
        <v>523430</v>
      </c>
      <c r="H25" s="568">
        <f t="shared" si="1"/>
        <v>381149</v>
      </c>
      <c r="I25" s="568">
        <f t="shared" si="1"/>
        <v>296400</v>
      </c>
      <c r="J25" s="568">
        <f t="shared" si="1"/>
        <v>0</v>
      </c>
      <c r="K25" s="568">
        <f>SUM(K3:K24)</f>
        <v>6281363.6200000001</v>
      </c>
      <c r="L25" s="568"/>
      <c r="M25" s="568"/>
    </row>
    <row r="26" spans="1:15" s="512" customFormat="1">
      <c r="B26" s="568">
        <v>3176102.96</v>
      </c>
      <c r="C26" s="568"/>
      <c r="D26" s="568"/>
      <c r="E26" s="568"/>
      <c r="F26" s="568"/>
      <c r="G26" s="568"/>
      <c r="H26" s="568"/>
      <c r="I26" s="568"/>
      <c r="J26" s="568"/>
      <c r="K26" s="568"/>
      <c r="L26" s="568"/>
      <c r="M26" s="568"/>
      <c r="N26" s="568"/>
    </row>
    <row r="27" spans="1:15" s="512" customFormat="1">
      <c r="A27" s="512" t="s">
        <v>2349</v>
      </c>
      <c r="B27" s="569"/>
      <c r="C27" s="570"/>
      <c r="D27" s="570"/>
      <c r="E27" s="570"/>
      <c r="F27" s="570"/>
      <c r="G27" s="569"/>
      <c r="H27" s="570"/>
      <c r="I27" s="570"/>
      <c r="J27" s="569"/>
      <c r="K27" s="570">
        <f>SUM(B27:J27)</f>
        <v>0</v>
      </c>
      <c r="L27" s="1488">
        <f>SUM(K27:K28)</f>
        <v>249187.41</v>
      </c>
      <c r="M27" s="568" t="s">
        <v>2350</v>
      </c>
    </row>
    <row r="28" spans="1:15">
      <c r="A28" s="512" t="s">
        <v>2351</v>
      </c>
      <c r="B28" s="569">
        <v>248887.41</v>
      </c>
      <c r="C28" s="569"/>
      <c r="D28" s="569"/>
      <c r="E28" s="569"/>
      <c r="F28" s="569"/>
      <c r="G28" s="569">
        <v>300</v>
      </c>
      <c r="H28" s="569"/>
      <c r="I28" s="569"/>
      <c r="J28" s="569"/>
      <c r="K28" s="570">
        <f>SUM(B28:J28)</f>
        <v>249187.41</v>
      </c>
      <c r="L28" s="1488"/>
      <c r="M28" s="515"/>
      <c r="N28" s="571"/>
    </row>
    <row r="29" spans="1:15">
      <c r="A29" s="512" t="s">
        <v>2348</v>
      </c>
      <c r="B29" s="570">
        <f>+B25</f>
        <v>2330000</v>
      </c>
      <c r="C29" s="570">
        <f>SUM(C25:C28)</f>
        <v>253500</v>
      </c>
      <c r="D29" s="570">
        <f t="shared" ref="D29:J29" si="2">SUM(D25:D28)</f>
        <v>396504.96</v>
      </c>
      <c r="E29" s="570">
        <f t="shared" si="2"/>
        <v>22000</v>
      </c>
      <c r="F29" s="570">
        <f>SUM(F25:F28)</f>
        <v>2078379.66</v>
      </c>
      <c r="G29" s="570">
        <f>SUM(G25:G28)-300</f>
        <v>523430</v>
      </c>
      <c r="H29" s="570">
        <f t="shared" si="2"/>
        <v>381149</v>
      </c>
      <c r="I29" s="570">
        <f t="shared" si="2"/>
        <v>296400</v>
      </c>
      <c r="J29" s="570">
        <f t="shared" si="2"/>
        <v>0</v>
      </c>
      <c r="K29" s="570">
        <f>SUM(B29:J29)</f>
        <v>6281363.6200000001</v>
      </c>
      <c r="L29" s="515"/>
      <c r="M29" s="515"/>
    </row>
    <row r="30" spans="1:15">
      <c r="A30" s="512" t="s">
        <v>2352</v>
      </c>
      <c r="B30" s="570"/>
      <c r="C30" s="572"/>
      <c r="D30" s="572"/>
      <c r="E30" s="572"/>
      <c r="F30" s="570"/>
      <c r="G30" s="572"/>
      <c r="H30" s="572"/>
      <c r="I30" s="572"/>
      <c r="J30" s="572"/>
      <c r="K30" s="570">
        <f>SUM(B30:J30)</f>
        <v>0</v>
      </c>
    </row>
    <row r="31" spans="1:15">
      <c r="A31" s="512" t="s">
        <v>2353</v>
      </c>
      <c r="B31" s="570">
        <f>SUM(B28:B30)</f>
        <v>2578887.41</v>
      </c>
      <c r="C31" s="570">
        <f t="shared" ref="C31:J31" si="3">SUM(C28:C30)</f>
        <v>253500</v>
      </c>
      <c r="D31" s="570">
        <f t="shared" si="3"/>
        <v>396504.96</v>
      </c>
      <c r="E31" s="570">
        <f t="shared" si="3"/>
        <v>22000</v>
      </c>
      <c r="F31" s="570">
        <f>SUM(F28:F30)</f>
        <v>2078379.66</v>
      </c>
      <c r="G31" s="570">
        <f t="shared" si="3"/>
        <v>523730</v>
      </c>
      <c r="H31" s="570">
        <f t="shared" si="3"/>
        <v>381149</v>
      </c>
      <c r="I31" s="570">
        <f t="shared" si="3"/>
        <v>296400</v>
      </c>
      <c r="J31" s="570">
        <f t="shared" si="3"/>
        <v>0</v>
      </c>
      <c r="K31" s="570">
        <f>SUM(K28:K30)</f>
        <v>6530551.0300000003</v>
      </c>
      <c r="L31" s="568"/>
      <c r="M31" s="573"/>
    </row>
    <row r="32" spans="1:15">
      <c r="A32" s="512" t="s">
        <v>2354</v>
      </c>
      <c r="B32" s="570"/>
      <c r="C32" s="570"/>
      <c r="D32" s="570"/>
      <c r="E32" s="570"/>
      <c r="F32" s="570">
        <v>335506</v>
      </c>
      <c r="G32" s="569"/>
      <c r="H32" s="569"/>
      <c r="I32" s="569">
        <v>10500</v>
      </c>
      <c r="J32" s="569">
        <v>100000</v>
      </c>
      <c r="K32" s="570">
        <f>SUM(B32:J32)</f>
        <v>446006</v>
      </c>
      <c r="L32" s="515"/>
      <c r="M32" s="515"/>
    </row>
    <row r="33" spans="1:24">
      <c r="A33" s="514" t="s">
        <v>2355</v>
      </c>
      <c r="B33" s="513"/>
      <c r="G33" s="516"/>
      <c r="H33" s="516"/>
      <c r="I33" s="516"/>
      <c r="M33" s="573"/>
    </row>
    <row r="34" spans="1:24" ht="32.25" customHeight="1">
      <c r="A34" s="574" t="s">
        <v>2319</v>
      </c>
      <c r="B34" s="574" t="s">
        <v>2185</v>
      </c>
      <c r="C34" s="574" t="s">
        <v>2188</v>
      </c>
      <c r="D34" s="574" t="s">
        <v>2321</v>
      </c>
      <c r="E34" s="574" t="s">
        <v>2324</v>
      </c>
      <c r="F34" s="574" t="s">
        <v>2356</v>
      </c>
      <c r="G34" s="574" t="s">
        <v>2357</v>
      </c>
      <c r="H34" s="574" t="s">
        <v>2358</v>
      </c>
      <c r="I34" s="574" t="s">
        <v>2359</v>
      </c>
      <c r="J34" s="574" t="s">
        <v>1074</v>
      </c>
      <c r="K34" s="574" t="s">
        <v>2360</v>
      </c>
      <c r="L34" s="574" t="s">
        <v>2361</v>
      </c>
      <c r="M34" s="574" t="s">
        <v>2362</v>
      </c>
      <c r="N34" s="574" t="s">
        <v>2363</v>
      </c>
      <c r="O34" s="574" t="s">
        <v>2364</v>
      </c>
      <c r="P34" s="574" t="s">
        <v>2365</v>
      </c>
      <c r="Q34" s="574" t="s">
        <v>2340</v>
      </c>
      <c r="R34" s="575" t="s">
        <v>2366</v>
      </c>
      <c r="S34" s="574" t="s">
        <v>1009</v>
      </c>
      <c r="T34" s="574" t="s">
        <v>2367</v>
      </c>
      <c r="U34" s="574" t="s">
        <v>875</v>
      </c>
      <c r="V34" s="574" t="s">
        <v>2427</v>
      </c>
      <c r="W34" s="574" t="s">
        <v>2368</v>
      </c>
    </row>
    <row r="35" spans="1:24" s="506" customFormat="1" ht="43.5" customHeight="1">
      <c r="A35" s="576" t="s">
        <v>2369</v>
      </c>
      <c r="B35" s="576" t="s">
        <v>2370</v>
      </c>
      <c r="C35" s="576" t="s">
        <v>2371</v>
      </c>
      <c r="D35" s="576" t="s">
        <v>2372</v>
      </c>
      <c r="E35" s="576" t="s">
        <v>2373</v>
      </c>
      <c r="F35" s="576" t="s">
        <v>2374</v>
      </c>
      <c r="G35" s="576"/>
      <c r="H35" s="576" t="s">
        <v>2375</v>
      </c>
      <c r="I35" s="576" t="s">
        <v>2376</v>
      </c>
      <c r="J35" s="576" t="s">
        <v>2377</v>
      </c>
      <c r="K35" s="576" t="s">
        <v>2378</v>
      </c>
      <c r="L35" s="576" t="s">
        <v>2379</v>
      </c>
      <c r="M35" s="576" t="s">
        <v>2380</v>
      </c>
      <c r="N35" s="576" t="s">
        <v>2381</v>
      </c>
      <c r="O35" s="576" t="s">
        <v>2382</v>
      </c>
      <c r="P35" s="576" t="s">
        <v>2383</v>
      </c>
      <c r="Q35" s="576" t="s">
        <v>2384</v>
      </c>
      <c r="R35" s="749" t="s">
        <v>2385</v>
      </c>
      <c r="S35" s="576" t="s">
        <v>2386</v>
      </c>
      <c r="T35" s="576" t="s">
        <v>2387</v>
      </c>
      <c r="U35" s="576" t="s">
        <v>2388</v>
      </c>
      <c r="V35" s="576" t="s">
        <v>2428</v>
      </c>
      <c r="W35" s="576" t="s">
        <v>2389</v>
      </c>
      <c r="X35" s="576" t="s">
        <v>2390</v>
      </c>
    </row>
    <row r="36" spans="1:24">
      <c r="A36" s="578">
        <f>+K4</f>
        <v>0</v>
      </c>
      <c r="B36" s="572"/>
      <c r="C36" s="579"/>
      <c r="D36" s="578"/>
      <c r="E36" s="578"/>
      <c r="F36" s="569"/>
      <c r="G36" s="580"/>
      <c r="H36" s="580"/>
      <c r="I36" s="578"/>
      <c r="J36" s="569"/>
      <c r="K36" s="569"/>
      <c r="L36" s="569"/>
      <c r="M36" s="569"/>
      <c r="N36" s="569"/>
      <c r="O36" s="581"/>
      <c r="P36" s="569"/>
      <c r="Q36" s="569"/>
      <c r="R36" s="572"/>
      <c r="S36" s="569"/>
      <c r="T36" s="569"/>
      <c r="U36" s="569"/>
      <c r="V36" s="569"/>
      <c r="W36" s="569"/>
      <c r="X36" s="546">
        <f t="shared" ref="X36:X57" si="4">SUM(A36:W36)</f>
        <v>0</v>
      </c>
    </row>
    <row r="37" spans="1:24">
      <c r="A37" s="569"/>
      <c r="B37" s="578">
        <f>+K5</f>
        <v>191500</v>
      </c>
      <c r="C37" s="546"/>
      <c r="D37" s="569"/>
      <c r="E37" s="569"/>
      <c r="F37" s="578"/>
      <c r="G37" s="582"/>
      <c r="H37" s="582"/>
      <c r="I37" s="569"/>
      <c r="J37" s="569"/>
      <c r="K37" s="569"/>
      <c r="L37" s="569"/>
      <c r="M37" s="569"/>
      <c r="N37" s="569"/>
      <c r="O37" s="581"/>
      <c r="P37" s="569"/>
      <c r="Q37" s="569"/>
      <c r="R37" s="572"/>
      <c r="S37" s="569"/>
      <c r="T37" s="569"/>
      <c r="U37" s="578"/>
      <c r="V37" s="578"/>
      <c r="W37" s="569"/>
      <c r="X37" s="546">
        <f t="shared" si="4"/>
        <v>191500</v>
      </c>
    </row>
    <row r="38" spans="1:24">
      <c r="A38" s="569"/>
      <c r="B38" s="569"/>
      <c r="C38" s="546">
        <f>+K6</f>
        <v>115500</v>
      </c>
      <c r="D38" s="569"/>
      <c r="E38" s="569"/>
      <c r="F38" s="569"/>
      <c r="G38" s="580"/>
      <c r="H38" s="580"/>
      <c r="I38" s="569"/>
      <c r="J38" s="569"/>
      <c r="K38" s="569"/>
      <c r="L38" s="572"/>
      <c r="M38" s="572"/>
      <c r="N38" s="569"/>
      <c r="O38" s="581"/>
      <c r="P38" s="569"/>
      <c r="Q38" s="569"/>
      <c r="R38" s="572"/>
      <c r="S38" s="569"/>
      <c r="T38" s="569"/>
      <c r="U38" s="569"/>
      <c r="V38" s="569"/>
      <c r="W38" s="569"/>
      <c r="X38" s="546">
        <f t="shared" si="4"/>
        <v>115500</v>
      </c>
    </row>
    <row r="39" spans="1:24">
      <c r="A39" s="569"/>
      <c r="B39" s="569"/>
      <c r="C39" s="546"/>
      <c r="D39" s="569">
        <f>+K7</f>
        <v>753693.4</v>
      </c>
      <c r="E39" s="569"/>
      <c r="F39" s="569"/>
      <c r="G39" s="580"/>
      <c r="H39" s="580"/>
      <c r="I39" s="569"/>
      <c r="J39" s="569"/>
      <c r="K39" s="569"/>
      <c r="L39" s="569"/>
      <c r="M39" s="569"/>
      <c r="N39" s="569"/>
      <c r="O39" s="581"/>
      <c r="P39" s="569"/>
      <c r="Q39" s="569"/>
      <c r="R39" s="572"/>
      <c r="S39" s="569"/>
      <c r="T39" s="569"/>
      <c r="U39" s="569"/>
      <c r="V39" s="569"/>
      <c r="W39" s="569"/>
      <c r="X39" s="546">
        <f t="shared" si="4"/>
        <v>753693.4</v>
      </c>
    </row>
    <row r="40" spans="1:24">
      <c r="A40" s="569"/>
      <c r="B40" s="569"/>
      <c r="C40" s="546"/>
      <c r="D40" s="569"/>
      <c r="E40" s="569">
        <f>+K8</f>
        <v>1000</v>
      </c>
      <c r="F40" s="569"/>
      <c r="G40" s="580"/>
      <c r="H40" s="580"/>
      <c r="I40" s="569"/>
      <c r="J40" s="569"/>
      <c r="K40" s="569"/>
      <c r="L40" s="569"/>
      <c r="M40" s="569"/>
      <c r="N40" s="569"/>
      <c r="O40" s="581"/>
      <c r="P40" s="569"/>
      <c r="Q40" s="569"/>
      <c r="R40" s="572"/>
      <c r="S40" s="569"/>
      <c r="T40" s="569"/>
      <c r="U40" s="569"/>
      <c r="V40" s="569"/>
      <c r="W40" s="569"/>
      <c r="X40" s="546">
        <f t="shared" si="4"/>
        <v>1000</v>
      </c>
    </row>
    <row r="41" spans="1:24">
      <c r="A41" s="546"/>
      <c r="B41" s="546"/>
      <c r="C41" s="546"/>
      <c r="D41" s="546"/>
      <c r="E41" s="546"/>
      <c r="F41" s="546">
        <f>+K9</f>
        <v>113900</v>
      </c>
      <c r="G41" s="583"/>
      <c r="H41" s="583"/>
      <c r="I41" s="546"/>
      <c r="J41" s="546"/>
      <c r="K41" s="546"/>
      <c r="L41" s="546"/>
      <c r="M41" s="546"/>
      <c r="N41" s="546"/>
      <c r="O41" s="584"/>
      <c r="P41" s="546"/>
      <c r="Q41" s="546"/>
      <c r="R41" s="572"/>
      <c r="S41" s="546"/>
      <c r="T41" s="546"/>
      <c r="U41" s="546"/>
      <c r="V41" s="546"/>
      <c r="W41" s="546"/>
      <c r="X41" s="546">
        <f t="shared" si="4"/>
        <v>113900</v>
      </c>
    </row>
    <row r="42" spans="1:24">
      <c r="A42" s="546"/>
      <c r="B42" s="546"/>
      <c r="C42" s="546"/>
      <c r="D42" s="546"/>
      <c r="E42" s="546"/>
      <c r="F42" s="546"/>
      <c r="G42" s="583">
        <f>+K10</f>
        <v>500</v>
      </c>
      <c r="H42" s="583"/>
      <c r="I42" s="546"/>
      <c r="J42" s="546"/>
      <c r="K42" s="546"/>
      <c r="L42" s="546"/>
      <c r="M42" s="546"/>
      <c r="N42" s="546"/>
      <c r="O42" s="584"/>
      <c r="P42" s="546"/>
      <c r="Q42" s="546"/>
      <c r="R42" s="572"/>
      <c r="S42" s="546"/>
      <c r="T42" s="546"/>
      <c r="U42" s="546"/>
      <c r="V42" s="546"/>
      <c r="W42" s="546"/>
      <c r="X42" s="546">
        <f t="shared" si="4"/>
        <v>500</v>
      </c>
    </row>
    <row r="43" spans="1:24">
      <c r="A43" s="546"/>
      <c r="B43" s="546"/>
      <c r="C43" s="546"/>
      <c r="D43" s="546"/>
      <c r="E43" s="546"/>
      <c r="F43" s="546"/>
      <c r="G43" s="583"/>
      <c r="H43" s="583">
        <f>+K11</f>
        <v>506590</v>
      </c>
      <c r="I43" s="546"/>
      <c r="J43" s="546"/>
      <c r="K43" s="546"/>
      <c r="L43" s="546"/>
      <c r="M43" s="546"/>
      <c r="N43" s="546"/>
      <c r="O43" s="584"/>
      <c r="P43" s="546"/>
      <c r="Q43" s="546"/>
      <c r="R43" s="572"/>
      <c r="S43" s="546"/>
      <c r="T43" s="546"/>
      <c r="U43" s="546"/>
      <c r="V43" s="546"/>
      <c r="W43" s="546"/>
      <c r="X43" s="546">
        <f t="shared" si="4"/>
        <v>506590</v>
      </c>
    </row>
    <row r="44" spans="1:24">
      <c r="A44" s="546"/>
      <c r="B44" s="546"/>
      <c r="C44" s="546"/>
      <c r="D44" s="546"/>
      <c r="E44" s="546"/>
      <c r="F44" s="546"/>
      <c r="G44" s="583"/>
      <c r="H44" s="583"/>
      <c r="I44" s="585">
        <f>+K12</f>
        <v>165000</v>
      </c>
      <c r="J44" s="546"/>
      <c r="K44" s="546"/>
      <c r="L44" s="546"/>
      <c r="M44" s="546"/>
      <c r="N44" s="546"/>
      <c r="O44" s="584"/>
      <c r="P44" s="546"/>
      <c r="Q44" s="546"/>
      <c r="R44" s="572"/>
      <c r="S44" s="546"/>
      <c r="T44" s="546"/>
      <c r="U44" s="546"/>
      <c r="V44" s="546"/>
      <c r="W44" s="546"/>
      <c r="X44" s="546">
        <f t="shared" si="4"/>
        <v>165000</v>
      </c>
    </row>
    <row r="45" spans="1:24">
      <c r="A45" s="546"/>
      <c r="B45" s="546"/>
      <c r="C45" s="546"/>
      <c r="D45" s="546"/>
      <c r="E45" s="546"/>
      <c r="F45" s="546"/>
      <c r="G45" s="583"/>
      <c r="H45" s="583"/>
      <c r="I45" s="546"/>
      <c r="J45" s="546">
        <f>+K13</f>
        <v>0</v>
      </c>
      <c r="K45" s="546"/>
      <c r="L45" s="546"/>
      <c r="M45" s="546"/>
      <c r="N45" s="546"/>
      <c r="O45" s="584"/>
      <c r="P45" s="546"/>
      <c r="Q45" s="546"/>
      <c r="R45" s="572"/>
      <c r="S45" s="546"/>
      <c r="T45" s="546"/>
      <c r="U45" s="546"/>
      <c r="V45" s="546"/>
      <c r="W45" s="546"/>
      <c r="X45" s="546">
        <f t="shared" si="4"/>
        <v>0</v>
      </c>
    </row>
    <row r="46" spans="1:24">
      <c r="A46" s="546"/>
      <c r="B46" s="546"/>
      <c r="C46" s="546"/>
      <c r="D46" s="546"/>
      <c r="E46" s="546"/>
      <c r="F46" s="546"/>
      <c r="G46" s="583"/>
      <c r="H46" s="583"/>
      <c r="I46" s="546"/>
      <c r="J46" s="546"/>
      <c r="K46" s="546">
        <f>+K14</f>
        <v>220000</v>
      </c>
      <c r="L46" s="546"/>
      <c r="M46" s="546"/>
      <c r="N46" s="546"/>
      <c r="O46" s="584"/>
      <c r="P46" s="546"/>
      <c r="Q46" s="546"/>
      <c r="R46" s="572"/>
      <c r="S46" s="546"/>
      <c r="T46" s="546"/>
      <c r="U46" s="546"/>
      <c r="V46" s="546"/>
      <c r="W46" s="546"/>
      <c r="X46" s="546">
        <f t="shared" si="4"/>
        <v>220000</v>
      </c>
    </row>
    <row r="47" spans="1:24">
      <c r="A47" s="546"/>
      <c r="B47" s="546"/>
      <c r="C47" s="546"/>
      <c r="D47" s="546"/>
      <c r="E47" s="546"/>
      <c r="F47" s="546"/>
      <c r="G47" s="583"/>
      <c r="H47" s="583"/>
      <c r="I47" s="546"/>
      <c r="J47" s="546"/>
      <c r="K47" s="546"/>
      <c r="L47" s="569">
        <f>+B63+A63</f>
        <v>356850</v>
      </c>
      <c r="M47" s="546"/>
      <c r="N47" s="546"/>
      <c r="O47" s="584"/>
      <c r="P47" s="546"/>
      <c r="Q47" s="546"/>
      <c r="R47" s="586"/>
      <c r="S47" s="546"/>
      <c r="T47" s="546"/>
      <c r="U47" s="546"/>
      <c r="V47" s="546"/>
      <c r="W47" s="546">
        <f>+C63</f>
        <v>33150</v>
      </c>
      <c r="X47" s="546">
        <f t="shared" si="4"/>
        <v>390000</v>
      </c>
    </row>
    <row r="48" spans="1:24">
      <c r="A48" s="546"/>
      <c r="B48" s="546"/>
      <c r="C48" s="546"/>
      <c r="D48" s="546"/>
      <c r="E48" s="546"/>
      <c r="F48" s="546"/>
      <c r="G48" s="546"/>
      <c r="H48" s="546"/>
      <c r="I48" s="546"/>
      <c r="J48" s="546"/>
      <c r="K48" s="546"/>
      <c r="L48" s="546"/>
      <c r="M48" s="569">
        <f>+A68+B68</f>
        <v>489520.3884</v>
      </c>
      <c r="N48" s="546"/>
      <c r="O48" s="546"/>
      <c r="P48" s="546"/>
      <c r="Q48" s="546"/>
      <c r="R48" s="572"/>
      <c r="S48" s="546"/>
      <c r="T48" s="546"/>
      <c r="U48" s="546"/>
      <c r="V48" s="546"/>
      <c r="W48" s="546">
        <f>+C68</f>
        <v>45474.571600000003</v>
      </c>
      <c r="X48" s="546">
        <f t="shared" si="4"/>
        <v>534994.96</v>
      </c>
    </row>
    <row r="49" spans="1:25">
      <c r="A49" s="546"/>
      <c r="B49" s="546"/>
      <c r="C49" s="546"/>
      <c r="D49" s="546"/>
      <c r="E49" s="546"/>
      <c r="F49" s="546"/>
      <c r="G49" s="546"/>
      <c r="H49" s="546"/>
      <c r="I49" s="546"/>
      <c r="J49" s="546"/>
      <c r="K49" s="546"/>
      <c r="L49" s="546"/>
      <c r="M49" s="546"/>
      <c r="N49" s="546">
        <f>+A73</f>
        <v>311100</v>
      </c>
      <c r="O49" s="546"/>
      <c r="P49" s="546"/>
      <c r="Q49" s="546"/>
      <c r="R49" s="572"/>
      <c r="S49" s="546"/>
      <c r="T49" s="546"/>
      <c r="U49" s="546"/>
      <c r="V49" s="546"/>
      <c r="W49" s="546">
        <f>+C73</f>
        <v>28900.000000000004</v>
      </c>
      <c r="X49" s="546">
        <f t="shared" si="4"/>
        <v>340000</v>
      </c>
    </row>
    <row r="50" spans="1:25">
      <c r="A50" s="546"/>
      <c r="B50" s="546"/>
      <c r="C50" s="546"/>
      <c r="D50" s="546"/>
      <c r="E50" s="546"/>
      <c r="F50" s="546"/>
      <c r="G50" s="583"/>
      <c r="H50" s="583"/>
      <c r="I50" s="546"/>
      <c r="J50" s="546"/>
      <c r="K50" s="546"/>
      <c r="L50" s="546"/>
      <c r="M50" s="546"/>
      <c r="N50" s="546"/>
      <c r="O50" s="584">
        <f>+A78</f>
        <v>317505</v>
      </c>
      <c r="P50" s="546"/>
      <c r="Q50" s="546"/>
      <c r="R50" s="572"/>
      <c r="S50" s="546"/>
      <c r="T50" s="546"/>
      <c r="U50" s="546"/>
      <c r="V50" s="546"/>
      <c r="W50" s="546">
        <f>+C78</f>
        <v>29495.000000000004</v>
      </c>
      <c r="X50" s="546">
        <f t="shared" si="4"/>
        <v>347000</v>
      </c>
    </row>
    <row r="51" spans="1:25">
      <c r="A51" s="546"/>
      <c r="B51" s="546"/>
      <c r="C51" s="546"/>
      <c r="D51" s="546"/>
      <c r="E51" s="546"/>
      <c r="F51" s="546"/>
      <c r="G51" s="583"/>
      <c r="H51" s="583"/>
      <c r="I51" s="546"/>
      <c r="J51" s="546"/>
      <c r="K51" s="546"/>
      <c r="L51" s="546"/>
      <c r="M51" s="546"/>
      <c r="N51" s="546"/>
      <c r="O51" s="546"/>
      <c r="P51" s="546">
        <f>+K17</f>
        <v>116117</v>
      </c>
      <c r="Q51" s="546"/>
      <c r="R51" s="572"/>
      <c r="S51" s="546"/>
      <c r="T51" s="546"/>
      <c r="U51" s="546"/>
      <c r="V51" s="546"/>
      <c r="W51" s="546"/>
      <c r="X51" s="546">
        <f t="shared" si="4"/>
        <v>116117</v>
      </c>
    </row>
    <row r="52" spans="1:25">
      <c r="A52" s="546"/>
      <c r="B52" s="546"/>
      <c r="C52" s="546"/>
      <c r="D52" s="546"/>
      <c r="E52" s="546"/>
      <c r="F52" s="546"/>
      <c r="G52" s="583"/>
      <c r="H52" s="583"/>
      <c r="I52" s="546"/>
      <c r="J52" s="546"/>
      <c r="K52" s="546"/>
      <c r="L52" s="546"/>
      <c r="M52" s="546"/>
      <c r="N52" s="546"/>
      <c r="O52" s="546"/>
      <c r="P52" s="546"/>
      <c r="Q52" s="546">
        <f>+K18</f>
        <v>66000</v>
      </c>
      <c r="R52" s="572"/>
      <c r="S52" s="546"/>
      <c r="T52" s="546"/>
      <c r="U52" s="546"/>
      <c r="V52" s="546"/>
      <c r="W52" s="546"/>
      <c r="X52" s="546">
        <f t="shared" si="4"/>
        <v>66000</v>
      </c>
    </row>
    <row r="53" spans="1:25">
      <c r="A53" s="546"/>
      <c r="B53" s="546"/>
      <c r="C53" s="546"/>
      <c r="D53" s="546"/>
      <c r="E53" s="546"/>
      <c r="F53" s="546"/>
      <c r="G53" s="583"/>
      <c r="H53" s="583"/>
      <c r="I53" s="546"/>
      <c r="J53" s="546"/>
      <c r="K53" s="546"/>
      <c r="L53" s="546"/>
      <c r="M53" s="546"/>
      <c r="N53" s="546"/>
      <c r="O53" s="546"/>
      <c r="P53" s="546"/>
      <c r="Q53" s="546"/>
      <c r="R53" s="586">
        <f>+K19</f>
        <v>7000</v>
      </c>
      <c r="S53" s="546"/>
      <c r="T53" s="546"/>
      <c r="U53" s="546"/>
      <c r="V53" s="546"/>
      <c r="W53" s="546"/>
      <c r="X53" s="546">
        <f t="shared" si="4"/>
        <v>7000</v>
      </c>
    </row>
    <row r="54" spans="1:25">
      <c r="A54" s="546"/>
      <c r="B54" s="546"/>
      <c r="C54" s="546"/>
      <c r="D54" s="546"/>
      <c r="E54" s="546"/>
      <c r="F54" s="546"/>
      <c r="G54" s="583"/>
      <c r="H54" s="583"/>
      <c r="I54" s="546"/>
      <c r="J54" s="546"/>
      <c r="K54" s="546"/>
      <c r="L54" s="546"/>
      <c r="M54" s="546"/>
      <c r="N54" s="546"/>
      <c r="O54" s="546"/>
      <c r="P54" s="546"/>
      <c r="Q54" s="546"/>
      <c r="R54" s="572"/>
      <c r="S54" s="546">
        <f>+K20+K21</f>
        <v>368000</v>
      </c>
      <c r="T54" s="546"/>
      <c r="U54" s="546"/>
      <c r="V54" s="546"/>
      <c r="W54" s="546"/>
      <c r="X54" s="546">
        <f t="shared" si="4"/>
        <v>368000</v>
      </c>
    </row>
    <row r="55" spans="1:25">
      <c r="A55" s="546"/>
      <c r="B55" s="546"/>
      <c r="C55" s="546"/>
      <c r="D55" s="546"/>
      <c r="E55" s="546"/>
      <c r="F55" s="546"/>
      <c r="G55" s="583"/>
      <c r="H55" s="583"/>
      <c r="I55" s="546"/>
      <c r="J55" s="546"/>
      <c r="K55" s="546"/>
      <c r="L55" s="546"/>
      <c r="M55" s="546"/>
      <c r="N55" s="546"/>
      <c r="O55" s="584"/>
      <c r="P55" s="546"/>
      <c r="Q55" s="546"/>
      <c r="R55" s="572"/>
      <c r="S55" s="546"/>
      <c r="T55" s="546">
        <f>+K23</f>
        <v>40000</v>
      </c>
      <c r="U55" s="546"/>
      <c r="V55" s="546"/>
      <c r="W55" s="546"/>
      <c r="X55" s="546">
        <f t="shared" si="4"/>
        <v>40000</v>
      </c>
    </row>
    <row r="56" spans="1:25">
      <c r="A56" s="569"/>
      <c r="B56" s="569"/>
      <c r="C56" s="546"/>
      <c r="D56" s="569"/>
      <c r="E56" s="569"/>
      <c r="F56" s="569"/>
      <c r="G56" s="569"/>
      <c r="H56" s="569"/>
      <c r="I56" s="569"/>
      <c r="J56" s="569"/>
      <c r="K56" s="569"/>
      <c r="L56" s="569"/>
      <c r="M56" s="569"/>
      <c r="N56" s="569"/>
      <c r="O56" s="569"/>
      <c r="P56" s="569"/>
      <c r="Q56" s="569"/>
      <c r="R56" s="572"/>
      <c r="S56" s="569"/>
      <c r="T56" s="569"/>
      <c r="U56" s="569">
        <f>+K24</f>
        <v>1042532</v>
      </c>
      <c r="V56" s="569"/>
      <c r="W56" s="569"/>
      <c r="X56" s="546">
        <f t="shared" si="4"/>
        <v>1042532</v>
      </c>
    </row>
    <row r="57" spans="1:25">
      <c r="A57" s="569"/>
      <c r="B57" s="569"/>
      <c r="C57" s="546"/>
      <c r="D57" s="569"/>
      <c r="E57" s="569"/>
      <c r="F57" s="569"/>
      <c r="G57" s="569"/>
      <c r="H57" s="569"/>
      <c r="I57" s="569"/>
      <c r="J57" s="569"/>
      <c r="K57" s="569"/>
      <c r="L57" s="569"/>
      <c r="M57" s="569"/>
      <c r="N57" s="569"/>
      <c r="O57" s="569"/>
      <c r="P57" s="569"/>
      <c r="Q57" s="569"/>
      <c r="R57" s="572"/>
      <c r="S57" s="569"/>
      <c r="T57" s="569"/>
      <c r="U57" s="569"/>
      <c r="V57" s="569">
        <f>+K22</f>
        <v>3600</v>
      </c>
      <c r="W57" s="569"/>
      <c r="X57" s="546">
        <f t="shared" si="4"/>
        <v>3600</v>
      </c>
    </row>
    <row r="58" spans="1:25">
      <c r="A58" s="568">
        <f>SUM(A36:A57)</f>
        <v>0</v>
      </c>
      <c r="B58" s="568">
        <f t="shared" ref="B58:X58" si="5">SUM(B36:B57)</f>
        <v>191500</v>
      </c>
      <c r="C58" s="568">
        <f t="shared" si="5"/>
        <v>115500</v>
      </c>
      <c r="D58" s="568">
        <f t="shared" si="5"/>
        <v>753693.4</v>
      </c>
      <c r="E58" s="568">
        <f t="shared" si="5"/>
        <v>1000</v>
      </c>
      <c r="F58" s="568">
        <f t="shared" si="5"/>
        <v>113900</v>
      </c>
      <c r="G58" s="568">
        <f t="shared" si="5"/>
        <v>500</v>
      </c>
      <c r="H58" s="568">
        <f t="shared" si="5"/>
        <v>506590</v>
      </c>
      <c r="I58" s="568">
        <f t="shared" si="5"/>
        <v>165000</v>
      </c>
      <c r="J58" s="568">
        <f t="shared" si="5"/>
        <v>0</v>
      </c>
      <c r="K58" s="568">
        <f t="shared" si="5"/>
        <v>220000</v>
      </c>
      <c r="L58" s="568">
        <f t="shared" si="5"/>
        <v>356850</v>
      </c>
      <c r="M58" s="568">
        <f t="shared" si="5"/>
        <v>489520.3884</v>
      </c>
      <c r="N58" s="568">
        <f t="shared" si="5"/>
        <v>311100</v>
      </c>
      <c r="O58" s="568">
        <f t="shared" si="5"/>
        <v>317505</v>
      </c>
      <c r="P58" s="568">
        <f t="shared" si="5"/>
        <v>116117</v>
      </c>
      <c r="Q58" s="568">
        <f t="shared" si="5"/>
        <v>66000</v>
      </c>
      <c r="R58" s="568">
        <f t="shared" si="5"/>
        <v>7000</v>
      </c>
      <c r="S58" s="568">
        <f t="shared" si="5"/>
        <v>368000</v>
      </c>
      <c r="T58" s="568">
        <f t="shared" si="5"/>
        <v>40000</v>
      </c>
      <c r="U58" s="568">
        <f t="shared" si="5"/>
        <v>1042532</v>
      </c>
      <c r="V58" s="568">
        <f t="shared" si="5"/>
        <v>3600</v>
      </c>
      <c r="W58" s="568">
        <f t="shared" si="5"/>
        <v>137019.5716</v>
      </c>
      <c r="X58" s="568">
        <f t="shared" si="5"/>
        <v>5322927.3599999994</v>
      </c>
    </row>
    <row r="59" spans="1:25">
      <c r="A59" s="568"/>
      <c r="B59" s="515"/>
      <c r="C59" s="515"/>
      <c r="D59" s="515"/>
      <c r="E59" s="515"/>
      <c r="G59" s="515"/>
      <c r="H59" s="515"/>
      <c r="I59" s="515"/>
      <c r="J59" s="515"/>
      <c r="K59" s="515"/>
      <c r="L59" s="515"/>
      <c r="M59" s="515"/>
      <c r="N59" s="515"/>
      <c r="O59" s="515"/>
      <c r="P59" s="515"/>
      <c r="Q59" s="515"/>
      <c r="T59" s="515"/>
      <c r="X59" s="568">
        <f>+K3</f>
        <v>958436.26</v>
      </c>
    </row>
    <row r="60" spans="1:25">
      <c r="L60" s="516"/>
      <c r="M60" s="516"/>
      <c r="W60" s="573"/>
      <c r="X60" s="587">
        <f>SUM(X58:X59)</f>
        <v>6281363.6199999992</v>
      </c>
      <c r="Y60" s="568">
        <f>+K29</f>
        <v>6281363.6200000001</v>
      </c>
    </row>
    <row r="61" spans="1:25">
      <c r="A61" s="1482" t="s">
        <v>2391</v>
      </c>
      <c r="B61" s="1482"/>
      <c r="C61" s="1482"/>
      <c r="D61" s="1482"/>
      <c r="E61" s="1482"/>
      <c r="F61" s="1482"/>
      <c r="M61" s="516"/>
      <c r="X61" s="573">
        <f>+X60-Y60</f>
        <v>0</v>
      </c>
    </row>
    <row r="62" spans="1:25">
      <c r="A62" s="588">
        <v>0.91500000000000004</v>
      </c>
      <c r="B62" s="589"/>
      <c r="C62" s="588">
        <v>8.5000000000000006E-2</v>
      </c>
      <c r="D62" s="589">
        <v>1</v>
      </c>
      <c r="F62" s="509" t="s">
        <v>2392</v>
      </c>
      <c r="N62" s="540"/>
    </row>
    <row r="63" spans="1:25">
      <c r="A63" s="540">
        <f>+A62*D63</f>
        <v>356850</v>
      </c>
      <c r="B63" s="540"/>
      <c r="C63" s="540">
        <f>+D63*C62</f>
        <v>33150</v>
      </c>
      <c r="D63" s="590">
        <f>+B15</f>
        <v>390000</v>
      </c>
      <c r="I63" s="591"/>
      <c r="J63" s="591"/>
      <c r="K63" s="592"/>
      <c r="L63" s="592"/>
      <c r="N63" s="540"/>
    </row>
    <row r="64" spans="1:25">
      <c r="A64" s="509"/>
      <c r="B64" s="516">
        <f>+A63+B63+C63</f>
        <v>390000</v>
      </c>
      <c r="I64" s="509" t="s">
        <v>2393</v>
      </c>
      <c r="J64" s="591"/>
      <c r="K64" s="592"/>
      <c r="L64" s="592"/>
      <c r="N64" s="540"/>
    </row>
    <row r="65" spans="1:16">
      <c r="A65" s="509"/>
      <c r="G65" s="593"/>
      <c r="H65" s="509" t="s">
        <v>2394</v>
      </c>
      <c r="I65" s="509" t="s">
        <v>2309</v>
      </c>
      <c r="J65" s="517">
        <f>+B31</f>
        <v>2578887.41</v>
      </c>
      <c r="K65" s="591"/>
      <c r="L65" s="591"/>
      <c r="N65" s="510"/>
    </row>
    <row r="66" spans="1:16">
      <c r="A66" s="1482" t="s">
        <v>2395</v>
      </c>
      <c r="B66" s="1482"/>
      <c r="C66" s="1482"/>
      <c r="D66" s="1482"/>
      <c r="E66" s="1482"/>
      <c r="F66" s="1482"/>
      <c r="H66" s="509" t="s">
        <v>2396</v>
      </c>
      <c r="I66" s="509" t="s">
        <v>2397</v>
      </c>
      <c r="J66" s="517">
        <f>+F31</f>
        <v>2078379.66</v>
      </c>
      <c r="K66" s="591"/>
      <c r="L66" s="594"/>
      <c r="N66" s="510"/>
    </row>
    <row r="67" spans="1:16">
      <c r="A67" s="588">
        <v>0.91500000000000004</v>
      </c>
      <c r="B67" s="589"/>
      <c r="C67" s="588">
        <v>8.5000000000000006E-2</v>
      </c>
      <c r="D67" s="589">
        <v>1</v>
      </c>
      <c r="H67" s="509" t="s">
        <v>2398</v>
      </c>
      <c r="I67" s="509" t="s">
        <v>2399</v>
      </c>
      <c r="J67" s="517">
        <f>+G31</f>
        <v>523730</v>
      </c>
      <c r="K67" s="591"/>
      <c r="L67" s="594"/>
      <c r="N67" s="540"/>
    </row>
    <row r="68" spans="1:16">
      <c r="A68" s="540">
        <f>+A67*D68</f>
        <v>489520.3884</v>
      </c>
      <c r="B68" s="540"/>
      <c r="C68" s="540">
        <f>+D68*C67</f>
        <v>45474.571600000003</v>
      </c>
      <c r="D68" s="590">
        <f>SUM(C15:I15)</f>
        <v>534994.96</v>
      </c>
      <c r="H68" s="509" t="s">
        <v>2400</v>
      </c>
      <c r="I68" s="509" t="s">
        <v>2401</v>
      </c>
      <c r="J68" s="517">
        <f>+H31+C31+D31+E31</f>
        <v>1053153.96</v>
      </c>
      <c r="K68" s="592"/>
      <c r="L68" s="592"/>
      <c r="N68" s="540"/>
    </row>
    <row r="69" spans="1:16">
      <c r="A69" s="509"/>
      <c r="B69" s="516">
        <f>+A68+B68+C68</f>
        <v>534994.96</v>
      </c>
      <c r="H69" s="509" t="s">
        <v>2402</v>
      </c>
      <c r="I69" s="509" t="s">
        <v>2403</v>
      </c>
      <c r="J69" s="595">
        <f>+I29</f>
        <v>296400</v>
      </c>
      <c r="K69" s="592"/>
      <c r="L69" s="592"/>
      <c r="N69" s="540"/>
      <c r="O69" s="540">
        <f>+O65-P10-P11-P12</f>
        <v>0</v>
      </c>
      <c r="P69" s="540"/>
    </row>
    <row r="70" spans="1:16">
      <c r="A70" s="509"/>
      <c r="J70" s="518">
        <f>SUM(J65:J69)</f>
        <v>6530551.0300000003</v>
      </c>
      <c r="N70" s="510"/>
      <c r="O70" s="573"/>
      <c r="P70" s="540"/>
    </row>
    <row r="71" spans="1:16">
      <c r="A71" s="1482" t="s">
        <v>2404</v>
      </c>
      <c r="B71" s="1482"/>
      <c r="C71" s="1482"/>
      <c r="D71" s="1482"/>
      <c r="E71" s="1482"/>
      <c r="F71" s="1482"/>
      <c r="J71" s="540"/>
      <c r="N71" s="510"/>
      <c r="P71" s="510"/>
    </row>
    <row r="72" spans="1:16">
      <c r="A72" s="596">
        <f>(100-8.5)/100</f>
        <v>0.91500000000000004</v>
      </c>
      <c r="B72" s="589"/>
      <c r="C72" s="588">
        <v>8.5000000000000006E-2</v>
      </c>
      <c r="D72" s="589">
        <v>1</v>
      </c>
      <c r="J72" s="540"/>
      <c r="K72" s="540"/>
      <c r="L72" s="540"/>
      <c r="M72" s="540"/>
      <c r="N72" s="540"/>
      <c r="P72" s="540"/>
    </row>
    <row r="73" spans="1:16">
      <c r="A73" s="540">
        <f>+A72*D73</f>
        <v>311100</v>
      </c>
      <c r="B73" s="540">
        <f>+D73*B72</f>
        <v>0</v>
      </c>
      <c r="C73" s="540">
        <f>+D73*C72</f>
        <v>28900.000000000004</v>
      </c>
      <c r="D73" s="597">
        <f>+B16</f>
        <v>340000</v>
      </c>
      <c r="J73" s="540"/>
      <c r="K73" s="540"/>
      <c r="L73" s="540"/>
      <c r="M73" s="540"/>
      <c r="N73" s="598"/>
      <c r="P73" s="540"/>
    </row>
    <row r="74" spans="1:16">
      <c r="A74" s="509"/>
      <c r="B74" s="516">
        <f>+B16</f>
        <v>340000</v>
      </c>
      <c r="J74" s="510"/>
      <c r="K74" s="540"/>
      <c r="L74" s="540"/>
      <c r="M74" s="540"/>
      <c r="N74" s="540"/>
      <c r="P74" s="540"/>
    </row>
    <row r="75" spans="1:16">
      <c r="J75" s="510"/>
      <c r="K75" s="510"/>
      <c r="L75" s="510"/>
      <c r="M75" s="510"/>
      <c r="N75" s="510"/>
      <c r="P75" s="510"/>
    </row>
    <row r="76" spans="1:16">
      <c r="A76" s="1482" t="s">
        <v>2405</v>
      </c>
      <c r="B76" s="1482"/>
      <c r="C76" s="1482"/>
      <c r="D76" s="1482"/>
      <c r="E76" s="1482"/>
      <c r="F76" s="1482"/>
      <c r="K76" s="510"/>
      <c r="L76" s="510"/>
      <c r="M76" s="510"/>
      <c r="N76" s="510"/>
      <c r="P76" s="510"/>
    </row>
    <row r="77" spans="1:16">
      <c r="A77" s="596">
        <f>(100-8.5)/100</f>
        <v>0.91500000000000004</v>
      </c>
      <c r="B77" s="589"/>
      <c r="C77" s="588">
        <v>8.5000000000000006E-2</v>
      </c>
      <c r="D77" s="589">
        <v>1</v>
      </c>
      <c r="K77" s="599"/>
    </row>
    <row r="78" spans="1:16">
      <c r="A78" s="540">
        <f>+A77*D78</f>
        <v>317505</v>
      </c>
      <c r="B78" s="540">
        <f>+D78*B77</f>
        <v>0</v>
      </c>
      <c r="C78" s="540">
        <f>+D78*C77</f>
        <v>29495.000000000004</v>
      </c>
      <c r="D78" s="597">
        <f>SUM(C16:J16)</f>
        <v>347000</v>
      </c>
    </row>
    <row r="79" spans="1:16">
      <c r="A79" s="509"/>
      <c r="B79" s="516">
        <f>+A78+B78+C78</f>
        <v>347000</v>
      </c>
    </row>
    <row r="81" spans="2:6">
      <c r="B81" s="574" t="s">
        <v>2359</v>
      </c>
    </row>
    <row r="82" spans="2:6">
      <c r="B82" s="600"/>
      <c r="C82" s="601" t="s">
        <v>2406</v>
      </c>
      <c r="D82" s="600"/>
      <c r="E82" s="600"/>
    </row>
    <row r="83" spans="2:6">
      <c r="B83" s="600"/>
      <c r="C83" s="600"/>
      <c r="D83" s="602" t="s">
        <v>2407</v>
      </c>
      <c r="E83" s="600"/>
    </row>
    <row r="84" spans="2:6">
      <c r="B84" s="600" t="s">
        <v>2408</v>
      </c>
      <c r="C84" s="600" t="s">
        <v>2409</v>
      </c>
      <c r="D84" s="603">
        <v>22650.1</v>
      </c>
      <c r="E84" s="600"/>
    </row>
    <row r="85" spans="2:6">
      <c r="B85" s="600" t="s">
        <v>2410</v>
      </c>
      <c r="C85" s="600" t="s">
        <v>2411</v>
      </c>
      <c r="D85" s="603">
        <v>151.51499999999999</v>
      </c>
      <c r="E85" s="600"/>
    </row>
    <row r="86" spans="2:6">
      <c r="B86" s="600" t="s">
        <v>2412</v>
      </c>
      <c r="C86" s="600" t="s">
        <v>2413</v>
      </c>
      <c r="D86" s="603">
        <v>6270.44</v>
      </c>
      <c r="E86" s="600"/>
    </row>
    <row r="87" spans="2:6">
      <c r="B87" s="600" t="s">
        <v>2182</v>
      </c>
      <c r="C87" s="600" t="s">
        <v>2414</v>
      </c>
      <c r="D87" s="604">
        <v>1938.14</v>
      </c>
      <c r="E87" s="600"/>
    </row>
    <row r="88" spans="2:6">
      <c r="B88" s="600"/>
      <c r="C88" s="600"/>
      <c r="D88" s="605">
        <v>31010.19</v>
      </c>
      <c r="E88" s="600"/>
    </row>
    <row r="89" spans="2:6">
      <c r="B89" s="600"/>
      <c r="C89" s="601" t="s">
        <v>2415</v>
      </c>
      <c r="D89" s="600"/>
      <c r="E89" s="600"/>
    </row>
    <row r="90" spans="2:6">
      <c r="B90" s="600"/>
      <c r="C90" s="600"/>
      <c r="D90" s="602" t="s">
        <v>2416</v>
      </c>
      <c r="E90" s="602" t="s">
        <v>2417</v>
      </c>
    </row>
    <row r="91" spans="2:6">
      <c r="B91" s="600" t="s">
        <v>2408</v>
      </c>
      <c r="C91" s="600" t="s">
        <v>2418</v>
      </c>
      <c r="D91" s="603">
        <v>23072.400000000001</v>
      </c>
      <c r="E91" s="603">
        <v>23072.400000000001</v>
      </c>
      <c r="F91" s="603">
        <f>SUM(D91:E91)</f>
        <v>46144.800000000003</v>
      </c>
    </row>
    <row r="92" spans="2:6">
      <c r="B92" s="600" t="s">
        <v>2410</v>
      </c>
      <c r="C92" s="600" t="s">
        <v>2419</v>
      </c>
      <c r="D92" s="603">
        <v>4196.21</v>
      </c>
      <c r="E92" s="603">
        <v>4196.21</v>
      </c>
      <c r="F92" s="603">
        <f>SUM(D92:E92)</f>
        <v>8392.42</v>
      </c>
    </row>
    <row r="93" spans="2:6">
      <c r="B93" s="600" t="s">
        <v>2412</v>
      </c>
      <c r="C93" s="600" t="s">
        <v>2420</v>
      </c>
      <c r="D93" s="603">
        <v>7498.87</v>
      </c>
      <c r="E93" s="603">
        <v>7498.87</v>
      </c>
      <c r="F93" s="603">
        <f>SUM(D93:E93)</f>
        <v>14997.74</v>
      </c>
    </row>
    <row r="94" spans="2:6">
      <c r="B94" s="600" t="s">
        <v>2182</v>
      </c>
      <c r="C94" s="600" t="s">
        <v>2414</v>
      </c>
      <c r="D94" s="604">
        <v>2317.83</v>
      </c>
      <c r="E94" s="604">
        <v>2317.83</v>
      </c>
      <c r="F94" s="604">
        <f>SUM(D94:E94)</f>
        <v>4635.66</v>
      </c>
    </row>
    <row r="95" spans="2:6">
      <c r="B95" s="600"/>
      <c r="C95" s="600"/>
      <c r="D95" s="605">
        <v>37085.300000000003</v>
      </c>
      <c r="E95" s="605">
        <v>37085.300000000003</v>
      </c>
      <c r="F95" s="605">
        <f>SUM(D95:E95)</f>
        <v>74170.600000000006</v>
      </c>
    </row>
    <row r="96" spans="2:6">
      <c r="B96" s="600"/>
      <c r="C96" s="601" t="s">
        <v>2421</v>
      </c>
      <c r="D96" s="600"/>
      <c r="E96" s="600"/>
    </row>
    <row r="97" spans="2:5">
      <c r="B97" s="600"/>
      <c r="C97" s="600"/>
      <c r="D97" s="600"/>
      <c r="E97" s="600"/>
    </row>
    <row r="98" spans="2:5">
      <c r="B98" s="600" t="s">
        <v>2408</v>
      </c>
      <c r="C98" s="600" t="s">
        <v>2422</v>
      </c>
      <c r="D98" s="603">
        <v>43625.66</v>
      </c>
      <c r="E98" s="600"/>
    </row>
    <row r="99" spans="2:5">
      <c r="B99" s="600" t="s">
        <v>2410</v>
      </c>
      <c r="C99" s="600" t="s">
        <v>2423</v>
      </c>
      <c r="D99" s="603">
        <v>654.29</v>
      </c>
      <c r="E99" s="600"/>
    </row>
    <row r="100" spans="2:5">
      <c r="B100" s="600" t="s">
        <v>2412</v>
      </c>
      <c r="C100" s="600" t="s">
        <v>2424</v>
      </c>
      <c r="D100" s="603">
        <v>12176.99</v>
      </c>
      <c r="E100" s="600"/>
    </row>
    <row r="101" spans="2:5">
      <c r="B101" s="600" t="s">
        <v>2182</v>
      </c>
      <c r="C101" s="600" t="s">
        <v>2414</v>
      </c>
      <c r="D101" s="604">
        <v>3763.8</v>
      </c>
      <c r="E101" s="600"/>
    </row>
    <row r="102" spans="2:5">
      <c r="B102" s="600"/>
      <c r="C102" s="600"/>
      <c r="D102" s="605">
        <v>60220.73</v>
      </c>
      <c r="E102" s="600"/>
    </row>
    <row r="103" spans="2:5">
      <c r="B103" s="600"/>
      <c r="C103" s="600"/>
      <c r="D103" s="600"/>
      <c r="E103" s="600"/>
    </row>
  </sheetData>
  <mergeCells count="7">
    <mergeCell ref="A76:F76"/>
    <mergeCell ref="C1:E1"/>
    <mergeCell ref="M5:P5"/>
    <mergeCell ref="L27:L28"/>
    <mergeCell ref="A61:F61"/>
    <mergeCell ref="A66:F66"/>
    <mergeCell ref="A71:F71"/>
  </mergeCells>
  <pageMargins left="0.15748031496062992" right="0.27559055118110237" top="0.62992125984251968" bottom="0.70866141732283472" header="0.43307086614173229" footer="0.51181102362204722"/>
  <pageSetup paperSize="8" scale="57" orientation="landscape" r:id="rId1"/>
  <headerFooter alignWithMargins="0">
    <oddHeader>&amp;C&amp;A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0"/>
  <sheetViews>
    <sheetView showGridLines="0" topLeftCell="A4" zoomScale="112" zoomScaleNormal="112" workbookViewId="0">
      <pane ySplit="1" topLeftCell="A47" activePane="bottomLeft" state="frozen"/>
      <selection activeCell="A4" sqref="A4"/>
      <selection pane="bottomLeft" activeCell="N95" sqref="N95"/>
    </sheetView>
  </sheetViews>
  <sheetFormatPr defaultRowHeight="13.2"/>
  <cols>
    <col min="2" max="2" width="5.6640625" customWidth="1"/>
    <col min="3" max="3" width="48.6640625" customWidth="1"/>
    <col min="4" max="6" width="16.33203125" customWidth="1"/>
    <col min="7" max="7" width="9.109375" style="284" customWidth="1"/>
    <col min="8" max="8" width="14.33203125" style="201" bestFit="1" customWidth="1"/>
  </cols>
  <sheetData>
    <row r="1" spans="1:10" ht="15.6">
      <c r="A1" s="1"/>
      <c r="B1" s="1"/>
      <c r="C1" s="2"/>
      <c r="D1" s="2"/>
      <c r="E1" s="150"/>
      <c r="F1" s="150"/>
    </row>
    <row r="2" spans="1:10" ht="21">
      <c r="A2" s="202" t="s">
        <v>0</v>
      </c>
      <c r="B2" s="195"/>
      <c r="C2" s="195"/>
      <c r="D2" s="195"/>
      <c r="E2" s="152"/>
      <c r="F2" s="152" t="s">
        <v>1</v>
      </c>
      <c r="G2" s="280"/>
    </row>
    <row r="3" spans="1:10">
      <c r="A3" s="3"/>
      <c r="B3" s="3"/>
      <c r="C3" s="4"/>
      <c r="D3" s="4"/>
      <c r="E3" s="153"/>
      <c r="F3" s="153"/>
      <c r="G3" s="5"/>
    </row>
    <row r="4" spans="1:10" ht="42" customHeight="1">
      <c r="A4" s="1543" t="s">
        <v>2122</v>
      </c>
      <c r="B4" s="1544"/>
      <c r="C4" s="1545"/>
      <c r="D4" s="1454" t="s">
        <v>3948</v>
      </c>
      <c r="E4" s="1454" t="s">
        <v>2129</v>
      </c>
      <c r="F4" s="1454" t="s">
        <v>3949</v>
      </c>
      <c r="G4" s="1455"/>
    </row>
    <row r="5" spans="1:10" ht="13.95" customHeight="1">
      <c r="A5" s="196"/>
      <c r="B5" s="196"/>
      <c r="C5" s="196"/>
      <c r="D5" s="196"/>
      <c r="E5" s="197"/>
      <c r="F5" s="197" t="s">
        <v>2</v>
      </c>
      <c r="G5" s="1456" t="s">
        <v>3</v>
      </c>
    </row>
    <row r="6" spans="1:10">
      <c r="A6" s="1457"/>
      <c r="B6" s="6"/>
      <c r="C6" s="7"/>
      <c r="D6" s="155"/>
      <c r="E6" s="155"/>
      <c r="F6" s="155"/>
      <c r="G6" s="1458"/>
    </row>
    <row r="7" spans="1:10">
      <c r="A7" s="1459" t="s">
        <v>4</v>
      </c>
      <c r="B7" s="8"/>
      <c r="C7" s="9" t="s">
        <v>5</v>
      </c>
      <c r="D7" s="156"/>
      <c r="E7" s="156"/>
      <c r="F7" s="156"/>
      <c r="G7" s="1460"/>
    </row>
    <row r="8" spans="1:10">
      <c r="A8" s="1459"/>
      <c r="B8" s="8"/>
      <c r="C8" s="10"/>
      <c r="D8" s="158"/>
      <c r="E8" s="158"/>
      <c r="F8" s="158"/>
      <c r="G8" s="1460"/>
    </row>
    <row r="9" spans="1:10">
      <c r="A9" s="1459">
        <v>1</v>
      </c>
      <c r="B9" s="9" t="s">
        <v>6</v>
      </c>
      <c r="C9" s="9"/>
      <c r="D9" s="159">
        <f>D10+D11+D18+D23</f>
        <v>44123035</v>
      </c>
      <c r="E9" s="159">
        <f>E10+E11+E18+E23</f>
        <v>36892988</v>
      </c>
      <c r="F9" s="159">
        <f>+D9-E9</f>
        <v>7230047</v>
      </c>
      <c r="G9" s="1442">
        <f>F9/E9</f>
        <v>0.19597347333319817</v>
      </c>
      <c r="I9" s="149"/>
      <c r="J9" s="193"/>
    </row>
    <row r="10" spans="1:10">
      <c r="A10" s="1461"/>
      <c r="B10" s="11" t="s">
        <v>7</v>
      </c>
      <c r="C10" s="11"/>
      <c r="D10" s="160">
        <f>+ROUND('CE Min'!D24,0)</f>
        <v>34988580</v>
      </c>
      <c r="E10" s="160">
        <f>+ROUND('CE Min'!E24,0)</f>
        <v>28310784</v>
      </c>
      <c r="F10" s="160">
        <f t="shared" ref="F10:F73" si="0">+D10-E10</f>
        <v>6677796</v>
      </c>
      <c r="G10" s="1443">
        <f t="shared" ref="G10:G73" si="1">F10/E10</f>
        <v>0.23587464056099611</v>
      </c>
      <c r="I10" s="177"/>
      <c r="J10" s="193"/>
    </row>
    <row r="11" spans="1:10">
      <c r="A11" s="1459"/>
      <c r="B11" s="11" t="s">
        <v>8</v>
      </c>
      <c r="C11" s="11"/>
      <c r="D11" s="160">
        <f>SUM(D12:D17)</f>
        <v>180614</v>
      </c>
      <c r="E11" s="160">
        <f>SUM(E12:E17)</f>
        <v>114073</v>
      </c>
      <c r="F11" s="160">
        <f t="shared" si="0"/>
        <v>66541</v>
      </c>
      <c r="G11" s="1443">
        <f t="shared" si="1"/>
        <v>0.58331945333251511</v>
      </c>
      <c r="I11" s="177"/>
      <c r="J11" s="193"/>
    </row>
    <row r="12" spans="1:10">
      <c r="A12" s="1459"/>
      <c r="B12" s="12"/>
      <c r="C12" s="32" t="s">
        <v>9</v>
      </c>
      <c r="D12" s="160">
        <f>+ROUND('CE Min'!D35,0)</f>
        <v>180614</v>
      </c>
      <c r="E12" s="160">
        <f>+ROUND('CE Min'!E35,0)</f>
        <v>104000</v>
      </c>
      <c r="F12" s="160">
        <f t="shared" si="0"/>
        <v>76614</v>
      </c>
      <c r="G12" s="1443">
        <f t="shared" si="1"/>
        <v>0.73667307692307693</v>
      </c>
      <c r="I12" s="177"/>
      <c r="J12" s="193"/>
    </row>
    <row r="13" spans="1:10" ht="20.399999999999999">
      <c r="A13" s="1461"/>
      <c r="B13" s="12"/>
      <c r="C13" s="32" t="s">
        <v>10</v>
      </c>
      <c r="D13" s="160">
        <f>+ROUND('CE Min'!D36,0)</f>
        <v>0</v>
      </c>
      <c r="E13" s="160">
        <f>+ROUND('CE Min'!E36,0)</f>
        <v>0</v>
      </c>
      <c r="F13" s="160">
        <f t="shared" si="0"/>
        <v>0</v>
      </c>
      <c r="G13" s="1443"/>
      <c r="I13" s="177"/>
      <c r="J13" s="193"/>
    </row>
    <row r="14" spans="1:10" ht="20.399999999999999">
      <c r="A14" s="1459"/>
      <c r="B14" s="12"/>
      <c r="C14" s="32" t="s">
        <v>11</v>
      </c>
      <c r="D14" s="160">
        <f>+ROUND('CE Min'!D37,0)</f>
        <v>0</v>
      </c>
      <c r="E14" s="160">
        <f>+ROUND('CE Min'!E37,0)</f>
        <v>0</v>
      </c>
      <c r="F14" s="160">
        <f t="shared" si="0"/>
        <v>0</v>
      </c>
      <c r="G14" s="1443"/>
      <c r="I14" s="177"/>
      <c r="J14" s="193"/>
    </row>
    <row r="15" spans="1:10">
      <c r="A15" s="1461"/>
      <c r="B15" s="12"/>
      <c r="C15" s="32" t="s">
        <v>12</v>
      </c>
      <c r="D15" s="160">
        <f>+ROUND('CE Min'!D38,0)</f>
        <v>0</v>
      </c>
      <c r="E15" s="160">
        <f>+ROUND('CE Min'!E38,0)</f>
        <v>10073</v>
      </c>
      <c r="F15" s="160">
        <f t="shared" si="0"/>
        <v>-10073</v>
      </c>
      <c r="G15" s="1443">
        <f t="shared" si="1"/>
        <v>-1</v>
      </c>
      <c r="I15" s="177"/>
      <c r="J15" s="193"/>
    </row>
    <row r="16" spans="1:10">
      <c r="A16" s="1461"/>
      <c r="B16" s="12"/>
      <c r="C16" s="32" t="s">
        <v>13</v>
      </c>
      <c r="D16" s="160">
        <f>+ROUND('CE Min'!D39,0)</f>
        <v>0</v>
      </c>
      <c r="E16" s="160">
        <f>+ROUND('CE Min'!E39,0)</f>
        <v>0</v>
      </c>
      <c r="F16" s="160">
        <f t="shared" si="0"/>
        <v>0</v>
      </c>
      <c r="G16" s="1443"/>
      <c r="I16" s="177"/>
      <c r="J16" s="193"/>
    </row>
    <row r="17" spans="1:10">
      <c r="A17" s="1459"/>
      <c r="B17" s="12"/>
      <c r="C17" s="32" t="s">
        <v>14</v>
      </c>
      <c r="D17" s="160">
        <f>+ROUND('CE Min'!D42,0)</f>
        <v>0</v>
      </c>
      <c r="E17" s="160">
        <f>+ROUND('CE Min'!E42,0)</f>
        <v>0</v>
      </c>
      <c r="F17" s="160">
        <f t="shared" si="0"/>
        <v>0</v>
      </c>
      <c r="G17" s="1443"/>
      <c r="I17" s="177"/>
      <c r="J17" s="193"/>
    </row>
    <row r="18" spans="1:10">
      <c r="A18" s="1461"/>
      <c r="B18" s="12" t="s">
        <v>15</v>
      </c>
      <c r="C18" s="11"/>
      <c r="D18" s="160">
        <f>SUM(D19:D22)</f>
        <v>8948841</v>
      </c>
      <c r="E18" s="160">
        <f>SUM(E19:E22)</f>
        <v>8444513</v>
      </c>
      <c r="F18" s="160">
        <f t="shared" si="0"/>
        <v>504328</v>
      </c>
      <c r="G18" s="1443">
        <f t="shared" si="1"/>
        <v>5.9722567778627375E-2</v>
      </c>
      <c r="I18" s="177"/>
      <c r="J18" s="193"/>
    </row>
    <row r="19" spans="1:10">
      <c r="A19" s="1461"/>
      <c r="B19" s="12"/>
      <c r="C19" s="11" t="s">
        <v>16</v>
      </c>
      <c r="D19" s="160">
        <f>+ROUND('CE Min'!D49,0)</f>
        <v>3176103</v>
      </c>
      <c r="E19" s="160">
        <f>+ROUND('CE Min'!E49,0)</f>
        <v>3223609</v>
      </c>
      <c r="F19" s="160">
        <f t="shared" si="0"/>
        <v>-47506</v>
      </c>
      <c r="G19" s="1443">
        <f t="shared" si="1"/>
        <v>-1.4736898922915279E-2</v>
      </c>
      <c r="I19" s="177"/>
      <c r="J19" s="193"/>
    </row>
    <row r="20" spans="1:10">
      <c r="A20" s="1461"/>
      <c r="B20" s="12"/>
      <c r="C20" s="11" t="s">
        <v>17</v>
      </c>
      <c r="D20" s="160">
        <f>+ROUND('CE Min'!D50,0)</f>
        <v>3980893</v>
      </c>
      <c r="E20" s="160">
        <f>+ROUND('CE Min'!E50,0)</f>
        <v>3041725</v>
      </c>
      <c r="F20" s="160">
        <f t="shared" si="0"/>
        <v>939168</v>
      </c>
      <c r="G20" s="1443">
        <f t="shared" si="1"/>
        <v>0.30876164018772245</v>
      </c>
      <c r="I20" s="177"/>
      <c r="J20" s="193"/>
    </row>
    <row r="21" spans="1:10">
      <c r="A21" s="1461"/>
      <c r="B21" s="12"/>
      <c r="C21" s="11" t="s">
        <v>18</v>
      </c>
      <c r="D21" s="160">
        <f>+ROUND('CE Min'!D51,0)</f>
        <v>1310796</v>
      </c>
      <c r="E21" s="160">
        <f>+ROUND('CE Min'!E51,0)</f>
        <v>1828479</v>
      </c>
      <c r="F21" s="160">
        <f t="shared" si="0"/>
        <v>-517683</v>
      </c>
      <c r="G21" s="1443">
        <f t="shared" si="1"/>
        <v>-0.28312220156753237</v>
      </c>
      <c r="I21" s="177"/>
      <c r="J21" s="193"/>
    </row>
    <row r="22" spans="1:10">
      <c r="A22" s="1461"/>
      <c r="B22" s="12"/>
      <c r="C22" s="11" t="s">
        <v>19</v>
      </c>
      <c r="D22" s="160">
        <f>+ROUND('CE Min'!D52,0)</f>
        <v>481049</v>
      </c>
      <c r="E22" s="160">
        <f>+ROUND('CE Min'!E52,0)</f>
        <v>350700</v>
      </c>
      <c r="F22" s="160">
        <f t="shared" si="0"/>
        <v>130349</v>
      </c>
      <c r="G22" s="1443">
        <f t="shared" si="1"/>
        <v>0.37168234958654123</v>
      </c>
      <c r="I22" s="177"/>
      <c r="J22" s="193"/>
    </row>
    <row r="23" spans="1:10">
      <c r="A23" s="1461"/>
      <c r="B23" s="12" t="s">
        <v>20</v>
      </c>
      <c r="C23" s="11"/>
      <c r="D23" s="160">
        <f>+ROUND('CE Min'!D53,0)</f>
        <v>5000</v>
      </c>
      <c r="E23" s="160">
        <f>+ROUND('CE Min'!E53,0)</f>
        <v>23618</v>
      </c>
      <c r="F23" s="160">
        <f t="shared" si="0"/>
        <v>-18618</v>
      </c>
      <c r="G23" s="1443">
        <f t="shared" si="1"/>
        <v>-0.78829706156321455</v>
      </c>
      <c r="I23" s="177"/>
      <c r="J23" s="193"/>
    </row>
    <row r="24" spans="1:10">
      <c r="A24" s="1459">
        <v>2</v>
      </c>
      <c r="B24" s="9" t="s">
        <v>21</v>
      </c>
      <c r="C24" s="9"/>
      <c r="D24" s="161">
        <f>+ROUND('CE Min'!D54,0)</f>
        <v>0</v>
      </c>
      <c r="E24" s="161">
        <f>+ROUND('CE Min'!E54,0)</f>
        <v>0</v>
      </c>
      <c r="F24" s="161">
        <f t="shared" si="0"/>
        <v>0</v>
      </c>
      <c r="G24" s="1444"/>
      <c r="I24" s="149"/>
      <c r="J24" s="193"/>
    </row>
    <row r="25" spans="1:10">
      <c r="A25" s="1459">
        <v>3</v>
      </c>
      <c r="B25" s="9" t="s">
        <v>22</v>
      </c>
      <c r="C25" s="9"/>
      <c r="D25" s="161">
        <f>+ROUND('CE Min'!D57,0)</f>
        <v>1673283</v>
      </c>
      <c r="E25" s="161">
        <f>+ROUND('CE Min'!E57,0)</f>
        <v>1254550</v>
      </c>
      <c r="F25" s="161">
        <f t="shared" si="0"/>
        <v>418733</v>
      </c>
      <c r="G25" s="1444">
        <f t="shared" si="1"/>
        <v>0.33377147184249334</v>
      </c>
      <c r="I25" s="149"/>
      <c r="J25" s="193"/>
    </row>
    <row r="26" spans="1:10">
      <c r="A26" s="1459">
        <v>4</v>
      </c>
      <c r="B26" s="9" t="s">
        <v>23</v>
      </c>
      <c r="C26" s="9"/>
      <c r="D26" s="159">
        <f>SUM(D27:D29)</f>
        <v>31556024</v>
      </c>
      <c r="E26" s="159">
        <f>SUM(E27:E29)</f>
        <v>32380787</v>
      </c>
      <c r="F26" s="159">
        <f t="shared" si="0"/>
        <v>-824763</v>
      </c>
      <c r="G26" s="1442">
        <f t="shared" si="1"/>
        <v>-2.5470752146944421E-2</v>
      </c>
      <c r="I26" s="149"/>
      <c r="J26" s="193"/>
    </row>
    <row r="27" spans="1:10">
      <c r="A27" s="1459"/>
      <c r="B27" s="11" t="s">
        <v>24</v>
      </c>
      <c r="C27" s="13"/>
      <c r="D27" s="160">
        <f>+ROUND('CE Min'!D64,0)</f>
        <v>29905554</v>
      </c>
      <c r="E27" s="160">
        <f>+ROUND('CE Min'!E64,0)</f>
        <v>29983765</v>
      </c>
      <c r="F27" s="160">
        <f t="shared" si="0"/>
        <v>-78211</v>
      </c>
      <c r="G27" s="1443">
        <f t="shared" si="1"/>
        <v>-2.6084449367849566E-3</v>
      </c>
      <c r="I27" s="177"/>
      <c r="J27" s="193"/>
    </row>
    <row r="28" spans="1:10">
      <c r="A28" s="1461"/>
      <c r="B28" s="11" t="s">
        <v>25</v>
      </c>
      <c r="C28" s="13"/>
      <c r="D28" s="160">
        <f>+ROUND('CE Min'!D110,0)</f>
        <v>782187</v>
      </c>
      <c r="E28" s="160">
        <f>+ROUND('CE Min'!E110,0)</f>
        <v>966802</v>
      </c>
      <c r="F28" s="160">
        <f t="shared" si="0"/>
        <v>-184615</v>
      </c>
      <c r="G28" s="1443">
        <f t="shared" si="1"/>
        <v>-0.19095430088063534</v>
      </c>
      <c r="I28" s="177"/>
      <c r="J28" s="193"/>
    </row>
    <row r="29" spans="1:10">
      <c r="A29" s="1459"/>
      <c r="B29" s="11" t="s">
        <v>26</v>
      </c>
      <c r="C29" s="13"/>
      <c r="D29" s="160">
        <f>+ROUND('CE Min'!D103+'CE Min'!D109,0)</f>
        <v>868283</v>
      </c>
      <c r="E29" s="160">
        <f>+ROUND('CE Min'!E103+'CE Min'!E109,0)</f>
        <v>1430220</v>
      </c>
      <c r="F29" s="160">
        <f t="shared" si="0"/>
        <v>-561937</v>
      </c>
      <c r="G29" s="1443">
        <f t="shared" si="1"/>
        <v>-0.39290249052593307</v>
      </c>
      <c r="I29" s="177"/>
      <c r="J29" s="193"/>
    </row>
    <row r="30" spans="1:10">
      <c r="A30" s="1459">
        <v>5</v>
      </c>
      <c r="B30" s="9" t="s">
        <v>27</v>
      </c>
      <c r="C30" s="9"/>
      <c r="D30" s="161">
        <f>+ROUND(+'CE Min'!D118,0)</f>
        <v>779236</v>
      </c>
      <c r="E30" s="161">
        <f>+ROUND(+'CE Min'!E118,0)</f>
        <v>1962007</v>
      </c>
      <c r="F30" s="161">
        <f t="shared" si="0"/>
        <v>-1182771</v>
      </c>
      <c r="G30" s="1444">
        <f t="shared" si="1"/>
        <v>-0.6028372987456212</v>
      </c>
      <c r="I30" s="149"/>
      <c r="J30" s="193"/>
    </row>
    <row r="31" spans="1:10">
      <c r="A31" s="1459">
        <v>6</v>
      </c>
      <c r="B31" s="9" t="s">
        <v>28</v>
      </c>
      <c r="C31" s="9"/>
      <c r="D31" s="161">
        <f>+ROUND('CE Min'!D139,0)</f>
        <v>1347063</v>
      </c>
      <c r="E31" s="161">
        <f>+ROUND('CE Min'!E139,0)</f>
        <v>1877992</v>
      </c>
      <c r="F31" s="161">
        <f t="shared" si="0"/>
        <v>-530929</v>
      </c>
      <c r="G31" s="1444">
        <f t="shared" si="1"/>
        <v>-0.28271100196379961</v>
      </c>
      <c r="I31" s="149"/>
      <c r="J31" s="193"/>
    </row>
    <row r="32" spans="1:10">
      <c r="A32" s="1459">
        <v>7</v>
      </c>
      <c r="B32" s="9" t="s">
        <v>29</v>
      </c>
      <c r="C32" s="9"/>
      <c r="D32" s="161">
        <f>+ROUND('CE Min'!D143,0)</f>
        <v>2156637</v>
      </c>
      <c r="E32" s="161">
        <f>+ROUND('CE Min'!E143,0)</f>
        <v>1715773</v>
      </c>
      <c r="F32" s="161">
        <f t="shared" si="0"/>
        <v>440864</v>
      </c>
      <c r="G32" s="1444">
        <f t="shared" si="1"/>
        <v>0.25694774308722657</v>
      </c>
      <c r="I32" s="149"/>
      <c r="J32" s="193"/>
    </row>
    <row r="33" spans="1:10">
      <c r="A33" s="1459">
        <v>8</v>
      </c>
      <c r="B33" s="9" t="s">
        <v>30</v>
      </c>
      <c r="C33" s="9"/>
      <c r="D33" s="161">
        <f>+ROUND(+'CE Min'!D150,0)</f>
        <v>0</v>
      </c>
      <c r="E33" s="161">
        <f>+ROUND(+'CE Min'!E150,0)</f>
        <v>0</v>
      </c>
      <c r="F33" s="161">
        <f t="shared" si="0"/>
        <v>0</v>
      </c>
      <c r="G33" s="1444"/>
      <c r="I33" s="149"/>
      <c r="J33" s="193"/>
    </row>
    <row r="34" spans="1:10">
      <c r="A34" s="1459">
        <v>9</v>
      </c>
      <c r="B34" s="9" t="s">
        <v>31</v>
      </c>
      <c r="C34" s="9"/>
      <c r="D34" s="161">
        <f>+ROUND(+'CE Min'!D151,0)</f>
        <v>331118</v>
      </c>
      <c r="E34" s="161">
        <f>+ROUND(+'CE Min'!E151,0)</f>
        <v>219162</v>
      </c>
      <c r="F34" s="161">
        <f t="shared" si="0"/>
        <v>111956</v>
      </c>
      <c r="G34" s="1444">
        <f t="shared" si="1"/>
        <v>0.51083673264525786</v>
      </c>
      <c r="I34" s="149"/>
      <c r="J34" s="193"/>
    </row>
    <row r="35" spans="1:10">
      <c r="A35" s="198" t="s">
        <v>32</v>
      </c>
      <c r="B35" s="198"/>
      <c r="C35" s="198"/>
      <c r="D35" s="163">
        <f>D9+D24+D25+D26+SUM(D30:D34)</f>
        <v>81966396</v>
      </c>
      <c r="E35" s="163">
        <f>E9+E24+E25+E26+SUM(E30:E34)</f>
        <v>76303259</v>
      </c>
      <c r="F35" s="163">
        <f t="shared" si="0"/>
        <v>5663137</v>
      </c>
      <c r="G35" s="1445">
        <f t="shared" si="1"/>
        <v>7.4218808924006771E-2</v>
      </c>
      <c r="I35" s="149"/>
      <c r="J35" s="193"/>
    </row>
    <row r="36" spans="1:10">
      <c r="A36" s="1461"/>
      <c r="B36" s="14"/>
      <c r="C36" s="10"/>
      <c r="D36" s="164"/>
      <c r="E36" s="164"/>
      <c r="F36" s="164">
        <f t="shared" si="0"/>
        <v>0</v>
      </c>
      <c r="G36" s="1446"/>
      <c r="I36" s="177"/>
      <c r="J36" s="193"/>
    </row>
    <row r="37" spans="1:10">
      <c r="A37" s="1459" t="s">
        <v>33</v>
      </c>
      <c r="B37" s="8"/>
      <c r="C37" s="15" t="s">
        <v>34</v>
      </c>
      <c r="D37" s="165"/>
      <c r="E37" s="165"/>
      <c r="F37" s="165">
        <f t="shared" si="0"/>
        <v>0</v>
      </c>
      <c r="G37" s="1447"/>
      <c r="I37" s="149"/>
      <c r="J37" s="193"/>
    </row>
    <row r="38" spans="1:10">
      <c r="A38" s="1459">
        <v>1</v>
      </c>
      <c r="B38" s="9" t="s">
        <v>35</v>
      </c>
      <c r="C38" s="16"/>
      <c r="D38" s="165">
        <f>SUM(D39:D40)</f>
        <v>13317279</v>
      </c>
      <c r="E38" s="165">
        <f>SUM(E39:E40)</f>
        <v>11099691</v>
      </c>
      <c r="F38" s="165">
        <f t="shared" si="0"/>
        <v>2217588</v>
      </c>
      <c r="G38" s="1447">
        <f t="shared" si="1"/>
        <v>0.1997882643760083</v>
      </c>
      <c r="I38" s="149"/>
      <c r="J38" s="193"/>
    </row>
    <row r="39" spans="1:10">
      <c r="A39" s="1459"/>
      <c r="B39" s="11" t="s">
        <v>36</v>
      </c>
      <c r="C39" s="13"/>
      <c r="D39" s="160">
        <f>+ROUND('CE Min'!D158,0)</f>
        <v>12593878</v>
      </c>
      <c r="E39" s="160">
        <f>+ROUND('CE Min'!E158,0)</f>
        <v>10705055</v>
      </c>
      <c r="F39" s="160">
        <f t="shared" si="0"/>
        <v>1888823</v>
      </c>
      <c r="G39" s="1443">
        <f t="shared" si="1"/>
        <v>0.1764421574667295</v>
      </c>
      <c r="I39" s="177"/>
      <c r="J39" s="193"/>
    </row>
    <row r="40" spans="1:10">
      <c r="A40" s="1461"/>
      <c r="B40" s="11" t="s">
        <v>37</v>
      </c>
      <c r="C40" s="13"/>
      <c r="D40" s="160">
        <f>+ROUND('CE Min'!D189,0)</f>
        <v>723401</v>
      </c>
      <c r="E40" s="160">
        <f>+ROUND('CE Min'!E189,0)</f>
        <v>394636</v>
      </c>
      <c r="F40" s="160">
        <f t="shared" si="0"/>
        <v>328765</v>
      </c>
      <c r="G40" s="1443">
        <f t="shared" si="1"/>
        <v>0.83308415856637508</v>
      </c>
      <c r="I40" s="177"/>
      <c r="J40" s="193"/>
    </row>
    <row r="41" spans="1:10">
      <c r="A41" s="1459">
        <v>2</v>
      </c>
      <c r="B41" s="9" t="s">
        <v>38</v>
      </c>
      <c r="C41" s="16"/>
      <c r="D41" s="165">
        <f>SUM(D42:D58)</f>
        <v>8076735</v>
      </c>
      <c r="E41" s="165">
        <f>SUM(E42:E58)</f>
        <v>6989035</v>
      </c>
      <c r="F41" s="165">
        <f t="shared" si="0"/>
        <v>1087700</v>
      </c>
      <c r="G41" s="1447">
        <f t="shared" si="1"/>
        <v>0.15562949677602131</v>
      </c>
      <c r="I41" s="149"/>
      <c r="J41" s="193"/>
    </row>
    <row r="42" spans="1:10">
      <c r="A42" s="1461"/>
      <c r="B42" s="12" t="s">
        <v>39</v>
      </c>
      <c r="C42" s="11"/>
      <c r="D42" s="160">
        <f>+ROUND('CE Min'!D199,0)</f>
        <v>0</v>
      </c>
      <c r="E42" s="160">
        <f>+ROUND('CE Min'!E199,0)</f>
        <v>0</v>
      </c>
      <c r="F42" s="160">
        <f t="shared" si="0"/>
        <v>0</v>
      </c>
      <c r="G42" s="1443"/>
      <c r="I42" s="177"/>
      <c r="J42" s="193"/>
    </row>
    <row r="43" spans="1:10">
      <c r="A43" s="1461"/>
      <c r="B43" s="12" t="s">
        <v>40</v>
      </c>
      <c r="C43" s="11"/>
      <c r="D43" s="160">
        <f>+ROUND('CE Min'!D207,0)</f>
        <v>0</v>
      </c>
      <c r="E43" s="160">
        <f>+ROUND('CE Min'!E207,0)</f>
        <v>0</v>
      </c>
      <c r="F43" s="160">
        <f t="shared" si="0"/>
        <v>0</v>
      </c>
      <c r="G43" s="1443"/>
      <c r="I43" s="177"/>
      <c r="J43" s="193"/>
    </row>
    <row r="44" spans="1:10">
      <c r="A44" s="1461"/>
      <c r="B44" s="12" t="s">
        <v>41</v>
      </c>
      <c r="C44" s="11"/>
      <c r="D44" s="160">
        <f>+ROUND('CE Min'!D211,0)</f>
        <v>408536</v>
      </c>
      <c r="E44" s="160">
        <f>+ROUND('CE Min'!E211,0)</f>
        <v>936143</v>
      </c>
      <c r="F44" s="160">
        <f t="shared" si="0"/>
        <v>-527607</v>
      </c>
      <c r="G44" s="1443">
        <f t="shared" si="1"/>
        <v>-0.56359658727352557</v>
      </c>
      <c r="I44" s="177"/>
      <c r="J44" s="193"/>
    </row>
    <row r="45" spans="1:10">
      <c r="A45" s="1461"/>
      <c r="B45" s="12" t="s">
        <v>42</v>
      </c>
      <c r="C45" s="11"/>
      <c r="D45" s="160">
        <f>+ROUND('CE Min'!D230,0)</f>
        <v>0</v>
      </c>
      <c r="E45" s="160">
        <f>+ROUND('CE Min'!E230,0)</f>
        <v>0</v>
      </c>
      <c r="F45" s="160">
        <f t="shared" si="0"/>
        <v>0</v>
      </c>
      <c r="G45" s="1443"/>
      <c r="I45" s="177"/>
      <c r="J45" s="193"/>
    </row>
    <row r="46" spans="1:10">
      <c r="A46" s="1461"/>
      <c r="B46" s="12" t="s">
        <v>43</v>
      </c>
      <c r="C46" s="11"/>
      <c r="D46" s="160">
        <f>+ROUND('CE Min'!D236,0)</f>
        <v>0</v>
      </c>
      <c r="E46" s="160">
        <f>+ROUND('CE Min'!E236,0)</f>
        <v>0</v>
      </c>
      <c r="F46" s="160">
        <f t="shared" si="0"/>
        <v>0</v>
      </c>
      <c r="G46" s="1443"/>
      <c r="I46" s="177"/>
      <c r="J46" s="193"/>
    </row>
    <row r="47" spans="1:10">
      <c r="A47" s="1461"/>
      <c r="B47" s="12" t="s">
        <v>44</v>
      </c>
      <c r="C47" s="11"/>
      <c r="D47" s="160">
        <f>+ROUND('CE Min'!D241,0)</f>
        <v>0</v>
      </c>
      <c r="E47" s="160">
        <f>+ROUND('CE Min'!E241,0)</f>
        <v>0</v>
      </c>
      <c r="F47" s="160">
        <f t="shared" si="0"/>
        <v>0</v>
      </c>
      <c r="G47" s="1443"/>
      <c r="I47" s="177"/>
      <c r="J47" s="193"/>
    </row>
    <row r="48" spans="1:10">
      <c r="A48" s="1461"/>
      <c r="B48" s="12" t="s">
        <v>45</v>
      </c>
      <c r="C48" s="11"/>
      <c r="D48" s="160">
        <f>+ROUND('CE Min'!D246,0)</f>
        <v>0</v>
      </c>
      <c r="E48" s="160">
        <f>+ROUND('CE Min'!E246,0)</f>
        <v>0</v>
      </c>
      <c r="F48" s="160">
        <f t="shared" si="0"/>
        <v>0</v>
      </c>
      <c r="G48" s="1443"/>
      <c r="I48" s="177"/>
      <c r="J48" s="193"/>
    </row>
    <row r="49" spans="1:10">
      <c r="A49" s="1461"/>
      <c r="B49" s="12" t="s">
        <v>46</v>
      </c>
      <c r="C49" s="11"/>
      <c r="D49" s="160">
        <f>+ROUND('CE Min'!D256,0)</f>
        <v>0</v>
      </c>
      <c r="E49" s="160">
        <f>+ROUND('CE Min'!E256,0)</f>
        <v>0</v>
      </c>
      <c r="F49" s="160">
        <f t="shared" si="0"/>
        <v>0</v>
      </c>
      <c r="G49" s="1443"/>
      <c r="I49" s="177"/>
      <c r="J49" s="193"/>
    </row>
    <row r="50" spans="1:10">
      <c r="A50" s="1461"/>
      <c r="B50" s="12" t="s">
        <v>47</v>
      </c>
      <c r="C50" s="11"/>
      <c r="D50" s="160">
        <f>+ROUND('CE Min'!D262,0)</f>
        <v>17717</v>
      </c>
      <c r="E50" s="160">
        <f>+ROUND('CE Min'!E262,0)</f>
        <v>45428</v>
      </c>
      <c r="F50" s="160">
        <f t="shared" si="0"/>
        <v>-27711</v>
      </c>
      <c r="G50" s="1443">
        <f t="shared" si="1"/>
        <v>-0.60999823897155936</v>
      </c>
      <c r="I50" s="177"/>
      <c r="J50" s="193"/>
    </row>
    <row r="51" spans="1:10">
      <c r="A51" s="1461"/>
      <c r="B51" s="12" t="s">
        <v>48</v>
      </c>
      <c r="C51" s="11"/>
      <c r="D51" s="160">
        <f>+ROUND('CE Min'!D269,0)</f>
        <v>0</v>
      </c>
      <c r="E51" s="160">
        <f>+ROUND('CE Min'!E269,0)</f>
        <v>0</v>
      </c>
      <c r="F51" s="160">
        <f t="shared" si="0"/>
        <v>0</v>
      </c>
      <c r="G51" s="1443"/>
      <c r="I51" s="177"/>
      <c r="J51" s="193"/>
    </row>
    <row r="52" spans="1:10">
      <c r="A52" s="1461"/>
      <c r="B52" s="12" t="s">
        <v>49</v>
      </c>
      <c r="C52" s="11"/>
      <c r="D52" s="160">
        <f>+ROUND('CE Min'!D275,0)</f>
        <v>12020</v>
      </c>
      <c r="E52" s="160">
        <f>+ROUND('CE Min'!E275,0)</f>
        <v>13717</v>
      </c>
      <c r="F52" s="160">
        <f t="shared" si="0"/>
        <v>-1697</v>
      </c>
      <c r="G52" s="1443">
        <f t="shared" si="1"/>
        <v>-0.12371509805351025</v>
      </c>
      <c r="I52" s="177"/>
      <c r="J52" s="193"/>
    </row>
    <row r="53" spans="1:10">
      <c r="A53" s="1461"/>
      <c r="B53" s="12" t="s">
        <v>50</v>
      </c>
      <c r="C53" s="11"/>
      <c r="D53" s="160">
        <f>+ROUND('CE Min'!D280,0)</f>
        <v>551747</v>
      </c>
      <c r="E53" s="160">
        <f>+ROUND('CE Min'!E280,0)</f>
        <v>0</v>
      </c>
      <c r="F53" s="160">
        <f t="shared" si="0"/>
        <v>551747</v>
      </c>
      <c r="G53" s="1443">
        <v>1</v>
      </c>
      <c r="I53" s="177"/>
      <c r="J53" s="193"/>
    </row>
    <row r="54" spans="1:10">
      <c r="A54" s="1461"/>
      <c r="B54" s="12" t="s">
        <v>51</v>
      </c>
      <c r="C54" s="11"/>
      <c r="D54" s="160">
        <f>+ROUND('CE Min'!D289,0)</f>
        <v>640542</v>
      </c>
      <c r="E54" s="160">
        <f>+ROUND('CE Min'!E289,0)</f>
        <v>765918</v>
      </c>
      <c r="F54" s="160">
        <f t="shared" si="0"/>
        <v>-125376</v>
      </c>
      <c r="G54" s="1443">
        <f t="shared" si="1"/>
        <v>-0.16369376356215679</v>
      </c>
      <c r="I54" s="177"/>
      <c r="J54" s="193"/>
    </row>
    <row r="55" spans="1:10">
      <c r="A55" s="1461"/>
      <c r="B55" s="12" t="s">
        <v>52</v>
      </c>
      <c r="C55" s="11"/>
      <c r="D55" s="160">
        <f>+ROUND('CE Min'!D297,0)</f>
        <v>2597958</v>
      </c>
      <c r="E55" s="160">
        <f>+ROUND('CE Min'!E297,0)</f>
        <v>1317207</v>
      </c>
      <c r="F55" s="160">
        <f t="shared" si="0"/>
        <v>1280751</v>
      </c>
      <c r="G55" s="1443">
        <f t="shared" si="1"/>
        <v>0.97232325670908215</v>
      </c>
      <c r="I55" s="177"/>
      <c r="J55" s="193"/>
    </row>
    <row r="56" spans="1:10">
      <c r="A56" s="1461"/>
      <c r="B56" s="12" t="s">
        <v>53</v>
      </c>
      <c r="C56" s="32"/>
      <c r="D56" s="160">
        <f>+ROUND('CE Min'!D305,0)</f>
        <v>3354497</v>
      </c>
      <c r="E56" s="160">
        <f>+ROUND('CE Min'!E305,0)</f>
        <v>3362598</v>
      </c>
      <c r="F56" s="160">
        <f t="shared" si="0"/>
        <v>-8101</v>
      </c>
      <c r="G56" s="1443">
        <f t="shared" si="1"/>
        <v>-2.409149116248805E-3</v>
      </c>
      <c r="I56" s="177"/>
      <c r="J56" s="193"/>
    </row>
    <row r="57" spans="1:10">
      <c r="A57" s="1461"/>
      <c r="B57" s="12" t="s">
        <v>54</v>
      </c>
      <c r="C57" s="11"/>
      <c r="D57" s="160">
        <f>+ROUND('CE Min'!D319,0)</f>
        <v>493718</v>
      </c>
      <c r="E57" s="160">
        <f>+ROUND('CE Min'!E319,0)</f>
        <v>548024</v>
      </c>
      <c r="F57" s="160">
        <f t="shared" si="0"/>
        <v>-54306</v>
      </c>
      <c r="G57" s="1443">
        <f t="shared" si="1"/>
        <v>-9.9094200254003478E-2</v>
      </c>
      <c r="I57" s="177"/>
      <c r="J57" s="193"/>
    </row>
    <row r="58" spans="1:10">
      <c r="A58" s="1461"/>
      <c r="B58" s="12" t="s">
        <v>55</v>
      </c>
      <c r="C58" s="11"/>
      <c r="D58" s="160">
        <f>+ROUND('CE Min'!D327,0)</f>
        <v>0</v>
      </c>
      <c r="E58" s="160">
        <f>+ROUND('CE Min'!E327,0)</f>
        <v>0</v>
      </c>
      <c r="F58" s="160">
        <f t="shared" si="0"/>
        <v>0</v>
      </c>
      <c r="G58" s="1443"/>
      <c r="I58" s="177"/>
      <c r="J58" s="193"/>
    </row>
    <row r="59" spans="1:10">
      <c r="A59" s="1459">
        <v>3</v>
      </c>
      <c r="B59" s="9" t="s">
        <v>56</v>
      </c>
      <c r="C59" s="16"/>
      <c r="D59" s="165">
        <f>SUM(D60:D62)</f>
        <v>8204386</v>
      </c>
      <c r="E59" s="165">
        <f>SUM(E60:E62)</f>
        <v>7895722</v>
      </c>
      <c r="F59" s="165">
        <f t="shared" si="0"/>
        <v>308664</v>
      </c>
      <c r="G59" s="1447">
        <f t="shared" si="1"/>
        <v>3.9092561769525323E-2</v>
      </c>
      <c r="I59" s="149"/>
      <c r="J59" s="193"/>
    </row>
    <row r="60" spans="1:10">
      <c r="A60" s="1461"/>
      <c r="B60" s="12" t="s">
        <v>57</v>
      </c>
      <c r="C60" s="11"/>
      <c r="D60" s="160">
        <f>+ROUND('CE Min'!D329,0)</f>
        <v>7655920</v>
      </c>
      <c r="E60" s="160">
        <f>+ROUND('CE Min'!E329,0)</f>
        <v>7285742</v>
      </c>
      <c r="F60" s="160">
        <f t="shared" si="0"/>
        <v>370178</v>
      </c>
      <c r="G60" s="1443">
        <f t="shared" si="1"/>
        <v>5.0808551826293055E-2</v>
      </c>
      <c r="I60" s="177"/>
      <c r="J60" s="193"/>
    </row>
    <row r="61" spans="1:10">
      <c r="A61" s="1461"/>
      <c r="B61" s="12" t="s">
        <v>58</v>
      </c>
      <c r="C61" s="32"/>
      <c r="D61" s="160">
        <f>+ROUND('CE Min'!D349,0)</f>
        <v>513567</v>
      </c>
      <c r="E61" s="160">
        <f>+ROUND('CE Min'!E349,0)</f>
        <v>488267</v>
      </c>
      <c r="F61" s="160">
        <f t="shared" si="0"/>
        <v>25300</v>
      </c>
      <c r="G61" s="1443">
        <f t="shared" si="1"/>
        <v>5.1815912195581515E-2</v>
      </c>
      <c r="I61" s="177"/>
      <c r="J61" s="193"/>
    </row>
    <row r="62" spans="1:10">
      <c r="A62" s="1461"/>
      <c r="B62" s="12" t="s">
        <v>59</v>
      </c>
      <c r="C62" s="11"/>
      <c r="D62" s="160">
        <f>+ROUND('CE Min'!D363,0)</f>
        <v>34899</v>
      </c>
      <c r="E62" s="160">
        <f>+ROUND('CE Min'!E363,0)</f>
        <v>121713</v>
      </c>
      <c r="F62" s="160">
        <f t="shared" si="0"/>
        <v>-86814</v>
      </c>
      <c r="G62" s="1443">
        <f t="shared" si="1"/>
        <v>-0.71326809790244261</v>
      </c>
      <c r="I62" s="177"/>
      <c r="J62" s="193"/>
    </row>
    <row r="63" spans="1:10">
      <c r="A63" s="1459">
        <v>4</v>
      </c>
      <c r="B63" s="17" t="s">
        <v>60</v>
      </c>
      <c r="C63" s="16"/>
      <c r="D63" s="165">
        <f>+ROUND('CE Min'!D366,0)</f>
        <v>1889414</v>
      </c>
      <c r="E63" s="165">
        <f>+ROUND('CE Min'!E366,0)</f>
        <v>1683760</v>
      </c>
      <c r="F63" s="165">
        <f t="shared" si="0"/>
        <v>205654</v>
      </c>
      <c r="G63" s="1447">
        <f t="shared" si="1"/>
        <v>0.12213973487908016</v>
      </c>
      <c r="I63" s="149"/>
      <c r="J63" s="193"/>
    </row>
    <row r="64" spans="1:10">
      <c r="A64" s="1459">
        <v>5</v>
      </c>
      <c r="B64" s="9" t="s">
        <v>61</v>
      </c>
      <c r="C64" s="9"/>
      <c r="D64" s="165">
        <f>+ROUND('CE Min'!D374,0)</f>
        <v>653354</v>
      </c>
      <c r="E64" s="165">
        <f>+ROUND('CE Min'!E374,0)</f>
        <v>300970</v>
      </c>
      <c r="F64" s="165">
        <f t="shared" si="0"/>
        <v>352384</v>
      </c>
      <c r="G64" s="1447">
        <f t="shared" si="1"/>
        <v>1.1708276572415854</v>
      </c>
      <c r="I64" s="149"/>
      <c r="J64" s="193"/>
    </row>
    <row r="65" spans="1:10">
      <c r="A65" s="1459">
        <v>6</v>
      </c>
      <c r="B65" s="9" t="s">
        <v>62</v>
      </c>
      <c r="C65" s="16"/>
      <c r="D65" s="165">
        <f>SUM(D66:D70)</f>
        <v>38942494</v>
      </c>
      <c r="E65" s="165">
        <f>SUM(E66:E70)</f>
        <v>36730245</v>
      </c>
      <c r="F65" s="165">
        <f t="shared" si="0"/>
        <v>2212249</v>
      </c>
      <c r="G65" s="1447">
        <f t="shared" si="1"/>
        <v>6.0229628198777328E-2</v>
      </c>
      <c r="H65" s="743"/>
      <c r="I65" s="149"/>
      <c r="J65" s="193"/>
    </row>
    <row r="66" spans="1:10">
      <c r="A66" s="1459"/>
      <c r="B66" s="11" t="s">
        <v>63</v>
      </c>
      <c r="C66" s="13"/>
      <c r="D66" s="160">
        <f>+ROUND('CE Min'!D387,0)</f>
        <v>14013311</v>
      </c>
      <c r="E66" s="160">
        <f>+ROUND('CE Min'!E387,0)</f>
        <v>13555862</v>
      </c>
      <c r="F66" s="160">
        <f t="shared" si="0"/>
        <v>457449</v>
      </c>
      <c r="G66" s="1443">
        <f t="shared" si="1"/>
        <v>3.374547483590494E-2</v>
      </c>
      <c r="I66" s="177"/>
      <c r="J66" s="193"/>
    </row>
    <row r="67" spans="1:10">
      <c r="A67" s="1459"/>
      <c r="B67" s="11" t="s">
        <v>64</v>
      </c>
      <c r="C67" s="13"/>
      <c r="D67" s="160">
        <f>+ROUND('CE Min'!D391,0)</f>
        <v>1679198</v>
      </c>
      <c r="E67" s="160">
        <f>+ROUND('CE Min'!E391,0)</f>
        <v>1575926</v>
      </c>
      <c r="F67" s="160">
        <f t="shared" si="0"/>
        <v>103272</v>
      </c>
      <c r="G67" s="1443">
        <f t="shared" si="1"/>
        <v>6.5530995744724055E-2</v>
      </c>
      <c r="I67" s="177"/>
      <c r="J67" s="193"/>
    </row>
    <row r="68" spans="1:10">
      <c r="A68" s="1459"/>
      <c r="B68" s="11" t="s">
        <v>65</v>
      </c>
      <c r="C68" s="13"/>
      <c r="D68" s="160">
        <f>+ROUND('CE Min'!D395,0)</f>
        <v>15944638</v>
      </c>
      <c r="E68" s="160">
        <f>+ROUND('CE Min'!E395,0)</f>
        <v>14418549</v>
      </c>
      <c r="F68" s="160">
        <f t="shared" si="0"/>
        <v>1526089</v>
      </c>
      <c r="G68" s="1443">
        <f t="shared" si="1"/>
        <v>0.10584206496784107</v>
      </c>
      <c r="I68" s="177"/>
      <c r="J68" s="193"/>
    </row>
    <row r="69" spans="1:10">
      <c r="A69" s="1461"/>
      <c r="B69" s="11" t="s">
        <v>66</v>
      </c>
      <c r="C69" s="13"/>
      <c r="D69" s="160">
        <f>+ROUND('CE Min'!D400+'CE Min'!D409+'CE Min'!D418,0)</f>
        <v>955728</v>
      </c>
      <c r="E69" s="160">
        <f>+ROUND('CE Min'!E400+'CE Min'!E409+'CE Min'!E418,0)</f>
        <v>848422</v>
      </c>
      <c r="F69" s="160">
        <f t="shared" si="0"/>
        <v>107306</v>
      </c>
      <c r="G69" s="1443">
        <f t="shared" si="1"/>
        <v>0.12647715405776841</v>
      </c>
      <c r="I69" s="177"/>
      <c r="J69" s="193"/>
    </row>
    <row r="70" spans="1:10">
      <c r="A70" s="1461"/>
      <c r="B70" s="11" t="s">
        <v>67</v>
      </c>
      <c r="C70" s="13"/>
      <c r="D70" s="160">
        <f>+ROUND('CE Min'!D404+'CE Min'!D413+'CE Min'!D422,0)</f>
        <v>6349619</v>
      </c>
      <c r="E70" s="160">
        <f>+ROUND('CE Min'!E404+'CE Min'!E413+'CE Min'!E422,0)</f>
        <v>6331486</v>
      </c>
      <c r="F70" s="160">
        <f t="shared" si="0"/>
        <v>18133</v>
      </c>
      <c r="G70" s="1443">
        <f t="shared" si="1"/>
        <v>2.8639406294193813E-3</v>
      </c>
      <c r="I70" s="177"/>
    </row>
    <row r="71" spans="1:10">
      <c r="A71" s="1459">
        <v>7</v>
      </c>
      <c r="B71" s="17" t="s">
        <v>68</v>
      </c>
      <c r="C71" s="9"/>
      <c r="D71" s="165">
        <f>+ROUND('CE Min'!D426,0)</f>
        <v>803779</v>
      </c>
      <c r="E71" s="165">
        <f>+ROUND('CE Min'!E426,0)</f>
        <v>873901</v>
      </c>
      <c r="F71" s="165">
        <f t="shared" si="0"/>
        <v>-70122</v>
      </c>
      <c r="G71" s="1447">
        <f t="shared" si="1"/>
        <v>-8.0240210275534643E-2</v>
      </c>
      <c r="I71" s="149"/>
    </row>
    <row r="72" spans="1:10">
      <c r="A72" s="1459">
        <v>8</v>
      </c>
      <c r="B72" s="17" t="s">
        <v>69</v>
      </c>
      <c r="C72" s="9"/>
      <c r="D72" s="165">
        <f>SUM(D73:D75)</f>
        <v>2164534</v>
      </c>
      <c r="E72" s="165">
        <f>SUM(E73:E75)</f>
        <v>1724598</v>
      </c>
      <c r="F72" s="165">
        <f t="shared" si="0"/>
        <v>439936</v>
      </c>
      <c r="G72" s="1447">
        <f t="shared" si="1"/>
        <v>0.25509481050076599</v>
      </c>
      <c r="I72" s="149"/>
    </row>
    <row r="73" spans="1:10">
      <c r="A73" s="1459"/>
      <c r="B73" s="11" t="s">
        <v>70</v>
      </c>
      <c r="C73" s="13"/>
      <c r="D73" s="160">
        <f>+ROUND('CE Min'!D435,0)</f>
        <v>3498</v>
      </c>
      <c r="E73" s="160">
        <f>+ROUND('CE Min'!E435,0)</f>
        <v>854</v>
      </c>
      <c r="F73" s="160">
        <f t="shared" si="0"/>
        <v>2644</v>
      </c>
      <c r="G73" s="1443">
        <f t="shared" si="1"/>
        <v>3.0960187353629975</v>
      </c>
      <c r="I73" s="177"/>
    </row>
    <row r="74" spans="1:10">
      <c r="A74" s="1459"/>
      <c r="B74" s="11" t="s">
        <v>71</v>
      </c>
      <c r="C74" s="13"/>
      <c r="D74" s="160">
        <f>+ROUND('CE Min'!D437,0)</f>
        <v>799659</v>
      </c>
      <c r="E74" s="160">
        <f>+ROUND('CE Min'!E437,0)</f>
        <v>799008</v>
      </c>
      <c r="F74" s="160">
        <f t="shared" ref="F74:F120" si="2">+D74-E74</f>
        <v>651</v>
      </c>
      <c r="G74" s="1443">
        <f t="shared" ref="G74:G120" si="3">F74/E74</f>
        <v>8.1476030277544153E-4</v>
      </c>
      <c r="I74" s="177"/>
    </row>
    <row r="75" spans="1:10">
      <c r="A75" s="1461"/>
      <c r="B75" s="11" t="s">
        <v>72</v>
      </c>
      <c r="C75" s="13"/>
      <c r="D75" s="160">
        <f>+ROUND('CE Min'!D440,0)</f>
        <v>1361377</v>
      </c>
      <c r="E75" s="160">
        <f>+ROUND('CE Min'!E440,0)</f>
        <v>924736</v>
      </c>
      <c r="F75" s="160">
        <f t="shared" si="2"/>
        <v>436641</v>
      </c>
      <c r="G75" s="1443">
        <f t="shared" si="3"/>
        <v>0.47217908678801301</v>
      </c>
      <c r="I75" s="177"/>
    </row>
    <row r="76" spans="1:10">
      <c r="A76" s="1459">
        <v>9</v>
      </c>
      <c r="B76" s="17" t="s">
        <v>73</v>
      </c>
      <c r="C76" s="9"/>
      <c r="D76" s="165">
        <f>+ROUND('CE Min'!D441,0)</f>
        <v>54783</v>
      </c>
      <c r="E76" s="165">
        <f>+ROUND('CE Min'!E441,0)</f>
        <v>90694</v>
      </c>
      <c r="F76" s="165">
        <f t="shared" si="2"/>
        <v>-35911</v>
      </c>
      <c r="G76" s="1447">
        <f t="shared" si="3"/>
        <v>-0.39595783624054515</v>
      </c>
      <c r="I76" s="149"/>
    </row>
    <row r="77" spans="1:10">
      <c r="A77" s="1459">
        <v>10</v>
      </c>
      <c r="B77" s="9" t="s">
        <v>74</v>
      </c>
      <c r="C77" s="16"/>
      <c r="D77" s="165">
        <f>SUM(D78:D79)</f>
        <v>-31165</v>
      </c>
      <c r="E77" s="165">
        <f>SUM(E78:E79)</f>
        <v>-52203</v>
      </c>
      <c r="F77" s="165">
        <f t="shared" si="2"/>
        <v>21038</v>
      </c>
      <c r="G77" s="1447">
        <f t="shared" si="3"/>
        <v>-0.40300365879355593</v>
      </c>
      <c r="I77" s="149"/>
    </row>
    <row r="78" spans="1:10">
      <c r="A78" s="1459"/>
      <c r="B78" s="11" t="s">
        <v>75</v>
      </c>
      <c r="C78" s="13"/>
      <c r="D78" s="160">
        <f>+ROUND('CE Min'!D445,0)</f>
        <v>-17882</v>
      </c>
      <c r="E78" s="160">
        <f>+ROUND('CE Min'!E445,0)</f>
        <v>-65465</v>
      </c>
      <c r="F78" s="160">
        <f t="shared" si="2"/>
        <v>47583</v>
      </c>
      <c r="G78" s="1443">
        <f t="shared" si="3"/>
        <v>-0.72684640647674326</v>
      </c>
      <c r="I78" s="177"/>
    </row>
    <row r="79" spans="1:10">
      <c r="A79" s="1459"/>
      <c r="B79" s="11" t="s">
        <v>76</v>
      </c>
      <c r="C79" s="13"/>
      <c r="D79" s="160">
        <f>+ROUND('CE Min'!D454,0)</f>
        <v>-13283</v>
      </c>
      <c r="E79" s="160">
        <f>+ROUND('CE Min'!E454,0)</f>
        <v>13262</v>
      </c>
      <c r="F79" s="160">
        <f t="shared" si="2"/>
        <v>-26545</v>
      </c>
      <c r="G79" s="1443">
        <f t="shared" si="3"/>
        <v>-2.0015834715729151</v>
      </c>
      <c r="I79" s="177"/>
    </row>
    <row r="80" spans="1:10">
      <c r="A80" s="1459">
        <v>11</v>
      </c>
      <c r="B80" s="9" t="s">
        <v>77</v>
      </c>
      <c r="C80" s="16"/>
      <c r="D80" s="165">
        <f>SUM(D81:D84)</f>
        <v>5252577</v>
      </c>
      <c r="E80" s="165">
        <f>SUM(E81:E84)</f>
        <v>6105816</v>
      </c>
      <c r="F80" s="165">
        <f t="shared" si="2"/>
        <v>-853239</v>
      </c>
      <c r="G80" s="1447">
        <f t="shared" si="3"/>
        <v>-0.13974200991317132</v>
      </c>
      <c r="I80" s="149"/>
    </row>
    <row r="81" spans="1:9">
      <c r="A81" s="1459"/>
      <c r="B81" s="11" t="s">
        <v>78</v>
      </c>
      <c r="C81" s="10"/>
      <c r="D81" s="160">
        <f>+ROUND('CE Min'!D462,0)</f>
        <v>0</v>
      </c>
      <c r="E81" s="160">
        <f>+ROUND('CE Min'!E462,0)</f>
        <v>573203</v>
      </c>
      <c r="F81" s="160">
        <f t="shared" si="2"/>
        <v>-573203</v>
      </c>
      <c r="G81" s="1443">
        <f t="shared" si="3"/>
        <v>-1</v>
      </c>
      <c r="I81" s="177"/>
    </row>
    <row r="82" spans="1:9">
      <c r="A82" s="1459"/>
      <c r="B82" s="11" t="s">
        <v>79</v>
      </c>
      <c r="C82" s="10"/>
      <c r="D82" s="160">
        <f>+ROUND('CE Min'!D470,0)</f>
        <v>0</v>
      </c>
      <c r="E82" s="160">
        <f>+ROUND('CE Min'!E470,0)</f>
        <v>0</v>
      </c>
      <c r="F82" s="160">
        <f t="shared" si="2"/>
        <v>0</v>
      </c>
      <c r="G82" s="1443"/>
      <c r="I82" s="177"/>
    </row>
    <row r="83" spans="1:9">
      <c r="A83" s="1459"/>
      <c r="B83" s="11" t="s">
        <v>80</v>
      </c>
      <c r="C83" s="10"/>
      <c r="D83" s="160">
        <f>+ROUND('CE Min'!D471,0)</f>
        <v>4857696</v>
      </c>
      <c r="E83" s="160">
        <f>+ROUND('CE Min'!E471,0)</f>
        <v>5362916</v>
      </c>
      <c r="F83" s="160">
        <f t="shared" si="2"/>
        <v>-505220</v>
      </c>
      <c r="G83" s="1443">
        <f t="shared" si="3"/>
        <v>-9.4206211695279207E-2</v>
      </c>
      <c r="I83" s="177"/>
    </row>
    <row r="84" spans="1:9">
      <c r="A84" s="1459"/>
      <c r="B84" s="11" t="s">
        <v>81</v>
      </c>
      <c r="C84" s="10"/>
      <c r="D84" s="160">
        <f>+ROUND('CE Min'!D478,0)</f>
        <v>394881</v>
      </c>
      <c r="E84" s="160">
        <f>+ROUND('CE Min'!E478,0)</f>
        <v>169697</v>
      </c>
      <c r="F84" s="160">
        <f t="shared" si="2"/>
        <v>225184</v>
      </c>
      <c r="G84" s="1443">
        <f t="shared" si="3"/>
        <v>1.3269769058969811</v>
      </c>
      <c r="I84" s="177"/>
    </row>
    <row r="85" spans="1:9">
      <c r="A85" s="198" t="s">
        <v>82</v>
      </c>
      <c r="B85" s="198"/>
      <c r="C85" s="198"/>
      <c r="D85" s="163">
        <f>D38+D41+D63+D64+D65+D71+D72+D76+D77+D80+D59</f>
        <v>79328170</v>
      </c>
      <c r="E85" s="163">
        <f>E38+E41+E63+E64+E65+E71+E72+E76+E77+E80+E59</f>
        <v>73442229</v>
      </c>
      <c r="F85" s="163">
        <f t="shared" si="2"/>
        <v>5885941</v>
      </c>
      <c r="G85" s="1445">
        <f t="shared" si="3"/>
        <v>8.0143822976832577E-2</v>
      </c>
      <c r="I85" s="149"/>
    </row>
    <row r="86" spans="1:9" ht="13.8" thickBot="1">
      <c r="A86" s="1462"/>
      <c r="B86" s="18"/>
      <c r="C86" s="19"/>
      <c r="D86" s="166"/>
      <c r="E86" s="166"/>
      <c r="F86" s="166">
        <f t="shared" si="2"/>
        <v>0</v>
      </c>
      <c r="G86" s="1463"/>
      <c r="I86" s="149"/>
    </row>
    <row r="87" spans="1:9" ht="13.8" thickBot="1">
      <c r="A87" s="199" t="s">
        <v>83</v>
      </c>
      <c r="B87" s="199"/>
      <c r="C87" s="199"/>
      <c r="D87" s="167">
        <f>+D35-D85</f>
        <v>2638226</v>
      </c>
      <c r="E87" s="167">
        <f>+E35-E85</f>
        <v>2861030</v>
      </c>
      <c r="F87" s="167">
        <f t="shared" si="2"/>
        <v>-222804</v>
      </c>
      <c r="G87" s="1448">
        <f t="shared" si="3"/>
        <v>-7.7875450449663236E-2</v>
      </c>
      <c r="I87" s="149"/>
    </row>
    <row r="88" spans="1:9">
      <c r="A88" s="1464"/>
      <c r="B88" s="20"/>
      <c r="C88" s="21"/>
      <c r="D88" s="164"/>
      <c r="E88" s="164"/>
      <c r="F88" s="164">
        <f t="shared" si="2"/>
        <v>0</v>
      </c>
      <c r="G88" s="1446"/>
      <c r="I88" s="177"/>
    </row>
    <row r="89" spans="1:9">
      <c r="A89" s="1459" t="s">
        <v>84</v>
      </c>
      <c r="B89" s="9" t="s">
        <v>85</v>
      </c>
      <c r="C89" s="16"/>
      <c r="D89" s="165"/>
      <c r="E89" s="165"/>
      <c r="F89" s="165">
        <f t="shared" si="2"/>
        <v>0</v>
      </c>
      <c r="G89" s="1447"/>
      <c r="I89" s="149"/>
    </row>
    <row r="90" spans="1:9">
      <c r="A90" s="1465"/>
      <c r="B90" s="8" t="s">
        <v>86</v>
      </c>
      <c r="C90" s="22" t="s">
        <v>87</v>
      </c>
      <c r="D90" s="161">
        <f>+ROUND('CE Min'!D491+'CE Min'!D495,0)</f>
        <v>1</v>
      </c>
      <c r="E90" s="161">
        <f>+ROUND('CE Min'!E491+'CE Min'!E495,0)</f>
        <v>12</v>
      </c>
      <c r="F90" s="161">
        <f t="shared" si="2"/>
        <v>-11</v>
      </c>
      <c r="G90" s="1444">
        <f t="shared" si="3"/>
        <v>-0.91666666666666663</v>
      </c>
      <c r="I90" s="149"/>
    </row>
    <row r="91" spans="1:9">
      <c r="A91" s="1465"/>
      <c r="B91" s="8" t="s">
        <v>88</v>
      </c>
      <c r="C91" s="22" t="s">
        <v>89</v>
      </c>
      <c r="D91" s="161">
        <f>+ROUND('CE Min'!D501+'CE Min'!D505,0)</f>
        <v>203</v>
      </c>
      <c r="E91" s="161">
        <f>+ROUND('CE Min'!E501+'CE Min'!E505,0)</f>
        <v>0</v>
      </c>
      <c r="F91" s="161">
        <f t="shared" si="2"/>
        <v>203</v>
      </c>
      <c r="G91" s="1444">
        <v>1</v>
      </c>
      <c r="I91" s="149"/>
    </row>
    <row r="92" spans="1:9">
      <c r="A92" s="198" t="s">
        <v>90</v>
      </c>
      <c r="B92" s="198"/>
      <c r="C92" s="198" t="s">
        <v>91</v>
      </c>
      <c r="D92" s="163">
        <f>+D90-D91</f>
        <v>-202</v>
      </c>
      <c r="E92" s="163">
        <f>+E90-E91</f>
        <v>12</v>
      </c>
      <c r="F92" s="163">
        <f t="shared" si="2"/>
        <v>-214</v>
      </c>
      <c r="G92" s="1445">
        <f t="shared" si="3"/>
        <v>-17.833333333333332</v>
      </c>
      <c r="I92" s="149"/>
    </row>
    <row r="93" spans="1:9">
      <c r="A93" s="1465"/>
      <c r="B93" s="23"/>
      <c r="C93" s="9"/>
      <c r="D93" s="165"/>
      <c r="E93" s="165"/>
      <c r="F93" s="165">
        <f t="shared" si="2"/>
        <v>0</v>
      </c>
      <c r="G93" s="1447"/>
      <c r="I93" s="149"/>
    </row>
    <row r="94" spans="1:9">
      <c r="A94" s="1459" t="s">
        <v>92</v>
      </c>
      <c r="B94" s="9" t="s">
        <v>93</v>
      </c>
      <c r="C94" s="9"/>
      <c r="D94" s="165"/>
      <c r="E94" s="165"/>
      <c r="F94" s="165">
        <f t="shared" si="2"/>
        <v>0</v>
      </c>
      <c r="G94" s="1447"/>
      <c r="I94" s="149"/>
    </row>
    <row r="95" spans="1:9">
      <c r="A95" s="1465"/>
      <c r="B95" s="8" t="s">
        <v>86</v>
      </c>
      <c r="C95" s="9" t="s">
        <v>94</v>
      </c>
      <c r="D95" s="161">
        <f>+ROUND(+'CE Min'!D510,0)</f>
        <v>0</v>
      </c>
      <c r="E95" s="161">
        <f>+ROUND(+'CE Min'!E510,0)</f>
        <v>0</v>
      </c>
      <c r="F95" s="161">
        <f t="shared" si="2"/>
        <v>0</v>
      </c>
      <c r="G95" s="1444"/>
      <c r="I95" s="149"/>
    </row>
    <row r="96" spans="1:9">
      <c r="A96" s="1465"/>
      <c r="B96" s="8" t="s">
        <v>88</v>
      </c>
      <c r="C96" s="9" t="s">
        <v>95</v>
      </c>
      <c r="D96" s="161">
        <f>+ROUND(+'CE Min'!D511,0)</f>
        <v>0</v>
      </c>
      <c r="E96" s="161">
        <f>+ROUND(+'CE Min'!E511,0)</f>
        <v>0</v>
      </c>
      <c r="F96" s="161">
        <f t="shared" si="2"/>
        <v>0</v>
      </c>
      <c r="G96" s="1444"/>
      <c r="I96" s="149"/>
    </row>
    <row r="97" spans="1:9">
      <c r="A97" s="198" t="s">
        <v>96</v>
      </c>
      <c r="B97" s="198"/>
      <c r="C97" s="198" t="s">
        <v>91</v>
      </c>
      <c r="D97" s="163">
        <f>D95-D96</f>
        <v>0</v>
      </c>
      <c r="E97" s="163">
        <f>E95-E96</f>
        <v>0</v>
      </c>
      <c r="F97" s="163">
        <f t="shared" si="2"/>
        <v>0</v>
      </c>
      <c r="G97" s="1445"/>
      <c r="I97" s="149"/>
    </row>
    <row r="98" spans="1:9">
      <c r="A98" s="1465"/>
      <c r="B98" s="23"/>
      <c r="C98" s="9"/>
      <c r="D98" s="168"/>
      <c r="E98" s="168"/>
      <c r="F98" s="168">
        <f t="shared" si="2"/>
        <v>0</v>
      </c>
      <c r="G98" s="1449"/>
      <c r="I98" s="149"/>
    </row>
    <row r="99" spans="1:9">
      <c r="A99" s="1466" t="s">
        <v>97</v>
      </c>
      <c r="B99" s="9" t="s">
        <v>98</v>
      </c>
      <c r="C99" s="16"/>
      <c r="D99" s="168"/>
      <c r="E99" s="168"/>
      <c r="F99" s="168">
        <f t="shared" si="2"/>
        <v>0</v>
      </c>
      <c r="G99" s="1449"/>
      <c r="I99" s="149"/>
    </row>
    <row r="100" spans="1:9">
      <c r="A100" s="1466"/>
      <c r="B100" s="24">
        <v>1</v>
      </c>
      <c r="C100" s="22" t="s">
        <v>99</v>
      </c>
      <c r="D100" s="168">
        <f>SUM(D101:D102)</f>
        <v>540765</v>
      </c>
      <c r="E100" s="168">
        <f>SUM(E101:E102)</f>
        <v>250987</v>
      </c>
      <c r="F100" s="168">
        <f t="shared" si="2"/>
        <v>289778</v>
      </c>
      <c r="G100" s="1449">
        <f t="shared" si="3"/>
        <v>1.1545538215126681</v>
      </c>
      <c r="I100" s="149"/>
    </row>
    <row r="101" spans="1:9">
      <c r="A101" s="1466"/>
      <c r="B101" s="24"/>
      <c r="C101" s="11" t="s">
        <v>100</v>
      </c>
      <c r="D101" s="160">
        <f>+ROUND(+'CE Min'!D515,0)</f>
        <v>0</v>
      </c>
      <c r="E101" s="160">
        <f>+ROUND(+'CE Min'!E515,0)</f>
        <v>0</v>
      </c>
      <c r="F101" s="160">
        <f t="shared" si="2"/>
        <v>0</v>
      </c>
      <c r="G101" s="1443"/>
      <c r="I101" s="177"/>
    </row>
    <row r="102" spans="1:9">
      <c r="A102" s="1466"/>
      <c r="B102" s="24"/>
      <c r="C102" s="11" t="s">
        <v>101</v>
      </c>
      <c r="D102" s="160">
        <f>+ROUND('CE Min'!D516,0)</f>
        <v>540765</v>
      </c>
      <c r="E102" s="160">
        <f>+ROUND('CE Min'!E516,0)</f>
        <v>250987</v>
      </c>
      <c r="F102" s="160">
        <f t="shared" si="2"/>
        <v>289778</v>
      </c>
      <c r="G102" s="1443">
        <f t="shared" si="3"/>
        <v>1.1545538215126681</v>
      </c>
      <c r="I102" s="177"/>
    </row>
    <row r="103" spans="1:9">
      <c r="A103" s="1466"/>
      <c r="B103" s="24">
        <v>2</v>
      </c>
      <c r="C103" s="9" t="s">
        <v>102</v>
      </c>
      <c r="D103" s="168">
        <f>SUM(D104:D105)</f>
        <v>331531</v>
      </c>
      <c r="E103" s="168">
        <f>SUM(E104:E105)</f>
        <v>297495</v>
      </c>
      <c r="F103" s="168">
        <f t="shared" si="2"/>
        <v>34036</v>
      </c>
      <c r="G103" s="1449">
        <f t="shared" si="3"/>
        <v>0.11440864552345417</v>
      </c>
      <c r="I103" s="177"/>
    </row>
    <row r="104" spans="1:9">
      <c r="A104" s="1466"/>
      <c r="B104" s="24"/>
      <c r="C104" s="11" t="s">
        <v>103</v>
      </c>
      <c r="D104" s="160">
        <f>+ROUND(+'CE Min'!D541,0)</f>
        <v>0</v>
      </c>
      <c r="E104" s="160">
        <f>+ROUND(+'CE Min'!E541,0)</f>
        <v>0</v>
      </c>
      <c r="F104" s="160">
        <f t="shared" si="2"/>
        <v>0</v>
      </c>
      <c r="G104" s="1443"/>
      <c r="I104" s="177"/>
    </row>
    <row r="105" spans="1:9">
      <c r="A105" s="1466"/>
      <c r="B105" s="24"/>
      <c r="C105" s="11" t="s">
        <v>104</v>
      </c>
      <c r="D105" s="160">
        <f>+ROUND('CE Min'!D542,0)</f>
        <v>331531</v>
      </c>
      <c r="E105" s="160">
        <f>+ROUND('CE Min'!E542,0)</f>
        <v>297495</v>
      </c>
      <c r="F105" s="160">
        <f t="shared" si="2"/>
        <v>34036</v>
      </c>
      <c r="G105" s="1443">
        <f t="shared" si="3"/>
        <v>0.11440864552345417</v>
      </c>
      <c r="I105" s="177"/>
    </row>
    <row r="106" spans="1:9">
      <c r="A106" s="198" t="s">
        <v>105</v>
      </c>
      <c r="B106" s="198"/>
      <c r="C106" s="198" t="s">
        <v>106</v>
      </c>
      <c r="D106" s="171">
        <f>D100-D103</f>
        <v>209234</v>
      </c>
      <c r="E106" s="171">
        <f>E100-E103</f>
        <v>-46508</v>
      </c>
      <c r="F106" s="171">
        <f t="shared" si="2"/>
        <v>255742</v>
      </c>
      <c r="G106" s="1450">
        <f t="shared" si="3"/>
        <v>-5.4988819127891979</v>
      </c>
      <c r="I106" s="149"/>
    </row>
    <row r="107" spans="1:9" ht="13.8" thickBot="1">
      <c r="A107" s="1467"/>
      <c r="B107" s="25"/>
      <c r="C107" s="26"/>
      <c r="D107" s="173"/>
      <c r="E107" s="173"/>
      <c r="F107" s="173">
        <f t="shared" si="2"/>
        <v>0</v>
      </c>
      <c r="G107" s="1468"/>
      <c r="I107" s="149"/>
    </row>
    <row r="108" spans="1:9" ht="13.8" thickBot="1">
      <c r="A108" s="199" t="s">
        <v>107</v>
      </c>
      <c r="B108" s="199"/>
      <c r="C108" s="199"/>
      <c r="D108" s="174">
        <f>D87+D92+D97+D106</f>
        <v>2847258</v>
      </c>
      <c r="E108" s="174">
        <f>E87+E92+E97+E106</f>
        <v>2814534</v>
      </c>
      <c r="F108" s="174">
        <f t="shared" si="2"/>
        <v>32724</v>
      </c>
      <c r="G108" s="1451">
        <f t="shared" si="3"/>
        <v>1.162679150438403E-2</v>
      </c>
      <c r="I108" s="149"/>
    </row>
    <row r="109" spans="1:9">
      <c r="A109" s="1461"/>
      <c r="B109" s="14"/>
      <c r="C109" s="27"/>
      <c r="D109" s="176"/>
      <c r="E109" s="176"/>
      <c r="F109" s="176">
        <f t="shared" si="2"/>
        <v>0</v>
      </c>
      <c r="G109" s="1452"/>
      <c r="I109" s="177"/>
    </row>
    <row r="110" spans="1:9">
      <c r="A110" s="1466" t="s">
        <v>108</v>
      </c>
      <c r="B110" s="9" t="s">
        <v>109</v>
      </c>
      <c r="C110" s="16"/>
      <c r="D110" s="168"/>
      <c r="E110" s="168"/>
      <c r="F110" s="168">
        <f t="shared" si="2"/>
        <v>0</v>
      </c>
      <c r="G110" s="1449"/>
      <c r="I110" s="149"/>
    </row>
    <row r="111" spans="1:9">
      <c r="A111" s="1466"/>
      <c r="B111" s="24" t="s">
        <v>86</v>
      </c>
      <c r="C111" s="22" t="s">
        <v>110</v>
      </c>
      <c r="D111" s="168">
        <f>SUM(D112:D115)</f>
        <v>2811533</v>
      </c>
      <c r="E111" s="168">
        <f>SUM(E112:E115)</f>
        <v>2692640</v>
      </c>
      <c r="F111" s="168">
        <f t="shared" si="2"/>
        <v>118893</v>
      </c>
      <c r="G111" s="1449">
        <f t="shared" si="3"/>
        <v>4.4154807178085446E-2</v>
      </c>
      <c r="I111" s="149"/>
    </row>
    <row r="112" spans="1:9">
      <c r="A112" s="1461"/>
      <c r="B112" s="12"/>
      <c r="C112" s="11" t="s">
        <v>111</v>
      </c>
      <c r="D112" s="160">
        <f>+ROUND(+'CE Min'!D576,0)</f>
        <v>2635176</v>
      </c>
      <c r="E112" s="160">
        <f>+ROUND(+'CE Min'!E576,0)</f>
        <v>2476866</v>
      </c>
      <c r="F112" s="160">
        <f t="shared" si="2"/>
        <v>158310</v>
      </c>
      <c r="G112" s="1443">
        <f t="shared" si="3"/>
        <v>6.3915447989515789E-2</v>
      </c>
      <c r="I112" s="177"/>
    </row>
    <row r="113" spans="1:9">
      <c r="A113" s="1461"/>
      <c r="B113" s="12"/>
      <c r="C113" s="11" t="s">
        <v>112</v>
      </c>
      <c r="D113" s="160">
        <f>+ROUND(+'CE Min'!D577,0)</f>
        <v>135142</v>
      </c>
      <c r="E113" s="160">
        <f>+ROUND(+'CE Min'!E577,0)</f>
        <v>161603</v>
      </c>
      <c r="F113" s="160">
        <f t="shared" si="2"/>
        <v>-26461</v>
      </c>
      <c r="G113" s="1443">
        <f t="shared" si="3"/>
        <v>-0.16374077213913107</v>
      </c>
      <c r="I113" s="177"/>
    </row>
    <row r="114" spans="1:9">
      <c r="A114" s="1461"/>
      <c r="B114" s="12"/>
      <c r="C114" s="11" t="s">
        <v>113</v>
      </c>
      <c r="D114" s="160">
        <f>+ROUND(+'CE Min'!D578,0)</f>
        <v>41215</v>
      </c>
      <c r="E114" s="160">
        <f>+ROUND(+'CE Min'!E578,0)</f>
        <v>54171</v>
      </c>
      <c r="F114" s="160">
        <f t="shared" si="2"/>
        <v>-12956</v>
      </c>
      <c r="G114" s="1443">
        <f t="shared" si="3"/>
        <v>-0.23916855882298646</v>
      </c>
      <c r="I114" s="177"/>
    </row>
    <row r="115" spans="1:9">
      <c r="A115" s="1461"/>
      <c r="B115" s="12"/>
      <c r="C115" s="11" t="s">
        <v>114</v>
      </c>
      <c r="D115" s="160">
        <f>+ROUND(+'CE Min'!D579,0)</f>
        <v>0</v>
      </c>
      <c r="E115" s="160">
        <f>+ROUND(+'CE Min'!E579,0)</f>
        <v>0</v>
      </c>
      <c r="F115" s="160">
        <f t="shared" si="2"/>
        <v>0</v>
      </c>
      <c r="G115" s="1443"/>
      <c r="I115" s="177"/>
    </row>
    <row r="116" spans="1:9">
      <c r="A116" s="1466"/>
      <c r="B116" s="24" t="s">
        <v>88</v>
      </c>
      <c r="C116" s="9" t="s">
        <v>115</v>
      </c>
      <c r="D116" s="165">
        <f>+ROUND(+'CE Min'!D580,0)</f>
        <v>15847</v>
      </c>
      <c r="E116" s="165">
        <f>+ROUND(+'CE Min'!E580,0)</f>
        <v>15031</v>
      </c>
      <c r="F116" s="165">
        <f t="shared" si="2"/>
        <v>816</v>
      </c>
      <c r="G116" s="1447">
        <f t="shared" si="3"/>
        <v>5.4287805202581335E-2</v>
      </c>
      <c r="I116" s="149"/>
    </row>
    <row r="117" spans="1:9">
      <c r="A117" s="1466"/>
      <c r="B117" s="24" t="s">
        <v>116</v>
      </c>
      <c r="C117" s="28" t="s">
        <v>117</v>
      </c>
      <c r="D117" s="165">
        <f>+ROUND(+'CE Min'!D583,0)</f>
        <v>0</v>
      </c>
      <c r="E117" s="165">
        <f>+ROUND(+'CE Min'!E583,0)</f>
        <v>0</v>
      </c>
      <c r="F117" s="165">
        <f t="shared" si="2"/>
        <v>0</v>
      </c>
      <c r="G117" s="1447"/>
      <c r="I117" s="149"/>
    </row>
    <row r="118" spans="1:9">
      <c r="A118" s="198" t="s">
        <v>118</v>
      </c>
      <c r="B118" s="198"/>
      <c r="C118" s="198" t="s">
        <v>3951</v>
      </c>
      <c r="D118" s="171">
        <f>D111+D116+D117</f>
        <v>2827380</v>
      </c>
      <c r="E118" s="171">
        <f>E111+E116+E117</f>
        <v>2707671</v>
      </c>
      <c r="F118" s="171">
        <f t="shared" si="2"/>
        <v>119709</v>
      </c>
      <c r="G118" s="1450">
        <f t="shared" si="3"/>
        <v>4.4211058138156373E-2</v>
      </c>
      <c r="I118" s="149"/>
    </row>
    <row r="119" spans="1:9">
      <c r="A119" s="1461"/>
      <c r="B119" s="14"/>
      <c r="C119" s="10"/>
      <c r="D119" s="170"/>
      <c r="E119" s="170"/>
      <c r="F119" s="170">
        <f t="shared" si="2"/>
        <v>0</v>
      </c>
      <c r="G119" s="1453"/>
    </row>
    <row r="120" spans="1:9">
      <c r="A120" s="1469" t="s">
        <v>119</v>
      </c>
      <c r="B120" s="1470"/>
      <c r="C120" s="1471"/>
      <c r="D120" s="1472">
        <f>D108-D118</f>
        <v>19878</v>
      </c>
      <c r="E120" s="1472">
        <f>E108-E118</f>
        <v>106863</v>
      </c>
      <c r="F120" s="1472">
        <f t="shared" si="2"/>
        <v>-86985</v>
      </c>
      <c r="G120" s="1473">
        <f t="shared" si="3"/>
        <v>-0.81398613177619938</v>
      </c>
    </row>
    <row r="121" spans="1:9">
      <c r="D121" s="201"/>
    </row>
    <row r="122" spans="1:9">
      <c r="A122" s="29"/>
      <c r="B122" s="29"/>
      <c r="C122" s="29"/>
      <c r="D122" s="826"/>
      <c r="E122" s="30"/>
      <c r="F122" s="30"/>
      <c r="G122" s="281"/>
    </row>
    <row r="123" spans="1:9">
      <c r="D123" s="201"/>
      <c r="E123" s="748"/>
    </row>
    <row r="124" spans="1:9">
      <c r="D124" s="201"/>
    </row>
    <row r="125" spans="1:9">
      <c r="C125" s="31"/>
      <c r="D125" s="178"/>
      <c r="E125" s="30"/>
      <c r="F125" s="30"/>
      <c r="G125" s="282"/>
    </row>
    <row r="126" spans="1:9">
      <c r="D126" s="831"/>
    </row>
    <row r="127" spans="1:9">
      <c r="D127" s="201"/>
    </row>
    <row r="130" spans="7:7">
      <c r="G130" s="283"/>
    </row>
  </sheetData>
  <mergeCells count="1">
    <mergeCell ref="A4:C4"/>
  </mergeCells>
  <pageMargins left="0.70866141732283472" right="0.70866141732283472" top="0.74803149606299213" bottom="0.74803149606299213" header="0.31496062992125984" footer="0.31496062992125984"/>
  <pageSetup paperSize="8" scale="66" fitToHeight="2" orientation="portrait" r:id="rId1"/>
  <rowBreaks count="1" manualBreakCount="1">
    <brk id="8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4"/>
  <sheetViews>
    <sheetView zoomScale="112" zoomScaleNormal="112" workbookViewId="0">
      <pane xSplit="7" ySplit="2" topLeftCell="H51" activePane="bottomRight" state="frozen"/>
      <selection activeCell="G22" sqref="G22"/>
      <selection pane="topRight" activeCell="G22" sqref="G22"/>
      <selection pane="bottomLeft" activeCell="G22" sqref="G22"/>
      <selection pane="bottomRight" activeCell="K1" sqref="K1:X65536"/>
    </sheetView>
  </sheetViews>
  <sheetFormatPr defaultRowHeight="13.8"/>
  <cols>
    <col min="1" max="1" width="5.44140625" style="711" customWidth="1"/>
    <col min="2" max="5" width="4.33203125" style="711" customWidth="1"/>
    <col min="6" max="6" width="3.5546875" style="711" customWidth="1"/>
    <col min="7" max="7" width="49.109375" style="711" customWidth="1"/>
    <col min="8" max="9" width="20.33203125" style="711" customWidth="1"/>
    <col min="10" max="10" width="13.5546875" style="711" customWidth="1"/>
    <col min="11" max="11" width="12.44140625" style="711" bestFit="1" customWidth="1"/>
    <col min="12" max="16384" width="8.88671875" style="711"/>
  </cols>
  <sheetData>
    <row r="1" spans="1:11" s="285" customFormat="1" ht="55.5" customHeight="1" thickBot="1">
      <c r="A1" s="628" t="s">
        <v>120</v>
      </c>
      <c r="B1" s="704"/>
      <c r="C1" s="731"/>
      <c r="D1" s="721"/>
      <c r="E1" s="721"/>
      <c r="F1" s="629"/>
      <c r="G1" s="1546" t="s">
        <v>121</v>
      </c>
      <c r="H1" s="1547" t="s">
        <v>3950</v>
      </c>
      <c r="I1" s="1549" t="s">
        <v>2129</v>
      </c>
      <c r="J1" s="1549" t="s">
        <v>122</v>
      </c>
    </row>
    <row r="2" spans="1:11" s="285" customFormat="1" ht="13.5" customHeight="1" thickBot="1">
      <c r="A2" s="693" t="s">
        <v>123</v>
      </c>
      <c r="B2" s="723" t="s">
        <v>124</v>
      </c>
      <c r="C2" s="732" t="s">
        <v>125</v>
      </c>
      <c r="D2" s="722" t="s">
        <v>126</v>
      </c>
      <c r="E2" s="722" t="s">
        <v>127</v>
      </c>
      <c r="F2" s="712" t="s">
        <v>128</v>
      </c>
      <c r="G2" s="1546"/>
      <c r="H2" s="1548"/>
      <c r="I2" s="1549"/>
      <c r="J2" s="1549"/>
    </row>
    <row r="3" spans="1:11" s="285" customFormat="1">
      <c r="A3" s="694">
        <v>300</v>
      </c>
      <c r="B3" s="724">
        <v>0</v>
      </c>
      <c r="C3" s="647">
        <v>0</v>
      </c>
      <c r="D3" s="683">
        <v>0</v>
      </c>
      <c r="E3" s="683">
        <v>0</v>
      </c>
      <c r="F3" s="683">
        <v>0</v>
      </c>
      <c r="G3" s="675" t="s">
        <v>538</v>
      </c>
      <c r="H3" s="607"/>
      <c r="I3" s="607"/>
      <c r="J3" s="607" t="s">
        <v>539</v>
      </c>
    </row>
    <row r="4" spans="1:11" s="285" customFormat="1">
      <c r="A4" s="695">
        <v>300</v>
      </c>
      <c r="B4" s="725">
        <v>100</v>
      </c>
      <c r="C4" s="705"/>
      <c r="D4" s="713"/>
      <c r="E4" s="713"/>
      <c r="F4" s="713"/>
      <c r="G4" s="638" t="s">
        <v>540</v>
      </c>
      <c r="H4" s="620"/>
      <c r="I4" s="620"/>
      <c r="J4" s="620" t="s">
        <v>541</v>
      </c>
    </row>
    <row r="5" spans="1:11" s="285" customFormat="1">
      <c r="A5" s="695">
        <v>300</v>
      </c>
      <c r="B5" s="725">
        <v>100</v>
      </c>
      <c r="C5" s="705">
        <v>100</v>
      </c>
      <c r="D5" s="713"/>
      <c r="E5" s="713"/>
      <c r="F5" s="713"/>
      <c r="G5" s="638" t="s">
        <v>542</v>
      </c>
      <c r="H5" s="620"/>
      <c r="I5" s="620"/>
      <c r="J5" s="620" t="s">
        <v>543</v>
      </c>
    </row>
    <row r="6" spans="1:11" s="285" customFormat="1" ht="27.6">
      <c r="A6" s="695">
        <v>300</v>
      </c>
      <c r="B6" s="725">
        <v>100</v>
      </c>
      <c r="C6" s="705">
        <v>100</v>
      </c>
      <c r="D6" s="713">
        <v>100</v>
      </c>
      <c r="E6" s="713"/>
      <c r="F6" s="713"/>
      <c r="G6" s="652" t="s">
        <v>546</v>
      </c>
      <c r="H6" s="606">
        <v>671002.81999999995</v>
      </c>
      <c r="I6" s="606">
        <v>805917</v>
      </c>
      <c r="J6" s="606" t="s">
        <v>545</v>
      </c>
    </row>
    <row r="7" spans="1:11" s="285" customFormat="1">
      <c r="A7" s="695">
        <v>300</v>
      </c>
      <c r="B7" s="725">
        <v>100</v>
      </c>
      <c r="C7" s="705">
        <v>100</v>
      </c>
      <c r="D7" s="713">
        <v>200</v>
      </c>
      <c r="E7" s="713"/>
      <c r="F7" s="713"/>
      <c r="G7" s="652" t="s">
        <v>547</v>
      </c>
      <c r="H7" s="606">
        <v>23328.05</v>
      </c>
      <c r="I7" s="606">
        <v>64731</v>
      </c>
      <c r="J7" s="606" t="s">
        <v>548</v>
      </c>
    </row>
    <row r="8" spans="1:11" s="285" customFormat="1">
      <c r="A8" s="695">
        <v>300</v>
      </c>
      <c r="B8" s="725">
        <v>100</v>
      </c>
      <c r="C8" s="705">
        <v>100</v>
      </c>
      <c r="D8" s="713">
        <v>250</v>
      </c>
      <c r="E8" s="713"/>
      <c r="F8" s="713"/>
      <c r="G8" s="652" t="s">
        <v>549</v>
      </c>
      <c r="H8" s="606">
        <v>71247.5</v>
      </c>
      <c r="I8" s="606">
        <v>84397</v>
      </c>
      <c r="J8" s="606" t="s">
        <v>550</v>
      </c>
    </row>
    <row r="9" spans="1:11" s="285" customFormat="1">
      <c r="A9" s="695">
        <v>300</v>
      </c>
      <c r="B9" s="725">
        <v>100</v>
      </c>
      <c r="C9" s="705">
        <v>100</v>
      </c>
      <c r="D9" s="713">
        <v>300</v>
      </c>
      <c r="E9" s="713"/>
      <c r="F9" s="713"/>
      <c r="G9" s="652" t="s">
        <v>551</v>
      </c>
      <c r="H9" s="607">
        <v>0</v>
      </c>
      <c r="I9" s="607">
        <v>0</v>
      </c>
      <c r="J9" s="607" t="s">
        <v>552</v>
      </c>
      <c r="K9" s="290"/>
    </row>
    <row r="10" spans="1:11" s="285" customFormat="1" ht="27.6">
      <c r="A10" s="695">
        <v>300</v>
      </c>
      <c r="B10" s="725">
        <v>100</v>
      </c>
      <c r="C10" s="705">
        <v>100</v>
      </c>
      <c r="D10" s="713">
        <v>300</v>
      </c>
      <c r="E10" s="713">
        <v>100</v>
      </c>
      <c r="F10" s="713"/>
      <c r="G10" s="652" t="s">
        <v>553</v>
      </c>
      <c r="H10" s="606">
        <v>0</v>
      </c>
      <c r="I10" s="606">
        <v>0</v>
      </c>
      <c r="J10" s="606" t="s">
        <v>554</v>
      </c>
      <c r="K10" s="290"/>
    </row>
    <row r="11" spans="1:11" s="285" customFormat="1" ht="27.6">
      <c r="A11" s="695">
        <v>300</v>
      </c>
      <c r="B11" s="725">
        <v>100</v>
      </c>
      <c r="C11" s="705">
        <v>100</v>
      </c>
      <c r="D11" s="713">
        <v>300</v>
      </c>
      <c r="E11" s="713">
        <v>200</v>
      </c>
      <c r="F11" s="713"/>
      <c r="G11" s="652" t="s">
        <v>555</v>
      </c>
      <c r="H11" s="606">
        <v>0</v>
      </c>
      <c r="I11" s="606">
        <v>0</v>
      </c>
      <c r="J11" s="606" t="s">
        <v>556</v>
      </c>
      <c r="K11" s="290"/>
    </row>
    <row r="12" spans="1:11" s="285" customFormat="1">
      <c r="A12" s="695">
        <v>300</v>
      </c>
      <c r="B12" s="725">
        <v>100</v>
      </c>
      <c r="C12" s="705">
        <v>100</v>
      </c>
      <c r="D12" s="713">
        <v>300</v>
      </c>
      <c r="E12" s="713">
        <v>300</v>
      </c>
      <c r="F12" s="713"/>
      <c r="G12" s="652" t="s">
        <v>557</v>
      </c>
      <c r="H12" s="606">
        <v>0</v>
      </c>
      <c r="I12" s="606">
        <v>0</v>
      </c>
      <c r="J12" s="606" t="s">
        <v>558</v>
      </c>
      <c r="K12" s="290"/>
    </row>
    <row r="13" spans="1:11" s="285" customFormat="1">
      <c r="A13" s="695">
        <v>300</v>
      </c>
      <c r="B13" s="725">
        <v>100</v>
      </c>
      <c r="C13" s="705">
        <v>200</v>
      </c>
      <c r="D13" s="713"/>
      <c r="E13" s="713"/>
      <c r="F13" s="713"/>
      <c r="G13" s="676" t="s">
        <v>559</v>
      </c>
      <c r="H13" s="607">
        <v>0</v>
      </c>
      <c r="I13" s="607">
        <v>0</v>
      </c>
      <c r="J13" s="607" t="s">
        <v>560</v>
      </c>
      <c r="K13" s="290"/>
    </row>
    <row r="14" spans="1:11" s="285" customFormat="1" ht="27.6">
      <c r="A14" s="696">
        <v>300</v>
      </c>
      <c r="B14" s="726">
        <v>100</v>
      </c>
      <c r="C14" s="706">
        <v>200</v>
      </c>
      <c r="D14" s="714">
        <v>100</v>
      </c>
      <c r="E14" s="714"/>
      <c r="F14" s="714"/>
      <c r="G14" s="652" t="s">
        <v>561</v>
      </c>
      <c r="H14" s="606">
        <v>0</v>
      </c>
      <c r="I14" s="606">
        <v>0</v>
      </c>
      <c r="J14" s="606" t="s">
        <v>562</v>
      </c>
      <c r="K14" s="290"/>
    </row>
    <row r="15" spans="1:11" s="285" customFormat="1" ht="27.6">
      <c r="A15" s="695">
        <v>300</v>
      </c>
      <c r="B15" s="725">
        <v>100</v>
      </c>
      <c r="C15" s="705">
        <v>200</v>
      </c>
      <c r="D15" s="713">
        <v>200</v>
      </c>
      <c r="E15" s="713"/>
      <c r="F15" s="713"/>
      <c r="G15" s="652" t="s">
        <v>563</v>
      </c>
      <c r="H15" s="606">
        <v>0</v>
      </c>
      <c r="I15" s="606">
        <v>0</v>
      </c>
      <c r="J15" s="606" t="s">
        <v>564</v>
      </c>
    </row>
    <row r="16" spans="1:11" s="285" customFormat="1">
      <c r="A16" s="695">
        <v>300</v>
      </c>
      <c r="B16" s="725">
        <v>100</v>
      </c>
      <c r="C16" s="705">
        <v>200</v>
      </c>
      <c r="D16" s="713">
        <v>300</v>
      </c>
      <c r="E16" s="713"/>
      <c r="F16" s="713"/>
      <c r="G16" s="652" t="s">
        <v>565</v>
      </c>
      <c r="H16" s="606">
        <v>0</v>
      </c>
      <c r="I16" s="606">
        <v>0</v>
      </c>
      <c r="J16" s="606" t="s">
        <v>566</v>
      </c>
    </row>
    <row r="17" spans="1:10" s="285" customFormat="1">
      <c r="A17" s="695">
        <v>300</v>
      </c>
      <c r="B17" s="725">
        <v>100</v>
      </c>
      <c r="C17" s="705">
        <v>300</v>
      </c>
      <c r="D17" s="713"/>
      <c r="E17" s="713"/>
      <c r="F17" s="713"/>
      <c r="G17" s="638" t="s">
        <v>567</v>
      </c>
      <c r="H17" s="607">
        <v>0</v>
      </c>
      <c r="I17" s="607">
        <v>0</v>
      </c>
      <c r="J17" s="607" t="s">
        <v>568</v>
      </c>
    </row>
    <row r="18" spans="1:10" s="285" customFormat="1">
      <c r="A18" s="695">
        <v>300</v>
      </c>
      <c r="B18" s="725">
        <v>100</v>
      </c>
      <c r="C18" s="705">
        <v>300</v>
      </c>
      <c r="D18" s="713">
        <v>100</v>
      </c>
      <c r="E18" s="713"/>
      <c r="F18" s="713"/>
      <c r="G18" s="203" t="s">
        <v>569</v>
      </c>
      <c r="H18" s="606">
        <v>2075177.47</v>
      </c>
      <c r="I18" s="606">
        <v>1993853</v>
      </c>
      <c r="J18" s="606" t="s">
        <v>570</v>
      </c>
    </row>
    <row r="19" spans="1:10" s="285" customFormat="1">
      <c r="A19" s="695">
        <v>300</v>
      </c>
      <c r="B19" s="725">
        <v>100</v>
      </c>
      <c r="C19" s="705">
        <v>300</v>
      </c>
      <c r="D19" s="713">
        <v>200</v>
      </c>
      <c r="E19" s="713"/>
      <c r="F19" s="713"/>
      <c r="G19" s="652" t="s">
        <v>571</v>
      </c>
      <c r="H19" s="606">
        <v>431795.52</v>
      </c>
      <c r="I19" s="606">
        <v>498826</v>
      </c>
      <c r="J19" s="606" t="s">
        <v>572</v>
      </c>
    </row>
    <row r="20" spans="1:10" s="285" customFormat="1">
      <c r="A20" s="695">
        <v>300</v>
      </c>
      <c r="B20" s="725">
        <v>100</v>
      </c>
      <c r="C20" s="705">
        <v>300</v>
      </c>
      <c r="D20" s="713">
        <v>300</v>
      </c>
      <c r="E20" s="713"/>
      <c r="F20" s="713"/>
      <c r="G20" s="652" t="s">
        <v>573</v>
      </c>
      <c r="H20" s="606">
        <v>3578585.66</v>
      </c>
      <c r="I20" s="606">
        <v>2155264</v>
      </c>
      <c r="J20" s="606" t="s">
        <v>574</v>
      </c>
    </row>
    <row r="21" spans="1:10" s="285" customFormat="1">
      <c r="A21" s="695">
        <v>300</v>
      </c>
      <c r="B21" s="725">
        <v>100</v>
      </c>
      <c r="C21" s="705">
        <v>400</v>
      </c>
      <c r="D21" s="713"/>
      <c r="E21" s="713"/>
      <c r="F21" s="713"/>
      <c r="G21" s="203" t="s">
        <v>575</v>
      </c>
      <c r="H21" s="606">
        <v>2954.31</v>
      </c>
      <c r="I21" s="606">
        <v>1863</v>
      </c>
      <c r="J21" s="606" t="s">
        <v>576</v>
      </c>
    </row>
    <row r="22" spans="1:10" s="285" customFormat="1">
      <c r="A22" s="695">
        <v>300</v>
      </c>
      <c r="B22" s="725">
        <v>100</v>
      </c>
      <c r="C22" s="705">
        <v>500</v>
      </c>
      <c r="D22" s="713"/>
      <c r="E22" s="713"/>
      <c r="F22" s="713"/>
      <c r="G22" s="652" t="s">
        <v>577</v>
      </c>
      <c r="H22" s="606">
        <v>696.45</v>
      </c>
      <c r="I22" s="606">
        <v>582</v>
      </c>
      <c r="J22" s="606" t="s">
        <v>578</v>
      </c>
    </row>
    <row r="23" spans="1:10" s="285" customFormat="1">
      <c r="A23" s="695">
        <v>300</v>
      </c>
      <c r="B23" s="725">
        <v>100</v>
      </c>
      <c r="C23" s="705">
        <v>600</v>
      </c>
      <c r="D23" s="713"/>
      <c r="E23" s="713"/>
      <c r="F23" s="713"/>
      <c r="G23" s="203" t="s">
        <v>579</v>
      </c>
      <c r="H23" s="606">
        <v>35404.31</v>
      </c>
      <c r="I23" s="606">
        <v>13695</v>
      </c>
      <c r="J23" s="606" t="s">
        <v>580</v>
      </c>
    </row>
    <row r="24" spans="1:10" s="285" customFormat="1">
      <c r="A24" s="695">
        <v>300</v>
      </c>
      <c r="B24" s="725">
        <v>100</v>
      </c>
      <c r="C24" s="705">
        <v>700</v>
      </c>
      <c r="D24" s="713"/>
      <c r="E24" s="713"/>
      <c r="F24" s="713"/>
      <c r="G24" s="652" t="s">
        <v>581</v>
      </c>
      <c r="H24" s="606">
        <v>0</v>
      </c>
      <c r="I24" s="606">
        <v>0</v>
      </c>
      <c r="J24" s="606" t="s">
        <v>582</v>
      </c>
    </row>
    <row r="25" spans="1:10" s="285" customFormat="1">
      <c r="A25" s="695">
        <v>300</v>
      </c>
      <c r="B25" s="725">
        <v>100</v>
      </c>
      <c r="C25" s="705">
        <v>800</v>
      </c>
      <c r="D25" s="713"/>
      <c r="E25" s="713"/>
      <c r="F25" s="713"/>
      <c r="G25" s="652" t="s">
        <v>583</v>
      </c>
      <c r="H25" s="606">
        <v>380396.58</v>
      </c>
      <c r="I25" s="606">
        <v>341632</v>
      </c>
      <c r="J25" s="606" t="s">
        <v>584</v>
      </c>
    </row>
    <row r="26" spans="1:10" s="285" customFormat="1" ht="27.6">
      <c r="A26" s="695">
        <v>300</v>
      </c>
      <c r="B26" s="725">
        <v>100</v>
      </c>
      <c r="C26" s="705">
        <v>900</v>
      </c>
      <c r="D26" s="713"/>
      <c r="E26" s="713"/>
      <c r="F26" s="713"/>
      <c r="G26" s="638" t="s">
        <v>585</v>
      </c>
      <c r="H26" s="607">
        <v>0</v>
      </c>
      <c r="I26" s="607">
        <v>0</v>
      </c>
      <c r="J26" s="607" t="s">
        <v>586</v>
      </c>
    </row>
    <row r="27" spans="1:10" s="285" customFormat="1">
      <c r="A27" s="695"/>
      <c r="B27" s="725"/>
      <c r="C27" s="705"/>
      <c r="D27" s="713"/>
      <c r="E27" s="713"/>
      <c r="F27" s="713"/>
      <c r="G27" s="677" t="s">
        <v>542</v>
      </c>
      <c r="H27" s="607">
        <v>0</v>
      </c>
      <c r="I27" s="607">
        <v>0</v>
      </c>
      <c r="J27" s="607" t="s">
        <v>587</v>
      </c>
    </row>
    <row r="28" spans="1:10" s="285" customFormat="1" ht="27.6">
      <c r="A28" s="695">
        <v>300</v>
      </c>
      <c r="B28" s="725">
        <v>100</v>
      </c>
      <c r="C28" s="705">
        <v>900</v>
      </c>
      <c r="D28" s="713">
        <v>50</v>
      </c>
      <c r="E28" s="713"/>
      <c r="F28" s="713"/>
      <c r="G28" s="677" t="s">
        <v>544</v>
      </c>
      <c r="H28" s="606">
        <v>3833938.44</v>
      </c>
      <c r="I28" s="606">
        <v>3394468</v>
      </c>
      <c r="J28" s="606" t="s">
        <v>587</v>
      </c>
    </row>
    <row r="29" spans="1:10" s="285" customFormat="1">
      <c r="A29" s="695">
        <v>300</v>
      </c>
      <c r="B29" s="725">
        <v>100</v>
      </c>
      <c r="C29" s="705">
        <v>900</v>
      </c>
      <c r="D29" s="713">
        <v>100</v>
      </c>
      <c r="E29" s="713"/>
      <c r="F29" s="713"/>
      <c r="G29" s="678" t="s">
        <v>547</v>
      </c>
      <c r="H29" s="606">
        <v>65936.94</v>
      </c>
      <c r="I29" s="606">
        <v>60320</v>
      </c>
      <c r="J29" s="606" t="s">
        <v>587</v>
      </c>
    </row>
    <row r="30" spans="1:10" s="285" customFormat="1">
      <c r="A30" s="695">
        <v>300</v>
      </c>
      <c r="B30" s="725">
        <v>100</v>
      </c>
      <c r="C30" s="705">
        <v>900</v>
      </c>
      <c r="D30" s="713">
        <v>150</v>
      </c>
      <c r="E30" s="713"/>
      <c r="F30" s="713"/>
      <c r="G30" s="678" t="s">
        <v>551</v>
      </c>
      <c r="H30" s="608">
        <v>0</v>
      </c>
      <c r="I30" s="608">
        <v>0</v>
      </c>
      <c r="J30" s="608" t="s">
        <v>587</v>
      </c>
    </row>
    <row r="31" spans="1:10" s="285" customFormat="1">
      <c r="A31" s="695"/>
      <c r="B31" s="725"/>
      <c r="C31" s="705"/>
      <c r="D31" s="713"/>
      <c r="E31" s="713"/>
      <c r="F31" s="713"/>
      <c r="G31" s="677" t="s">
        <v>567</v>
      </c>
      <c r="H31" s="607">
        <v>0</v>
      </c>
      <c r="I31" s="607">
        <v>0</v>
      </c>
      <c r="J31" s="607" t="s">
        <v>588</v>
      </c>
    </row>
    <row r="32" spans="1:10" s="285" customFormat="1">
      <c r="A32" s="695">
        <v>300</v>
      </c>
      <c r="B32" s="725">
        <v>100</v>
      </c>
      <c r="C32" s="705">
        <v>900</v>
      </c>
      <c r="D32" s="713">
        <v>200</v>
      </c>
      <c r="E32" s="713"/>
      <c r="F32" s="713"/>
      <c r="G32" s="678" t="s">
        <v>569</v>
      </c>
      <c r="H32" s="606">
        <v>1251939.42</v>
      </c>
      <c r="I32" s="606">
        <v>1172810</v>
      </c>
      <c r="J32" s="606" t="s">
        <v>588</v>
      </c>
    </row>
    <row r="33" spans="1:10" s="285" customFormat="1">
      <c r="A33" s="695">
        <v>300</v>
      </c>
      <c r="B33" s="725">
        <v>100</v>
      </c>
      <c r="C33" s="705">
        <v>900</v>
      </c>
      <c r="D33" s="713">
        <v>250</v>
      </c>
      <c r="E33" s="713"/>
      <c r="F33" s="713"/>
      <c r="G33" s="677" t="s">
        <v>571</v>
      </c>
      <c r="H33" s="606">
        <v>0</v>
      </c>
      <c r="I33" s="606">
        <v>0</v>
      </c>
      <c r="J33" s="606" t="s">
        <v>588</v>
      </c>
    </row>
    <row r="34" spans="1:10" s="285" customFormat="1">
      <c r="A34" s="695">
        <v>300</v>
      </c>
      <c r="B34" s="725">
        <v>100</v>
      </c>
      <c r="C34" s="705">
        <v>900</v>
      </c>
      <c r="D34" s="713">
        <v>300</v>
      </c>
      <c r="E34" s="713"/>
      <c r="F34" s="713"/>
      <c r="G34" s="678" t="s">
        <v>573</v>
      </c>
      <c r="H34" s="606">
        <v>44527.06</v>
      </c>
      <c r="I34" s="606">
        <v>5173</v>
      </c>
      <c r="J34" s="606" t="s">
        <v>588</v>
      </c>
    </row>
    <row r="35" spans="1:10" s="285" customFormat="1">
      <c r="A35" s="695">
        <v>300</v>
      </c>
      <c r="B35" s="725">
        <v>100</v>
      </c>
      <c r="C35" s="705">
        <v>900</v>
      </c>
      <c r="D35" s="713">
        <v>350</v>
      </c>
      <c r="E35" s="713"/>
      <c r="F35" s="713"/>
      <c r="G35" s="678" t="s">
        <v>575</v>
      </c>
      <c r="H35" s="606">
        <v>12491.37</v>
      </c>
      <c r="I35" s="606">
        <v>13162</v>
      </c>
      <c r="J35" s="606" t="s">
        <v>589</v>
      </c>
    </row>
    <row r="36" spans="1:10" s="285" customFormat="1">
      <c r="A36" s="695">
        <v>300</v>
      </c>
      <c r="B36" s="725">
        <v>100</v>
      </c>
      <c r="C36" s="705">
        <v>900</v>
      </c>
      <c r="D36" s="713">
        <v>400</v>
      </c>
      <c r="E36" s="713"/>
      <c r="F36" s="713"/>
      <c r="G36" s="677" t="s">
        <v>577</v>
      </c>
      <c r="H36" s="606">
        <v>6964.68</v>
      </c>
      <c r="I36" s="606">
        <v>5816</v>
      </c>
      <c r="J36" s="606" t="s">
        <v>590</v>
      </c>
    </row>
    <row r="37" spans="1:10" s="285" customFormat="1">
      <c r="A37" s="695">
        <v>300</v>
      </c>
      <c r="B37" s="725">
        <v>100</v>
      </c>
      <c r="C37" s="705">
        <v>900</v>
      </c>
      <c r="D37" s="713">
        <v>450</v>
      </c>
      <c r="E37" s="713"/>
      <c r="F37" s="713"/>
      <c r="G37" s="678" t="s">
        <v>579</v>
      </c>
      <c r="H37" s="606">
        <v>0</v>
      </c>
      <c r="I37" s="606">
        <v>0</v>
      </c>
      <c r="J37" s="606" t="s">
        <v>591</v>
      </c>
    </row>
    <row r="38" spans="1:10" s="285" customFormat="1">
      <c r="A38" s="695">
        <v>300</v>
      </c>
      <c r="B38" s="725">
        <v>100</v>
      </c>
      <c r="C38" s="705">
        <v>900</v>
      </c>
      <c r="D38" s="713">
        <v>500</v>
      </c>
      <c r="E38" s="713"/>
      <c r="F38" s="713"/>
      <c r="G38" s="677" t="s">
        <v>581</v>
      </c>
      <c r="H38" s="606">
        <v>0</v>
      </c>
      <c r="I38" s="606">
        <v>0</v>
      </c>
      <c r="J38" s="606" t="s">
        <v>592</v>
      </c>
    </row>
    <row r="39" spans="1:10" s="285" customFormat="1">
      <c r="A39" s="696">
        <v>300</v>
      </c>
      <c r="B39" s="726">
        <v>100</v>
      </c>
      <c r="C39" s="706">
        <v>900</v>
      </c>
      <c r="D39" s="714">
        <v>900</v>
      </c>
      <c r="E39" s="714"/>
      <c r="F39" s="714"/>
      <c r="G39" s="678" t="s">
        <v>593</v>
      </c>
      <c r="H39" s="608">
        <v>107491.44</v>
      </c>
      <c r="I39" s="608">
        <v>92546</v>
      </c>
      <c r="J39" s="608" t="s">
        <v>594</v>
      </c>
    </row>
    <row r="40" spans="1:10" s="285" customFormat="1">
      <c r="A40" s="695">
        <v>300</v>
      </c>
      <c r="B40" s="725">
        <v>200</v>
      </c>
      <c r="C40" s="705"/>
      <c r="D40" s="713"/>
      <c r="E40" s="713"/>
      <c r="F40" s="713"/>
      <c r="G40" s="679" t="s">
        <v>595</v>
      </c>
      <c r="H40" s="607">
        <v>0</v>
      </c>
      <c r="I40" s="607">
        <v>0</v>
      </c>
      <c r="J40" s="607" t="s">
        <v>596</v>
      </c>
    </row>
    <row r="41" spans="1:10" s="285" customFormat="1">
      <c r="A41" s="695">
        <v>300</v>
      </c>
      <c r="B41" s="725">
        <v>200</v>
      </c>
      <c r="C41" s="705">
        <v>100</v>
      </c>
      <c r="D41" s="713"/>
      <c r="E41" s="713"/>
      <c r="F41" s="713"/>
      <c r="G41" s="652" t="s">
        <v>597</v>
      </c>
      <c r="H41" s="606">
        <v>2565.5300000000002</v>
      </c>
      <c r="I41" s="606">
        <v>2534</v>
      </c>
      <c r="J41" s="606" t="s">
        <v>598</v>
      </c>
    </row>
    <row r="42" spans="1:10" s="285" customFormat="1">
      <c r="A42" s="695">
        <v>300</v>
      </c>
      <c r="B42" s="725">
        <v>200</v>
      </c>
      <c r="C42" s="705">
        <v>200</v>
      </c>
      <c r="D42" s="713"/>
      <c r="E42" s="713"/>
      <c r="F42" s="713"/>
      <c r="G42" s="203" t="s">
        <v>599</v>
      </c>
      <c r="H42" s="606">
        <v>52092.67</v>
      </c>
      <c r="I42" s="606">
        <v>49635</v>
      </c>
      <c r="J42" s="606" t="s">
        <v>600</v>
      </c>
    </row>
    <row r="43" spans="1:10" s="285" customFormat="1">
      <c r="A43" s="695">
        <v>300</v>
      </c>
      <c r="B43" s="725">
        <v>200</v>
      </c>
      <c r="C43" s="705">
        <v>300</v>
      </c>
      <c r="D43" s="713"/>
      <c r="E43" s="713"/>
      <c r="F43" s="713"/>
      <c r="G43" s="652" t="s">
        <v>601</v>
      </c>
      <c r="H43" s="606">
        <v>4655.8500000000004</v>
      </c>
      <c r="I43" s="606">
        <v>7279</v>
      </c>
      <c r="J43" s="606" t="s">
        <v>602</v>
      </c>
    </row>
    <row r="44" spans="1:10" s="285" customFormat="1">
      <c r="A44" s="695">
        <v>300</v>
      </c>
      <c r="B44" s="725">
        <v>200</v>
      </c>
      <c r="C44" s="705">
        <v>400</v>
      </c>
      <c r="D44" s="713"/>
      <c r="E44" s="713"/>
      <c r="F44" s="713"/>
      <c r="G44" s="638" t="s">
        <v>603</v>
      </c>
      <c r="H44" s="607">
        <v>0</v>
      </c>
      <c r="I44" s="607">
        <v>0</v>
      </c>
      <c r="J44" s="607" t="s">
        <v>604</v>
      </c>
    </row>
    <row r="45" spans="1:10" s="285" customFormat="1">
      <c r="A45" s="695">
        <v>300</v>
      </c>
      <c r="B45" s="725">
        <v>200</v>
      </c>
      <c r="C45" s="705">
        <v>400</v>
      </c>
      <c r="D45" s="713">
        <v>100</v>
      </c>
      <c r="E45" s="713"/>
      <c r="F45" s="713"/>
      <c r="G45" s="652" t="s">
        <v>605</v>
      </c>
      <c r="H45" s="606">
        <v>87732.6</v>
      </c>
      <c r="I45" s="606">
        <v>99761</v>
      </c>
      <c r="J45" s="606"/>
    </row>
    <row r="46" spans="1:10" s="285" customFormat="1">
      <c r="A46" s="695">
        <v>300</v>
      </c>
      <c r="B46" s="725">
        <v>200</v>
      </c>
      <c r="C46" s="705">
        <v>400</v>
      </c>
      <c r="D46" s="713">
        <v>200</v>
      </c>
      <c r="E46" s="713"/>
      <c r="F46" s="713"/>
      <c r="G46" s="203" t="s">
        <v>606</v>
      </c>
      <c r="H46" s="606">
        <v>1418.53</v>
      </c>
      <c r="I46" s="606">
        <v>3939</v>
      </c>
      <c r="J46" s="606"/>
    </row>
    <row r="47" spans="1:10" s="285" customFormat="1">
      <c r="A47" s="695">
        <v>300</v>
      </c>
      <c r="B47" s="725">
        <v>200</v>
      </c>
      <c r="C47" s="705">
        <v>400</v>
      </c>
      <c r="D47" s="713">
        <v>300</v>
      </c>
      <c r="E47" s="713"/>
      <c r="F47" s="713"/>
      <c r="G47" s="652" t="s">
        <v>607</v>
      </c>
      <c r="H47" s="606">
        <v>15414.77</v>
      </c>
      <c r="I47" s="606">
        <v>11506</v>
      </c>
      <c r="J47" s="606"/>
    </row>
    <row r="48" spans="1:10" s="285" customFormat="1">
      <c r="A48" s="695">
        <v>300</v>
      </c>
      <c r="B48" s="725">
        <v>200</v>
      </c>
      <c r="C48" s="705">
        <v>500</v>
      </c>
      <c r="D48" s="713"/>
      <c r="E48" s="713"/>
      <c r="F48" s="713"/>
      <c r="G48" s="638" t="s">
        <v>608</v>
      </c>
      <c r="H48" s="607">
        <v>0</v>
      </c>
      <c r="I48" s="607">
        <v>0</v>
      </c>
      <c r="J48" s="607" t="s">
        <v>609</v>
      </c>
    </row>
    <row r="49" spans="1:10" s="285" customFormat="1">
      <c r="A49" s="695">
        <v>300</v>
      </c>
      <c r="B49" s="725">
        <v>200</v>
      </c>
      <c r="C49" s="705">
        <v>500</v>
      </c>
      <c r="D49" s="713">
        <v>100</v>
      </c>
      <c r="E49" s="713"/>
      <c r="F49" s="713"/>
      <c r="G49" s="652" t="s">
        <v>610</v>
      </c>
      <c r="H49" s="606">
        <v>30835.45</v>
      </c>
      <c r="I49" s="606">
        <v>8109</v>
      </c>
      <c r="J49" s="606"/>
    </row>
    <row r="50" spans="1:10" s="285" customFormat="1">
      <c r="A50" s="695">
        <v>300</v>
      </c>
      <c r="B50" s="725">
        <v>200</v>
      </c>
      <c r="C50" s="705">
        <v>500</v>
      </c>
      <c r="D50" s="713">
        <v>200</v>
      </c>
      <c r="E50" s="713"/>
      <c r="F50" s="713"/>
      <c r="G50" s="203" t="s">
        <v>611</v>
      </c>
      <c r="H50" s="606">
        <v>1119.0899999999999</v>
      </c>
      <c r="I50" s="606">
        <v>829</v>
      </c>
      <c r="J50" s="606"/>
    </row>
    <row r="51" spans="1:10" s="285" customFormat="1">
      <c r="A51" s="695">
        <v>300</v>
      </c>
      <c r="B51" s="725">
        <v>200</v>
      </c>
      <c r="C51" s="705">
        <v>600</v>
      </c>
      <c r="D51" s="713"/>
      <c r="E51" s="713"/>
      <c r="F51" s="713"/>
      <c r="G51" s="652" t="s">
        <v>612</v>
      </c>
      <c r="H51" s="606">
        <v>85393.16</v>
      </c>
      <c r="I51" s="606">
        <v>42006</v>
      </c>
      <c r="J51" s="606" t="s">
        <v>613</v>
      </c>
    </row>
    <row r="52" spans="1:10" s="285" customFormat="1" ht="27.6">
      <c r="A52" s="695">
        <v>300</v>
      </c>
      <c r="B52" s="725">
        <v>200</v>
      </c>
      <c r="C52" s="705">
        <v>700</v>
      </c>
      <c r="D52" s="713"/>
      <c r="E52" s="713"/>
      <c r="F52" s="713"/>
      <c r="G52" s="638" t="s">
        <v>614</v>
      </c>
      <c r="H52" s="607">
        <v>0</v>
      </c>
      <c r="I52" s="607">
        <v>0</v>
      </c>
      <c r="J52" s="607" t="s">
        <v>615</v>
      </c>
    </row>
    <row r="53" spans="1:10" s="285" customFormat="1">
      <c r="A53" s="695">
        <v>300</v>
      </c>
      <c r="B53" s="725">
        <v>200</v>
      </c>
      <c r="C53" s="705">
        <v>700</v>
      </c>
      <c r="D53" s="713">
        <v>100</v>
      </c>
      <c r="E53" s="713"/>
      <c r="F53" s="713"/>
      <c r="G53" s="203" t="s">
        <v>597</v>
      </c>
      <c r="H53" s="606">
        <v>6547.62</v>
      </c>
      <c r="I53" s="606">
        <v>5050</v>
      </c>
      <c r="J53" s="606"/>
    </row>
    <row r="54" spans="1:10" s="285" customFormat="1">
      <c r="A54" s="695">
        <v>300</v>
      </c>
      <c r="B54" s="725">
        <v>200</v>
      </c>
      <c r="C54" s="705">
        <v>700</v>
      </c>
      <c r="D54" s="713">
        <v>200</v>
      </c>
      <c r="E54" s="713"/>
      <c r="F54" s="713"/>
      <c r="G54" s="203" t="s">
        <v>599</v>
      </c>
      <c r="H54" s="606">
        <v>366247.26</v>
      </c>
      <c r="I54" s="606">
        <v>101229</v>
      </c>
      <c r="J54" s="606"/>
    </row>
    <row r="55" spans="1:10" s="285" customFormat="1">
      <c r="A55" s="695">
        <v>300</v>
      </c>
      <c r="B55" s="725">
        <v>200</v>
      </c>
      <c r="C55" s="705">
        <v>700</v>
      </c>
      <c r="D55" s="713">
        <v>300</v>
      </c>
      <c r="E55" s="713"/>
      <c r="F55" s="713"/>
      <c r="G55" s="203" t="s">
        <v>601</v>
      </c>
      <c r="H55" s="606">
        <v>0</v>
      </c>
      <c r="I55" s="606">
        <v>0</v>
      </c>
      <c r="J55" s="606"/>
    </row>
    <row r="56" spans="1:10" s="285" customFormat="1">
      <c r="A56" s="695">
        <v>300</v>
      </c>
      <c r="B56" s="725">
        <v>200</v>
      </c>
      <c r="C56" s="705">
        <v>700</v>
      </c>
      <c r="D56" s="713">
        <v>400</v>
      </c>
      <c r="E56" s="713"/>
      <c r="F56" s="713"/>
      <c r="G56" s="203" t="s">
        <v>603</v>
      </c>
      <c r="H56" s="606">
        <v>67925.600000000006</v>
      </c>
      <c r="I56" s="606">
        <v>61483</v>
      </c>
      <c r="J56" s="606"/>
    </row>
    <row r="57" spans="1:10" s="285" customFormat="1">
      <c r="A57" s="695">
        <v>300</v>
      </c>
      <c r="B57" s="725">
        <v>200</v>
      </c>
      <c r="C57" s="705">
        <v>700</v>
      </c>
      <c r="D57" s="713">
        <v>500</v>
      </c>
      <c r="E57" s="713"/>
      <c r="F57" s="713"/>
      <c r="G57" s="203" t="s">
        <v>608</v>
      </c>
      <c r="H57" s="606">
        <v>0</v>
      </c>
      <c r="I57" s="606">
        <v>0</v>
      </c>
      <c r="J57" s="606"/>
    </row>
    <row r="58" spans="1:10" s="285" customFormat="1" ht="27.6">
      <c r="A58" s="696">
        <v>300</v>
      </c>
      <c r="B58" s="726">
        <v>200</v>
      </c>
      <c r="C58" s="706">
        <v>700</v>
      </c>
      <c r="D58" s="714">
        <v>900</v>
      </c>
      <c r="E58" s="714"/>
      <c r="F58" s="714"/>
      <c r="G58" s="652" t="s">
        <v>616</v>
      </c>
      <c r="H58" s="606">
        <v>1452.84</v>
      </c>
      <c r="I58" s="606">
        <v>1276</v>
      </c>
      <c r="J58" s="606"/>
    </row>
    <row r="59" spans="1:10" s="285" customFormat="1">
      <c r="A59" s="694">
        <v>305</v>
      </c>
      <c r="B59" s="724">
        <v>0</v>
      </c>
      <c r="C59" s="647">
        <v>0</v>
      </c>
      <c r="D59" s="683">
        <v>0</v>
      </c>
      <c r="E59" s="683">
        <v>0</v>
      </c>
      <c r="F59" s="683">
        <v>0</v>
      </c>
      <c r="G59" s="675" t="s">
        <v>617</v>
      </c>
      <c r="H59" s="607">
        <v>0</v>
      </c>
      <c r="I59" s="607">
        <v>0</v>
      </c>
      <c r="J59" s="607" t="s">
        <v>618</v>
      </c>
    </row>
    <row r="60" spans="1:10" s="285" customFormat="1">
      <c r="A60" s="696">
        <v>305</v>
      </c>
      <c r="B60" s="726">
        <v>100</v>
      </c>
      <c r="C60" s="706"/>
      <c r="D60" s="714"/>
      <c r="E60" s="714"/>
      <c r="F60" s="714"/>
      <c r="G60" s="638" t="s">
        <v>619</v>
      </c>
      <c r="H60" s="607">
        <v>0</v>
      </c>
      <c r="I60" s="607">
        <v>0</v>
      </c>
      <c r="J60" s="607" t="s">
        <v>620</v>
      </c>
    </row>
    <row r="61" spans="1:10" s="285" customFormat="1">
      <c r="A61" s="696">
        <v>305</v>
      </c>
      <c r="B61" s="726">
        <v>100</v>
      </c>
      <c r="C61" s="706">
        <v>50</v>
      </c>
      <c r="D61" s="714"/>
      <c r="E61" s="714"/>
      <c r="F61" s="714"/>
      <c r="G61" s="638" t="s">
        <v>621</v>
      </c>
      <c r="H61" s="607">
        <v>0</v>
      </c>
      <c r="I61" s="607">
        <v>0</v>
      </c>
      <c r="J61" s="607" t="s">
        <v>622</v>
      </c>
    </row>
    <row r="62" spans="1:10" s="285" customFormat="1">
      <c r="A62" s="696">
        <v>305</v>
      </c>
      <c r="B62" s="726">
        <v>100</v>
      </c>
      <c r="C62" s="706">
        <v>50</v>
      </c>
      <c r="D62" s="714">
        <v>100</v>
      </c>
      <c r="E62" s="714"/>
      <c r="F62" s="714"/>
      <c r="G62" s="680" t="s">
        <v>623</v>
      </c>
      <c r="H62" s="607">
        <v>0</v>
      </c>
      <c r="I62" s="607">
        <v>0</v>
      </c>
      <c r="J62" s="607" t="s">
        <v>624</v>
      </c>
    </row>
    <row r="63" spans="1:10" s="285" customFormat="1">
      <c r="A63" s="696">
        <v>305</v>
      </c>
      <c r="B63" s="726">
        <v>100</v>
      </c>
      <c r="C63" s="706">
        <v>50</v>
      </c>
      <c r="D63" s="714">
        <v>100</v>
      </c>
      <c r="E63" s="714">
        <v>10</v>
      </c>
      <c r="F63" s="714"/>
      <c r="G63" s="638" t="s">
        <v>625</v>
      </c>
      <c r="H63" s="607">
        <v>0</v>
      </c>
      <c r="I63" s="607">
        <v>0</v>
      </c>
      <c r="J63" s="607" t="s">
        <v>626</v>
      </c>
    </row>
    <row r="64" spans="1:10" s="285" customFormat="1">
      <c r="A64" s="696">
        <v>305</v>
      </c>
      <c r="B64" s="726">
        <v>100</v>
      </c>
      <c r="C64" s="706">
        <v>50</v>
      </c>
      <c r="D64" s="714">
        <v>100</v>
      </c>
      <c r="E64" s="714">
        <v>10</v>
      </c>
      <c r="F64" s="714">
        <v>5</v>
      </c>
      <c r="G64" s="203" t="s">
        <v>627</v>
      </c>
      <c r="H64" s="606">
        <v>0</v>
      </c>
      <c r="I64" s="606">
        <v>0</v>
      </c>
      <c r="J64" s="606"/>
    </row>
    <row r="65" spans="1:10" s="285" customFormat="1">
      <c r="A65" s="696">
        <v>305</v>
      </c>
      <c r="B65" s="726">
        <v>100</v>
      </c>
      <c r="C65" s="706">
        <v>50</v>
      </c>
      <c r="D65" s="714">
        <v>100</v>
      </c>
      <c r="E65" s="714">
        <v>10</v>
      </c>
      <c r="F65" s="714">
        <v>10</v>
      </c>
      <c r="G65" s="203" t="s">
        <v>628</v>
      </c>
      <c r="H65" s="606">
        <v>0</v>
      </c>
      <c r="I65" s="606">
        <v>0</v>
      </c>
      <c r="J65" s="606"/>
    </row>
    <row r="66" spans="1:10" s="285" customFormat="1">
      <c r="A66" s="696">
        <v>305</v>
      </c>
      <c r="B66" s="726">
        <v>100</v>
      </c>
      <c r="C66" s="706">
        <v>50</v>
      </c>
      <c r="D66" s="714">
        <v>100</v>
      </c>
      <c r="E66" s="714">
        <v>10</v>
      </c>
      <c r="F66" s="714">
        <v>15</v>
      </c>
      <c r="G66" s="203" t="s">
        <v>629</v>
      </c>
      <c r="H66" s="606">
        <v>0</v>
      </c>
      <c r="I66" s="606">
        <v>0</v>
      </c>
      <c r="J66" s="606"/>
    </row>
    <row r="67" spans="1:10" s="285" customFormat="1">
      <c r="A67" s="696">
        <v>305</v>
      </c>
      <c r="B67" s="726">
        <v>100</v>
      </c>
      <c r="C67" s="706">
        <v>50</v>
      </c>
      <c r="D67" s="714">
        <v>100</v>
      </c>
      <c r="E67" s="714">
        <v>10</v>
      </c>
      <c r="F67" s="714">
        <v>20</v>
      </c>
      <c r="G67" s="203" t="s">
        <v>630</v>
      </c>
      <c r="H67" s="504">
        <v>0</v>
      </c>
      <c r="I67" s="504">
        <v>0</v>
      </c>
      <c r="J67" s="504"/>
    </row>
    <row r="68" spans="1:10" s="285" customFormat="1">
      <c r="A68" s="696">
        <v>305</v>
      </c>
      <c r="B68" s="726">
        <v>100</v>
      </c>
      <c r="C68" s="706">
        <v>50</v>
      </c>
      <c r="D68" s="714">
        <v>100</v>
      </c>
      <c r="E68" s="714">
        <v>10</v>
      </c>
      <c r="F68" s="714">
        <v>25</v>
      </c>
      <c r="G68" s="203" t="s">
        <v>631</v>
      </c>
      <c r="H68" s="504">
        <v>0</v>
      </c>
      <c r="I68" s="504">
        <v>0</v>
      </c>
      <c r="J68" s="504"/>
    </row>
    <row r="69" spans="1:10" s="285" customFormat="1">
      <c r="A69" s="696">
        <v>305</v>
      </c>
      <c r="B69" s="726">
        <v>100</v>
      </c>
      <c r="C69" s="706">
        <v>50</v>
      </c>
      <c r="D69" s="714">
        <v>100</v>
      </c>
      <c r="E69" s="714">
        <v>10</v>
      </c>
      <c r="F69" s="714">
        <v>30</v>
      </c>
      <c r="G69" s="203" t="s">
        <v>632</v>
      </c>
      <c r="H69" s="504">
        <v>0</v>
      </c>
      <c r="I69" s="504">
        <v>0</v>
      </c>
      <c r="J69" s="504"/>
    </row>
    <row r="70" spans="1:10" s="285" customFormat="1">
      <c r="A70" s="696">
        <v>305</v>
      </c>
      <c r="B70" s="726">
        <v>100</v>
      </c>
      <c r="C70" s="706">
        <v>50</v>
      </c>
      <c r="D70" s="714">
        <v>100</v>
      </c>
      <c r="E70" s="714">
        <v>10</v>
      </c>
      <c r="F70" s="714">
        <v>35</v>
      </c>
      <c r="G70" s="203" t="s">
        <v>633</v>
      </c>
      <c r="H70" s="504">
        <v>0</v>
      </c>
      <c r="I70" s="504">
        <v>0</v>
      </c>
      <c r="J70" s="504"/>
    </row>
    <row r="71" spans="1:10" s="285" customFormat="1">
      <c r="A71" s="696">
        <v>305</v>
      </c>
      <c r="B71" s="726">
        <v>100</v>
      </c>
      <c r="C71" s="706">
        <v>50</v>
      </c>
      <c r="D71" s="714">
        <v>100</v>
      </c>
      <c r="E71" s="714">
        <v>10</v>
      </c>
      <c r="F71" s="714">
        <v>40</v>
      </c>
      <c r="G71" s="203" t="s">
        <v>634</v>
      </c>
      <c r="H71" s="504">
        <v>0</v>
      </c>
      <c r="I71" s="504">
        <v>0</v>
      </c>
      <c r="J71" s="504"/>
    </row>
    <row r="72" spans="1:10" s="285" customFormat="1">
      <c r="A72" s="696">
        <v>305</v>
      </c>
      <c r="B72" s="726">
        <v>100</v>
      </c>
      <c r="C72" s="706">
        <v>50</v>
      </c>
      <c r="D72" s="714">
        <v>100</v>
      </c>
      <c r="E72" s="714">
        <v>10</v>
      </c>
      <c r="F72" s="714">
        <v>45</v>
      </c>
      <c r="G72" s="203" t="s">
        <v>635</v>
      </c>
      <c r="H72" s="504">
        <v>0</v>
      </c>
      <c r="I72" s="504">
        <v>0</v>
      </c>
      <c r="J72" s="504"/>
    </row>
    <row r="73" spans="1:10" s="285" customFormat="1">
      <c r="A73" s="696">
        <v>305</v>
      </c>
      <c r="B73" s="726">
        <v>100</v>
      </c>
      <c r="C73" s="706">
        <v>50</v>
      </c>
      <c r="D73" s="714">
        <v>100</v>
      </c>
      <c r="E73" s="714">
        <v>10</v>
      </c>
      <c r="F73" s="714">
        <v>50</v>
      </c>
      <c r="G73" s="203" t="s">
        <v>636</v>
      </c>
      <c r="H73" s="504">
        <v>0</v>
      </c>
      <c r="I73" s="504">
        <v>0</v>
      </c>
      <c r="J73" s="504"/>
    </row>
    <row r="74" spans="1:10" s="285" customFormat="1">
      <c r="A74" s="696">
        <v>305</v>
      </c>
      <c r="B74" s="726">
        <v>100</v>
      </c>
      <c r="C74" s="706">
        <v>50</v>
      </c>
      <c r="D74" s="714">
        <v>100</v>
      </c>
      <c r="E74" s="714">
        <v>10</v>
      </c>
      <c r="F74" s="714">
        <v>55</v>
      </c>
      <c r="G74" s="203" t="s">
        <v>637</v>
      </c>
      <c r="H74" s="504">
        <v>0</v>
      </c>
      <c r="I74" s="504">
        <v>0</v>
      </c>
      <c r="J74" s="504"/>
    </row>
    <row r="75" spans="1:10" s="285" customFormat="1">
      <c r="A75" s="696">
        <v>305</v>
      </c>
      <c r="B75" s="726">
        <v>100</v>
      </c>
      <c r="C75" s="706">
        <v>50</v>
      </c>
      <c r="D75" s="714">
        <v>100</v>
      </c>
      <c r="E75" s="714">
        <v>20</v>
      </c>
      <c r="F75" s="714"/>
      <c r="G75" s="679" t="s">
        <v>638</v>
      </c>
      <c r="H75" s="607">
        <v>0</v>
      </c>
      <c r="I75" s="607">
        <v>0</v>
      </c>
      <c r="J75" s="607" t="s">
        <v>639</v>
      </c>
    </row>
    <row r="76" spans="1:10" s="285" customFormat="1">
      <c r="A76" s="696">
        <v>305</v>
      </c>
      <c r="B76" s="726">
        <v>100</v>
      </c>
      <c r="C76" s="706">
        <v>50</v>
      </c>
      <c r="D76" s="714">
        <v>100</v>
      </c>
      <c r="E76" s="714">
        <v>20</v>
      </c>
      <c r="F76" s="714">
        <v>5</v>
      </c>
      <c r="G76" s="203" t="s">
        <v>627</v>
      </c>
      <c r="H76" s="606">
        <v>0</v>
      </c>
      <c r="I76" s="606">
        <v>0</v>
      </c>
      <c r="J76" s="606"/>
    </row>
    <row r="77" spans="1:10" s="285" customFormat="1">
      <c r="A77" s="696">
        <v>305</v>
      </c>
      <c r="B77" s="726">
        <v>100</v>
      </c>
      <c r="C77" s="706">
        <v>50</v>
      </c>
      <c r="D77" s="714">
        <v>100</v>
      </c>
      <c r="E77" s="714">
        <v>20</v>
      </c>
      <c r="F77" s="714">
        <v>10</v>
      </c>
      <c r="G77" s="203" t="s">
        <v>628</v>
      </c>
      <c r="H77" s="606">
        <v>0</v>
      </c>
      <c r="I77" s="606">
        <v>0</v>
      </c>
      <c r="J77" s="606"/>
    </row>
    <row r="78" spans="1:10" s="285" customFormat="1">
      <c r="A78" s="696">
        <v>305</v>
      </c>
      <c r="B78" s="726">
        <v>100</v>
      </c>
      <c r="C78" s="706">
        <v>50</v>
      </c>
      <c r="D78" s="714">
        <v>100</v>
      </c>
      <c r="E78" s="714">
        <v>20</v>
      </c>
      <c r="F78" s="714">
        <v>15</v>
      </c>
      <c r="G78" s="203" t="s">
        <v>629</v>
      </c>
      <c r="H78" s="606">
        <v>0</v>
      </c>
      <c r="I78" s="606">
        <v>0</v>
      </c>
      <c r="J78" s="606"/>
    </row>
    <row r="79" spans="1:10" s="285" customFormat="1">
      <c r="A79" s="696">
        <v>305</v>
      </c>
      <c r="B79" s="726">
        <v>100</v>
      </c>
      <c r="C79" s="706">
        <v>50</v>
      </c>
      <c r="D79" s="714">
        <v>100</v>
      </c>
      <c r="E79" s="714">
        <v>20</v>
      </c>
      <c r="F79" s="714">
        <v>20</v>
      </c>
      <c r="G79" s="203" t="s">
        <v>630</v>
      </c>
      <c r="H79" s="504">
        <v>0</v>
      </c>
      <c r="I79" s="504">
        <v>0</v>
      </c>
      <c r="J79" s="504"/>
    </row>
    <row r="80" spans="1:10" s="285" customFormat="1">
      <c r="A80" s="696">
        <v>305</v>
      </c>
      <c r="B80" s="726">
        <v>100</v>
      </c>
      <c r="C80" s="706">
        <v>50</v>
      </c>
      <c r="D80" s="714">
        <v>100</v>
      </c>
      <c r="E80" s="714">
        <v>20</v>
      </c>
      <c r="F80" s="714">
        <v>25</v>
      </c>
      <c r="G80" s="203" t="s">
        <v>631</v>
      </c>
      <c r="H80" s="504">
        <v>0</v>
      </c>
      <c r="I80" s="504">
        <v>0</v>
      </c>
      <c r="J80" s="504"/>
    </row>
    <row r="81" spans="1:10" s="285" customFormat="1">
      <c r="A81" s="696">
        <v>305</v>
      </c>
      <c r="B81" s="726">
        <v>100</v>
      </c>
      <c r="C81" s="706">
        <v>50</v>
      </c>
      <c r="D81" s="714">
        <v>100</v>
      </c>
      <c r="E81" s="714">
        <v>20</v>
      </c>
      <c r="F81" s="714">
        <v>30</v>
      </c>
      <c r="G81" s="203" t="s">
        <v>632</v>
      </c>
      <c r="H81" s="606">
        <v>0</v>
      </c>
      <c r="I81" s="606">
        <v>0</v>
      </c>
      <c r="J81" s="606"/>
    </row>
    <row r="82" spans="1:10" s="285" customFormat="1">
      <c r="A82" s="696">
        <v>305</v>
      </c>
      <c r="B82" s="726">
        <v>100</v>
      </c>
      <c r="C82" s="706">
        <v>50</v>
      </c>
      <c r="D82" s="714">
        <v>100</v>
      </c>
      <c r="E82" s="714">
        <v>20</v>
      </c>
      <c r="F82" s="714">
        <v>35</v>
      </c>
      <c r="G82" s="203" t="s">
        <v>633</v>
      </c>
      <c r="H82" s="606">
        <v>0</v>
      </c>
      <c r="I82" s="606">
        <v>0</v>
      </c>
      <c r="J82" s="606"/>
    </row>
    <row r="83" spans="1:10" s="285" customFormat="1">
      <c r="A83" s="696">
        <v>305</v>
      </c>
      <c r="B83" s="726">
        <v>100</v>
      </c>
      <c r="C83" s="706">
        <v>50</v>
      </c>
      <c r="D83" s="714">
        <v>100</v>
      </c>
      <c r="E83" s="714">
        <v>20</v>
      </c>
      <c r="F83" s="714">
        <v>40</v>
      </c>
      <c r="G83" s="203" t="s">
        <v>634</v>
      </c>
      <c r="H83" s="606">
        <v>0</v>
      </c>
      <c r="I83" s="606">
        <v>0</v>
      </c>
      <c r="J83" s="606"/>
    </row>
    <row r="84" spans="1:10" s="285" customFormat="1">
      <c r="A84" s="696">
        <v>305</v>
      </c>
      <c r="B84" s="726">
        <v>100</v>
      </c>
      <c r="C84" s="706">
        <v>50</v>
      </c>
      <c r="D84" s="714">
        <v>100</v>
      </c>
      <c r="E84" s="714">
        <v>20</v>
      </c>
      <c r="F84" s="714">
        <v>45</v>
      </c>
      <c r="G84" s="203" t="s">
        <v>635</v>
      </c>
      <c r="H84" s="504">
        <v>0</v>
      </c>
      <c r="I84" s="504">
        <v>0</v>
      </c>
      <c r="J84" s="504"/>
    </row>
    <row r="85" spans="1:10" s="285" customFormat="1">
      <c r="A85" s="696">
        <v>305</v>
      </c>
      <c r="B85" s="726">
        <v>100</v>
      </c>
      <c r="C85" s="706">
        <v>50</v>
      </c>
      <c r="D85" s="714">
        <v>100</v>
      </c>
      <c r="E85" s="714">
        <v>20</v>
      </c>
      <c r="F85" s="714">
        <v>50</v>
      </c>
      <c r="G85" s="203" t="s">
        <v>636</v>
      </c>
      <c r="H85" s="504">
        <v>0</v>
      </c>
      <c r="I85" s="504">
        <v>0</v>
      </c>
      <c r="J85" s="504"/>
    </row>
    <row r="86" spans="1:10" s="285" customFormat="1">
      <c r="A86" s="696">
        <v>305</v>
      </c>
      <c r="B86" s="726">
        <v>100</v>
      </c>
      <c r="C86" s="706">
        <v>50</v>
      </c>
      <c r="D86" s="714">
        <v>100</v>
      </c>
      <c r="E86" s="714">
        <v>20</v>
      </c>
      <c r="F86" s="714">
        <v>55</v>
      </c>
      <c r="G86" s="203" t="s">
        <v>637</v>
      </c>
      <c r="H86" s="606">
        <v>0</v>
      </c>
      <c r="I86" s="606">
        <v>0</v>
      </c>
      <c r="J86" s="606"/>
    </row>
    <row r="87" spans="1:10" s="285" customFormat="1">
      <c r="A87" s="696">
        <v>305</v>
      </c>
      <c r="B87" s="726">
        <v>100</v>
      </c>
      <c r="C87" s="706">
        <v>50</v>
      </c>
      <c r="D87" s="714">
        <v>100</v>
      </c>
      <c r="E87" s="714">
        <v>30</v>
      </c>
      <c r="F87" s="714"/>
      <c r="G87" s="638" t="s">
        <v>640</v>
      </c>
      <c r="H87" s="607">
        <v>0</v>
      </c>
      <c r="I87" s="607">
        <v>0</v>
      </c>
      <c r="J87" s="607" t="s">
        <v>641</v>
      </c>
    </row>
    <row r="88" spans="1:10" s="285" customFormat="1" ht="27.6">
      <c r="A88" s="696">
        <v>305</v>
      </c>
      <c r="B88" s="726">
        <v>100</v>
      </c>
      <c r="C88" s="706">
        <v>50</v>
      </c>
      <c r="D88" s="714">
        <v>100</v>
      </c>
      <c r="E88" s="714">
        <v>30</v>
      </c>
      <c r="F88" s="714">
        <v>5</v>
      </c>
      <c r="G88" s="203" t="s">
        <v>642</v>
      </c>
      <c r="H88" s="504">
        <v>0</v>
      </c>
      <c r="I88" s="504">
        <v>0</v>
      </c>
      <c r="J88" s="504"/>
    </row>
    <row r="89" spans="1:10" s="285" customFormat="1">
      <c r="A89" s="696">
        <v>305</v>
      </c>
      <c r="B89" s="726">
        <v>100</v>
      </c>
      <c r="C89" s="706">
        <v>50</v>
      </c>
      <c r="D89" s="714">
        <v>100</v>
      </c>
      <c r="E89" s="714">
        <v>30</v>
      </c>
      <c r="F89" s="714">
        <v>10</v>
      </c>
      <c r="G89" s="203" t="s">
        <v>643</v>
      </c>
      <c r="H89" s="504">
        <v>0</v>
      </c>
      <c r="I89" s="504">
        <v>0</v>
      </c>
      <c r="J89" s="504"/>
    </row>
    <row r="90" spans="1:10" s="285" customFormat="1">
      <c r="A90" s="696">
        <v>305</v>
      </c>
      <c r="B90" s="726">
        <v>100</v>
      </c>
      <c r="C90" s="706">
        <v>50</v>
      </c>
      <c r="D90" s="714">
        <v>100</v>
      </c>
      <c r="E90" s="714">
        <v>30</v>
      </c>
      <c r="F90" s="714">
        <v>15</v>
      </c>
      <c r="G90" s="203" t="s">
        <v>644</v>
      </c>
      <c r="H90" s="606">
        <v>0</v>
      </c>
      <c r="I90" s="606">
        <v>0</v>
      </c>
      <c r="J90" s="606"/>
    </row>
    <row r="91" spans="1:10" s="285" customFormat="1" ht="27.6">
      <c r="A91" s="696">
        <v>305</v>
      </c>
      <c r="B91" s="726">
        <v>100</v>
      </c>
      <c r="C91" s="706">
        <v>50</v>
      </c>
      <c r="D91" s="714">
        <v>100</v>
      </c>
      <c r="E91" s="714">
        <v>30</v>
      </c>
      <c r="F91" s="714">
        <v>20</v>
      </c>
      <c r="G91" s="203" t="s">
        <v>645</v>
      </c>
      <c r="H91" s="504">
        <v>0</v>
      </c>
      <c r="I91" s="504">
        <v>0</v>
      </c>
      <c r="J91" s="504"/>
    </row>
    <row r="92" spans="1:10" s="285" customFormat="1" ht="27.6">
      <c r="A92" s="696">
        <v>305</v>
      </c>
      <c r="B92" s="726">
        <v>100</v>
      </c>
      <c r="C92" s="706">
        <v>50</v>
      </c>
      <c r="D92" s="714">
        <v>100</v>
      </c>
      <c r="E92" s="714">
        <v>30</v>
      </c>
      <c r="F92" s="714">
        <v>25</v>
      </c>
      <c r="G92" s="203" t="s">
        <v>646</v>
      </c>
      <c r="H92" s="504">
        <v>0</v>
      </c>
      <c r="I92" s="504">
        <v>0</v>
      </c>
      <c r="J92" s="504"/>
    </row>
    <row r="93" spans="1:10" s="285" customFormat="1" ht="27.6">
      <c r="A93" s="696">
        <v>305</v>
      </c>
      <c r="B93" s="726">
        <v>100</v>
      </c>
      <c r="C93" s="706">
        <v>50</v>
      </c>
      <c r="D93" s="714">
        <v>100</v>
      </c>
      <c r="E93" s="714">
        <v>30</v>
      </c>
      <c r="F93" s="714">
        <v>30</v>
      </c>
      <c r="G93" s="203" t="s">
        <v>647</v>
      </c>
      <c r="H93" s="606">
        <v>0</v>
      </c>
      <c r="I93" s="606">
        <v>0</v>
      </c>
      <c r="J93" s="606"/>
    </row>
    <row r="94" spans="1:10" s="285" customFormat="1" ht="27.6">
      <c r="A94" s="696">
        <v>305</v>
      </c>
      <c r="B94" s="726">
        <v>100</v>
      </c>
      <c r="C94" s="706">
        <v>50</v>
      </c>
      <c r="D94" s="714">
        <v>100</v>
      </c>
      <c r="E94" s="714">
        <v>30</v>
      </c>
      <c r="F94" s="714">
        <v>35</v>
      </c>
      <c r="G94" s="203" t="s">
        <v>648</v>
      </c>
      <c r="H94" s="504">
        <v>0</v>
      </c>
      <c r="I94" s="504">
        <v>0</v>
      </c>
      <c r="J94" s="504"/>
    </row>
    <row r="95" spans="1:10" s="285" customFormat="1">
      <c r="A95" s="696">
        <v>305</v>
      </c>
      <c r="B95" s="726">
        <v>100</v>
      </c>
      <c r="C95" s="706">
        <v>50</v>
      </c>
      <c r="D95" s="714">
        <v>100</v>
      </c>
      <c r="E95" s="714">
        <v>30</v>
      </c>
      <c r="F95" s="714">
        <v>40</v>
      </c>
      <c r="G95" s="203" t="s">
        <v>649</v>
      </c>
      <c r="H95" s="504">
        <v>0</v>
      </c>
      <c r="I95" s="504">
        <v>0</v>
      </c>
      <c r="J95" s="504"/>
    </row>
    <row r="96" spans="1:10" s="285" customFormat="1" ht="27.6">
      <c r="A96" s="696">
        <v>305</v>
      </c>
      <c r="B96" s="726">
        <v>100</v>
      </c>
      <c r="C96" s="706">
        <v>50</v>
      </c>
      <c r="D96" s="714">
        <v>100</v>
      </c>
      <c r="E96" s="714">
        <v>30</v>
      </c>
      <c r="F96" s="714">
        <v>45</v>
      </c>
      <c r="G96" s="203" t="s">
        <v>650</v>
      </c>
      <c r="H96" s="606">
        <v>0</v>
      </c>
      <c r="I96" s="606">
        <v>0</v>
      </c>
      <c r="J96" s="606"/>
    </row>
    <row r="97" spans="1:10" s="285" customFormat="1" ht="27.6">
      <c r="A97" s="696">
        <v>305</v>
      </c>
      <c r="B97" s="726">
        <v>100</v>
      </c>
      <c r="C97" s="706">
        <v>50</v>
      </c>
      <c r="D97" s="714">
        <v>100</v>
      </c>
      <c r="E97" s="714">
        <v>30</v>
      </c>
      <c r="F97" s="714">
        <v>50</v>
      </c>
      <c r="G97" s="203" t="s">
        <v>651</v>
      </c>
      <c r="H97" s="504">
        <v>0</v>
      </c>
      <c r="I97" s="504">
        <v>0</v>
      </c>
      <c r="J97" s="504"/>
    </row>
    <row r="98" spans="1:10" s="285" customFormat="1" ht="27.6">
      <c r="A98" s="696">
        <v>305</v>
      </c>
      <c r="B98" s="726">
        <v>100</v>
      </c>
      <c r="C98" s="706">
        <v>50</v>
      </c>
      <c r="D98" s="714">
        <v>100</v>
      </c>
      <c r="E98" s="714">
        <v>30</v>
      </c>
      <c r="F98" s="714">
        <v>55</v>
      </c>
      <c r="G98" s="203" t="s">
        <v>652</v>
      </c>
      <c r="H98" s="504">
        <v>0</v>
      </c>
      <c r="I98" s="504">
        <v>0</v>
      </c>
      <c r="J98" s="504"/>
    </row>
    <row r="99" spans="1:10" s="285" customFormat="1" ht="27.6">
      <c r="A99" s="696">
        <v>305</v>
      </c>
      <c r="B99" s="726">
        <v>100</v>
      </c>
      <c r="C99" s="706">
        <v>50</v>
      </c>
      <c r="D99" s="714">
        <v>100</v>
      </c>
      <c r="E99" s="714">
        <v>30</v>
      </c>
      <c r="F99" s="714">
        <v>60</v>
      </c>
      <c r="G99" s="203" t="s">
        <v>653</v>
      </c>
      <c r="H99" s="504">
        <v>0</v>
      </c>
      <c r="I99" s="504">
        <v>0</v>
      </c>
      <c r="J99" s="504"/>
    </row>
    <row r="100" spans="1:10" s="285" customFormat="1">
      <c r="A100" s="696">
        <v>305</v>
      </c>
      <c r="B100" s="726">
        <v>100</v>
      </c>
      <c r="C100" s="706">
        <v>50</v>
      </c>
      <c r="D100" s="714">
        <v>100</v>
      </c>
      <c r="E100" s="714">
        <v>30</v>
      </c>
      <c r="F100" s="714">
        <v>65</v>
      </c>
      <c r="G100" s="203" t="s">
        <v>654</v>
      </c>
      <c r="H100" s="504">
        <v>0</v>
      </c>
      <c r="I100" s="504">
        <v>0</v>
      </c>
      <c r="J100" s="504"/>
    </row>
    <row r="101" spans="1:10" s="285" customFormat="1">
      <c r="A101" s="696">
        <v>305</v>
      </c>
      <c r="B101" s="726">
        <v>100</v>
      </c>
      <c r="C101" s="706">
        <v>50</v>
      </c>
      <c r="D101" s="714">
        <v>100</v>
      </c>
      <c r="E101" s="714">
        <v>30</v>
      </c>
      <c r="F101" s="714">
        <v>70</v>
      </c>
      <c r="G101" s="203" t="s">
        <v>655</v>
      </c>
      <c r="H101" s="606">
        <v>0</v>
      </c>
      <c r="I101" s="606">
        <v>0</v>
      </c>
      <c r="J101" s="606"/>
    </row>
    <row r="102" spans="1:10" s="285" customFormat="1">
      <c r="A102" s="696">
        <v>305</v>
      </c>
      <c r="B102" s="726">
        <v>100</v>
      </c>
      <c r="C102" s="706">
        <v>50</v>
      </c>
      <c r="D102" s="714">
        <v>100</v>
      </c>
      <c r="E102" s="714">
        <v>40</v>
      </c>
      <c r="F102" s="714"/>
      <c r="G102" s="638" t="s">
        <v>656</v>
      </c>
      <c r="H102" s="607">
        <v>0</v>
      </c>
      <c r="I102" s="607">
        <v>0</v>
      </c>
      <c r="J102" s="607" t="s">
        <v>657</v>
      </c>
    </row>
    <row r="103" spans="1:10" s="285" customFormat="1">
      <c r="A103" s="696">
        <v>305</v>
      </c>
      <c r="B103" s="726">
        <v>100</v>
      </c>
      <c r="C103" s="706">
        <v>50</v>
      </c>
      <c r="D103" s="714">
        <v>100</v>
      </c>
      <c r="E103" s="714">
        <v>40</v>
      </c>
      <c r="F103" s="714">
        <v>5</v>
      </c>
      <c r="G103" s="203" t="s">
        <v>658</v>
      </c>
      <c r="H103" s="504">
        <v>0</v>
      </c>
      <c r="I103" s="504">
        <v>0</v>
      </c>
      <c r="J103" s="504"/>
    </row>
    <row r="104" spans="1:10" s="285" customFormat="1">
      <c r="A104" s="696">
        <v>305</v>
      </c>
      <c r="B104" s="726">
        <v>100</v>
      </c>
      <c r="C104" s="706">
        <v>50</v>
      </c>
      <c r="D104" s="714">
        <v>100</v>
      </c>
      <c r="E104" s="714">
        <v>40</v>
      </c>
      <c r="F104" s="714">
        <v>10</v>
      </c>
      <c r="G104" s="203" t="s">
        <v>628</v>
      </c>
      <c r="H104" s="606">
        <v>0</v>
      </c>
      <c r="I104" s="606">
        <v>0</v>
      </c>
      <c r="J104" s="606"/>
    </row>
    <row r="105" spans="1:10" s="285" customFormat="1">
      <c r="A105" s="696">
        <v>305</v>
      </c>
      <c r="B105" s="726">
        <v>100</v>
      </c>
      <c r="C105" s="706">
        <v>50</v>
      </c>
      <c r="D105" s="714">
        <v>100</v>
      </c>
      <c r="E105" s="714">
        <v>40</v>
      </c>
      <c r="F105" s="714">
        <v>15</v>
      </c>
      <c r="G105" s="203" t="s">
        <v>631</v>
      </c>
      <c r="H105" s="504">
        <v>0</v>
      </c>
      <c r="I105" s="504">
        <v>0</v>
      </c>
      <c r="J105" s="504"/>
    </row>
    <row r="106" spans="1:10" s="285" customFormat="1">
      <c r="A106" s="696">
        <v>305</v>
      </c>
      <c r="B106" s="726">
        <v>100</v>
      </c>
      <c r="C106" s="706">
        <v>50</v>
      </c>
      <c r="D106" s="714">
        <v>100</v>
      </c>
      <c r="E106" s="714">
        <v>40</v>
      </c>
      <c r="F106" s="714">
        <v>20</v>
      </c>
      <c r="G106" s="203" t="s">
        <v>632</v>
      </c>
      <c r="H106" s="504">
        <v>0</v>
      </c>
      <c r="I106" s="504">
        <v>0</v>
      </c>
      <c r="J106" s="504"/>
    </row>
    <row r="107" spans="1:10" s="285" customFormat="1">
      <c r="A107" s="696">
        <v>305</v>
      </c>
      <c r="B107" s="726">
        <v>100</v>
      </c>
      <c r="C107" s="706">
        <v>50</v>
      </c>
      <c r="D107" s="714">
        <v>100</v>
      </c>
      <c r="E107" s="714">
        <v>40</v>
      </c>
      <c r="F107" s="714">
        <v>25</v>
      </c>
      <c r="G107" s="203" t="s">
        <v>633</v>
      </c>
      <c r="H107" s="606">
        <v>0</v>
      </c>
      <c r="I107" s="606">
        <v>0</v>
      </c>
      <c r="J107" s="606"/>
    </row>
    <row r="108" spans="1:10" s="285" customFormat="1">
      <c r="A108" s="696">
        <v>305</v>
      </c>
      <c r="B108" s="726">
        <v>100</v>
      </c>
      <c r="C108" s="706">
        <v>50</v>
      </c>
      <c r="D108" s="714">
        <v>100</v>
      </c>
      <c r="E108" s="714">
        <v>40</v>
      </c>
      <c r="F108" s="714">
        <v>30</v>
      </c>
      <c r="G108" s="203" t="s">
        <v>636</v>
      </c>
      <c r="H108" s="504">
        <v>0</v>
      </c>
      <c r="I108" s="504">
        <v>0</v>
      </c>
      <c r="J108" s="504"/>
    </row>
    <row r="109" spans="1:10" s="285" customFormat="1">
      <c r="A109" s="696">
        <v>305</v>
      </c>
      <c r="B109" s="726">
        <v>100</v>
      </c>
      <c r="C109" s="706">
        <v>50</v>
      </c>
      <c r="D109" s="714">
        <v>100</v>
      </c>
      <c r="E109" s="714">
        <v>40</v>
      </c>
      <c r="F109" s="714">
        <v>35</v>
      </c>
      <c r="G109" s="203" t="s">
        <v>637</v>
      </c>
      <c r="H109" s="606">
        <v>0</v>
      </c>
      <c r="I109" s="606">
        <v>0</v>
      </c>
      <c r="J109" s="606"/>
    </row>
    <row r="110" spans="1:10" s="285" customFormat="1">
      <c r="A110" s="696">
        <v>305</v>
      </c>
      <c r="B110" s="726">
        <v>100</v>
      </c>
      <c r="C110" s="706">
        <v>50</v>
      </c>
      <c r="D110" s="714">
        <v>100</v>
      </c>
      <c r="E110" s="714">
        <v>40</v>
      </c>
      <c r="F110" s="714">
        <v>40</v>
      </c>
      <c r="G110" s="203" t="s">
        <v>659</v>
      </c>
      <c r="H110" s="504">
        <v>0</v>
      </c>
      <c r="I110" s="504">
        <v>0</v>
      </c>
      <c r="J110" s="504"/>
    </row>
    <row r="111" spans="1:10" s="285" customFormat="1" ht="27.6">
      <c r="A111" s="696">
        <v>305</v>
      </c>
      <c r="B111" s="726">
        <v>100</v>
      </c>
      <c r="C111" s="706">
        <v>50</v>
      </c>
      <c r="D111" s="714">
        <v>200</v>
      </c>
      <c r="E111" s="714"/>
      <c r="F111" s="714"/>
      <c r="G111" s="652" t="s">
        <v>660</v>
      </c>
      <c r="H111" s="606">
        <v>0</v>
      </c>
      <c r="I111" s="606">
        <v>0</v>
      </c>
      <c r="J111" s="606" t="s">
        <v>661</v>
      </c>
    </row>
    <row r="112" spans="1:10" s="285" customFormat="1" ht="27.6">
      <c r="A112" s="696">
        <v>305</v>
      </c>
      <c r="B112" s="726">
        <v>100</v>
      </c>
      <c r="C112" s="706">
        <v>50</v>
      </c>
      <c r="D112" s="714">
        <v>300</v>
      </c>
      <c r="E112" s="714"/>
      <c r="F112" s="714"/>
      <c r="G112" s="203" t="s">
        <v>662</v>
      </c>
      <c r="H112" s="504">
        <v>0</v>
      </c>
      <c r="I112" s="504">
        <v>0</v>
      </c>
      <c r="J112" s="504" t="s">
        <v>663</v>
      </c>
    </row>
    <row r="113" spans="1:10" s="285" customFormat="1">
      <c r="A113" s="696">
        <v>305</v>
      </c>
      <c r="B113" s="726">
        <v>100</v>
      </c>
      <c r="C113" s="706">
        <v>100</v>
      </c>
      <c r="D113" s="714"/>
      <c r="E113" s="714"/>
      <c r="F113" s="714"/>
      <c r="G113" s="638" t="s">
        <v>664</v>
      </c>
      <c r="H113" s="607">
        <v>0</v>
      </c>
      <c r="I113" s="607">
        <v>0</v>
      </c>
      <c r="J113" s="607" t="s">
        <v>665</v>
      </c>
    </row>
    <row r="114" spans="1:10" s="285" customFormat="1">
      <c r="A114" s="696">
        <v>305</v>
      </c>
      <c r="B114" s="726">
        <v>100</v>
      </c>
      <c r="C114" s="706">
        <v>100</v>
      </c>
      <c r="D114" s="714">
        <v>100</v>
      </c>
      <c r="E114" s="714"/>
      <c r="F114" s="714"/>
      <c r="G114" s="680" t="s">
        <v>623</v>
      </c>
      <c r="H114" s="607">
        <v>0</v>
      </c>
      <c r="I114" s="607">
        <v>0</v>
      </c>
      <c r="J114" s="607" t="s">
        <v>666</v>
      </c>
    </row>
    <row r="115" spans="1:10" s="285" customFormat="1">
      <c r="A115" s="696">
        <v>305</v>
      </c>
      <c r="B115" s="726">
        <v>100</v>
      </c>
      <c r="C115" s="706">
        <v>100</v>
      </c>
      <c r="D115" s="714">
        <v>100</v>
      </c>
      <c r="E115" s="714">
        <v>10</v>
      </c>
      <c r="F115" s="714"/>
      <c r="G115" s="652" t="s">
        <v>667</v>
      </c>
      <c r="H115" s="606">
        <v>0</v>
      </c>
      <c r="I115" s="606">
        <v>0</v>
      </c>
      <c r="J115" s="606"/>
    </row>
    <row r="116" spans="1:10" s="285" customFormat="1">
      <c r="A116" s="696">
        <v>305</v>
      </c>
      <c r="B116" s="726">
        <v>100</v>
      </c>
      <c r="C116" s="706">
        <v>100</v>
      </c>
      <c r="D116" s="714">
        <v>100</v>
      </c>
      <c r="E116" s="714">
        <v>20</v>
      </c>
      <c r="F116" s="714"/>
      <c r="G116" s="652" t="s">
        <v>668</v>
      </c>
      <c r="H116" s="606">
        <v>0</v>
      </c>
      <c r="I116" s="606">
        <v>0</v>
      </c>
      <c r="J116" s="606"/>
    </row>
    <row r="117" spans="1:10" s="285" customFormat="1" ht="27.6">
      <c r="A117" s="696">
        <v>305</v>
      </c>
      <c r="B117" s="726">
        <v>100</v>
      </c>
      <c r="C117" s="706">
        <v>100</v>
      </c>
      <c r="D117" s="714">
        <v>200</v>
      </c>
      <c r="E117" s="714"/>
      <c r="F117" s="714"/>
      <c r="G117" s="652" t="s">
        <v>669</v>
      </c>
      <c r="H117" s="606">
        <v>0</v>
      </c>
      <c r="I117" s="606">
        <v>0</v>
      </c>
      <c r="J117" s="606" t="s">
        <v>670</v>
      </c>
    </row>
    <row r="118" spans="1:10" s="285" customFormat="1">
      <c r="A118" s="696">
        <v>305</v>
      </c>
      <c r="B118" s="726">
        <v>100</v>
      </c>
      <c r="C118" s="706">
        <v>100</v>
      </c>
      <c r="D118" s="714">
        <v>300</v>
      </c>
      <c r="E118" s="714"/>
      <c r="F118" s="714"/>
      <c r="G118" s="652" t="s">
        <v>671</v>
      </c>
      <c r="H118" s="606">
        <v>0</v>
      </c>
      <c r="I118" s="606">
        <v>0</v>
      </c>
      <c r="J118" s="606" t="s">
        <v>672</v>
      </c>
    </row>
    <row r="119" spans="1:10" s="285" customFormat="1" ht="27.6">
      <c r="A119" s="696">
        <v>305</v>
      </c>
      <c r="B119" s="726">
        <v>100</v>
      </c>
      <c r="C119" s="706">
        <v>150</v>
      </c>
      <c r="D119" s="714"/>
      <c r="E119" s="714"/>
      <c r="F119" s="714"/>
      <c r="G119" s="638" t="s">
        <v>673</v>
      </c>
      <c r="H119" s="607">
        <v>0</v>
      </c>
      <c r="I119" s="607">
        <v>0</v>
      </c>
      <c r="J119" s="607" t="s">
        <v>674</v>
      </c>
    </row>
    <row r="120" spans="1:10" s="285" customFormat="1">
      <c r="A120" s="696">
        <v>305</v>
      </c>
      <c r="B120" s="726">
        <v>100</v>
      </c>
      <c r="C120" s="706">
        <v>150</v>
      </c>
      <c r="D120" s="714">
        <v>100</v>
      </c>
      <c r="E120" s="714"/>
      <c r="F120" s="714"/>
      <c r="G120" s="680" t="s">
        <v>675</v>
      </c>
      <c r="H120" s="607">
        <v>0</v>
      </c>
      <c r="I120" s="607">
        <v>0</v>
      </c>
      <c r="J120" s="607" t="s">
        <v>676</v>
      </c>
    </row>
    <row r="121" spans="1:10" s="285" customFormat="1" ht="27.6">
      <c r="A121" s="696">
        <v>305</v>
      </c>
      <c r="B121" s="726">
        <v>100</v>
      </c>
      <c r="C121" s="706">
        <v>150</v>
      </c>
      <c r="D121" s="714">
        <v>100</v>
      </c>
      <c r="E121" s="714">
        <v>10</v>
      </c>
      <c r="F121" s="714"/>
      <c r="G121" s="652" t="s">
        <v>677</v>
      </c>
      <c r="H121" s="606">
        <v>0</v>
      </c>
      <c r="I121" s="606">
        <v>0</v>
      </c>
      <c r="J121" s="606"/>
    </row>
    <row r="122" spans="1:10" s="285" customFormat="1" ht="27.6">
      <c r="A122" s="696">
        <v>305</v>
      </c>
      <c r="B122" s="726">
        <v>100</v>
      </c>
      <c r="C122" s="706">
        <v>150</v>
      </c>
      <c r="D122" s="714">
        <v>100</v>
      </c>
      <c r="E122" s="714">
        <v>20</v>
      </c>
      <c r="F122" s="714"/>
      <c r="G122" s="652" t="s">
        <v>678</v>
      </c>
      <c r="H122" s="606">
        <v>408536.4</v>
      </c>
      <c r="I122" s="606">
        <v>261564</v>
      </c>
      <c r="J122" s="606"/>
    </row>
    <row r="123" spans="1:10" s="285" customFormat="1" ht="27.6">
      <c r="A123" s="696">
        <v>305</v>
      </c>
      <c r="B123" s="726">
        <v>100</v>
      </c>
      <c r="C123" s="706">
        <v>150</v>
      </c>
      <c r="D123" s="714">
        <v>150</v>
      </c>
      <c r="E123" s="714"/>
      <c r="F123" s="714"/>
      <c r="G123" s="652" t="s">
        <v>679</v>
      </c>
      <c r="H123" s="606">
        <v>0</v>
      </c>
      <c r="I123" s="606">
        <v>0</v>
      </c>
      <c r="J123" s="606" t="s">
        <v>680</v>
      </c>
    </row>
    <row r="124" spans="1:10" s="285" customFormat="1">
      <c r="A124" s="696">
        <v>305</v>
      </c>
      <c r="B124" s="726">
        <v>100</v>
      </c>
      <c r="C124" s="706">
        <v>150</v>
      </c>
      <c r="D124" s="714">
        <v>200</v>
      </c>
      <c r="E124" s="714"/>
      <c r="F124" s="714"/>
      <c r="G124" s="652" t="s">
        <v>681</v>
      </c>
      <c r="H124" s="606">
        <v>0</v>
      </c>
      <c r="I124" s="606">
        <v>0</v>
      </c>
      <c r="J124" s="606" t="s">
        <v>682</v>
      </c>
    </row>
    <row r="125" spans="1:10" s="285" customFormat="1" ht="27.6">
      <c r="A125" s="696">
        <v>305</v>
      </c>
      <c r="B125" s="726">
        <v>100</v>
      </c>
      <c r="C125" s="706">
        <v>150</v>
      </c>
      <c r="D125" s="714">
        <v>250</v>
      </c>
      <c r="E125" s="714"/>
      <c r="F125" s="714"/>
      <c r="G125" s="203" t="s">
        <v>683</v>
      </c>
      <c r="H125" s="608">
        <v>0</v>
      </c>
      <c r="I125" s="608">
        <v>0</v>
      </c>
      <c r="J125" s="608" t="s">
        <v>684</v>
      </c>
    </row>
    <row r="126" spans="1:10" s="285" customFormat="1">
      <c r="A126" s="696">
        <v>305</v>
      </c>
      <c r="B126" s="726">
        <v>100</v>
      </c>
      <c r="C126" s="706">
        <v>150</v>
      </c>
      <c r="D126" s="714">
        <v>300</v>
      </c>
      <c r="E126" s="714"/>
      <c r="F126" s="714"/>
      <c r="G126" s="680" t="s">
        <v>671</v>
      </c>
      <c r="H126" s="607">
        <v>0</v>
      </c>
      <c r="I126" s="607">
        <v>0</v>
      </c>
      <c r="J126" s="607" t="s">
        <v>685</v>
      </c>
    </row>
    <row r="127" spans="1:10" s="285" customFormat="1" ht="27.6">
      <c r="A127" s="696">
        <v>305</v>
      </c>
      <c r="B127" s="726">
        <v>100</v>
      </c>
      <c r="C127" s="706">
        <v>150</v>
      </c>
      <c r="D127" s="714">
        <v>300</v>
      </c>
      <c r="E127" s="714">
        <v>10</v>
      </c>
      <c r="F127" s="714"/>
      <c r="G127" s="652" t="s">
        <v>686</v>
      </c>
      <c r="H127" s="606">
        <v>0</v>
      </c>
      <c r="I127" s="606">
        <v>0</v>
      </c>
      <c r="J127" s="606"/>
    </row>
    <row r="128" spans="1:10" s="285" customFormat="1" ht="27.6">
      <c r="A128" s="696">
        <v>305</v>
      </c>
      <c r="B128" s="726">
        <v>100</v>
      </c>
      <c r="C128" s="706">
        <v>150</v>
      </c>
      <c r="D128" s="714">
        <v>300</v>
      </c>
      <c r="E128" s="714">
        <v>20</v>
      </c>
      <c r="F128" s="714"/>
      <c r="G128" s="652" t="s">
        <v>687</v>
      </c>
      <c r="H128" s="606">
        <v>0</v>
      </c>
      <c r="I128" s="606">
        <v>674579</v>
      </c>
      <c r="J128" s="606"/>
    </row>
    <row r="129" spans="1:10" s="285" customFormat="1" ht="27.6">
      <c r="A129" s="696">
        <v>305</v>
      </c>
      <c r="B129" s="726">
        <v>100</v>
      </c>
      <c r="C129" s="706">
        <v>150</v>
      </c>
      <c r="D129" s="714">
        <v>350</v>
      </c>
      <c r="E129" s="714"/>
      <c r="F129" s="714"/>
      <c r="G129" s="652" t="s">
        <v>688</v>
      </c>
      <c r="H129" s="608">
        <v>0</v>
      </c>
      <c r="I129" s="608">
        <v>0</v>
      </c>
      <c r="J129" s="608" t="s">
        <v>689</v>
      </c>
    </row>
    <row r="130" spans="1:10" s="285" customFormat="1">
      <c r="A130" s="696">
        <v>305</v>
      </c>
      <c r="B130" s="726">
        <v>100</v>
      </c>
      <c r="C130" s="706">
        <v>150</v>
      </c>
      <c r="D130" s="714">
        <v>400</v>
      </c>
      <c r="E130" s="714"/>
      <c r="F130" s="714"/>
      <c r="G130" s="680" t="s">
        <v>690</v>
      </c>
      <c r="H130" s="607">
        <v>0</v>
      </c>
      <c r="I130" s="607">
        <v>0</v>
      </c>
      <c r="J130" s="607" t="s">
        <v>691</v>
      </c>
    </row>
    <row r="131" spans="1:10" s="285" customFormat="1">
      <c r="A131" s="696">
        <v>305</v>
      </c>
      <c r="B131" s="726">
        <v>100</v>
      </c>
      <c r="C131" s="706">
        <v>150</v>
      </c>
      <c r="D131" s="714">
        <v>400</v>
      </c>
      <c r="E131" s="714">
        <v>10</v>
      </c>
      <c r="F131" s="714"/>
      <c r="G131" s="652" t="s">
        <v>692</v>
      </c>
      <c r="H131" s="606">
        <v>0</v>
      </c>
      <c r="I131" s="606">
        <v>0</v>
      </c>
      <c r="J131" s="606"/>
    </row>
    <row r="132" spans="1:10" s="285" customFormat="1">
      <c r="A132" s="696">
        <v>305</v>
      </c>
      <c r="B132" s="726">
        <v>100</v>
      </c>
      <c r="C132" s="706">
        <v>150</v>
      </c>
      <c r="D132" s="714">
        <v>400</v>
      </c>
      <c r="E132" s="714">
        <v>20</v>
      </c>
      <c r="F132" s="714"/>
      <c r="G132" s="652" t="s">
        <v>693</v>
      </c>
      <c r="H132" s="606">
        <v>0</v>
      </c>
      <c r="I132" s="606">
        <v>0</v>
      </c>
      <c r="J132" s="606"/>
    </row>
    <row r="133" spans="1:10" s="285" customFormat="1">
      <c r="A133" s="696">
        <v>305</v>
      </c>
      <c r="B133" s="726">
        <v>100</v>
      </c>
      <c r="C133" s="706">
        <v>150</v>
      </c>
      <c r="D133" s="714">
        <v>400</v>
      </c>
      <c r="E133" s="714">
        <v>30</v>
      </c>
      <c r="F133" s="714"/>
      <c r="G133" s="652" t="s">
        <v>631</v>
      </c>
      <c r="H133" s="606">
        <v>0</v>
      </c>
      <c r="I133" s="606">
        <v>0</v>
      </c>
      <c r="J133" s="606"/>
    </row>
    <row r="134" spans="1:10" s="285" customFormat="1">
      <c r="A134" s="696">
        <v>305</v>
      </c>
      <c r="B134" s="726">
        <v>100</v>
      </c>
      <c r="C134" s="706">
        <v>150</v>
      </c>
      <c r="D134" s="714">
        <v>400</v>
      </c>
      <c r="E134" s="714">
        <v>40</v>
      </c>
      <c r="F134" s="714"/>
      <c r="G134" s="652" t="s">
        <v>632</v>
      </c>
      <c r="H134" s="606">
        <v>0</v>
      </c>
      <c r="I134" s="606">
        <v>0</v>
      </c>
      <c r="J134" s="606"/>
    </row>
    <row r="135" spans="1:10" s="285" customFormat="1">
      <c r="A135" s="696">
        <v>305</v>
      </c>
      <c r="B135" s="726">
        <v>100</v>
      </c>
      <c r="C135" s="706">
        <v>150</v>
      </c>
      <c r="D135" s="714">
        <v>400</v>
      </c>
      <c r="E135" s="714">
        <v>50</v>
      </c>
      <c r="F135" s="714"/>
      <c r="G135" s="652" t="s">
        <v>633</v>
      </c>
      <c r="H135" s="606">
        <v>0</v>
      </c>
      <c r="I135" s="606">
        <v>0</v>
      </c>
      <c r="J135" s="606"/>
    </row>
    <row r="136" spans="1:10" s="285" customFormat="1">
      <c r="A136" s="696">
        <v>305</v>
      </c>
      <c r="B136" s="726">
        <v>100</v>
      </c>
      <c r="C136" s="706">
        <v>150</v>
      </c>
      <c r="D136" s="714">
        <v>400</v>
      </c>
      <c r="E136" s="714">
        <v>60</v>
      </c>
      <c r="F136" s="714"/>
      <c r="G136" s="652" t="s">
        <v>636</v>
      </c>
      <c r="H136" s="606">
        <v>0</v>
      </c>
      <c r="I136" s="606">
        <v>0</v>
      </c>
      <c r="J136" s="606"/>
    </row>
    <row r="137" spans="1:10" s="285" customFormat="1">
      <c r="A137" s="696">
        <v>305</v>
      </c>
      <c r="B137" s="726">
        <v>100</v>
      </c>
      <c r="C137" s="706">
        <v>150</v>
      </c>
      <c r="D137" s="714">
        <v>400</v>
      </c>
      <c r="E137" s="714">
        <v>70</v>
      </c>
      <c r="F137" s="714"/>
      <c r="G137" s="652" t="s">
        <v>637</v>
      </c>
      <c r="H137" s="606">
        <v>0</v>
      </c>
      <c r="I137" s="606">
        <v>0</v>
      </c>
      <c r="J137" s="606"/>
    </row>
    <row r="138" spans="1:10" s="285" customFormat="1">
      <c r="A138" s="696">
        <v>305</v>
      </c>
      <c r="B138" s="726">
        <v>100</v>
      </c>
      <c r="C138" s="706">
        <v>150</v>
      </c>
      <c r="D138" s="714">
        <v>500</v>
      </c>
      <c r="E138" s="714"/>
      <c r="F138" s="714"/>
      <c r="G138" s="680" t="s">
        <v>694</v>
      </c>
      <c r="H138" s="607">
        <v>0</v>
      </c>
      <c r="I138" s="607">
        <v>0</v>
      </c>
      <c r="J138" s="607" t="s">
        <v>695</v>
      </c>
    </row>
    <row r="139" spans="1:10" s="285" customFormat="1" ht="27.6">
      <c r="A139" s="696">
        <v>305</v>
      </c>
      <c r="B139" s="726">
        <v>100</v>
      </c>
      <c r="C139" s="706">
        <v>150</v>
      </c>
      <c r="D139" s="714">
        <v>500</v>
      </c>
      <c r="E139" s="714">
        <v>10</v>
      </c>
      <c r="F139" s="714"/>
      <c r="G139" s="652" t="s">
        <v>696</v>
      </c>
      <c r="H139" s="606">
        <v>0</v>
      </c>
      <c r="I139" s="606">
        <v>0</v>
      </c>
      <c r="J139" s="606" t="s">
        <v>697</v>
      </c>
    </row>
    <row r="140" spans="1:10" s="285" customFormat="1" ht="27.6">
      <c r="A140" s="696">
        <v>305</v>
      </c>
      <c r="B140" s="726">
        <v>100</v>
      </c>
      <c r="C140" s="706">
        <v>150</v>
      </c>
      <c r="D140" s="714">
        <v>500</v>
      </c>
      <c r="E140" s="714">
        <v>15</v>
      </c>
      <c r="F140" s="714"/>
      <c r="G140" s="652" t="s">
        <v>698</v>
      </c>
      <c r="H140" s="606">
        <v>0</v>
      </c>
      <c r="I140" s="606">
        <v>0</v>
      </c>
      <c r="J140" s="606" t="s">
        <v>699</v>
      </c>
    </row>
    <row r="141" spans="1:10" s="285" customFormat="1" ht="27.6">
      <c r="A141" s="696">
        <v>305</v>
      </c>
      <c r="B141" s="726">
        <v>100</v>
      </c>
      <c r="C141" s="706">
        <v>150</v>
      </c>
      <c r="D141" s="714">
        <v>500</v>
      </c>
      <c r="E141" s="714">
        <v>20</v>
      </c>
      <c r="F141" s="714"/>
      <c r="G141" s="652" t="s">
        <v>700</v>
      </c>
      <c r="H141" s="606">
        <v>0</v>
      </c>
      <c r="I141" s="606">
        <v>0</v>
      </c>
      <c r="J141" s="606" t="s">
        <v>701</v>
      </c>
    </row>
    <row r="142" spans="1:10" s="285" customFormat="1" ht="27.6">
      <c r="A142" s="696">
        <v>305</v>
      </c>
      <c r="B142" s="726">
        <v>100</v>
      </c>
      <c r="C142" s="706">
        <v>150</v>
      </c>
      <c r="D142" s="714">
        <v>500</v>
      </c>
      <c r="E142" s="714">
        <v>25</v>
      </c>
      <c r="F142" s="714"/>
      <c r="G142" s="652" t="s">
        <v>702</v>
      </c>
      <c r="H142" s="606">
        <v>0</v>
      </c>
      <c r="I142" s="606">
        <v>0</v>
      </c>
      <c r="J142" s="606" t="s">
        <v>703</v>
      </c>
    </row>
    <row r="143" spans="1:10" s="285" customFormat="1" ht="27.6">
      <c r="A143" s="696">
        <v>305</v>
      </c>
      <c r="B143" s="726">
        <v>100</v>
      </c>
      <c r="C143" s="706">
        <v>150</v>
      </c>
      <c r="D143" s="714">
        <v>500</v>
      </c>
      <c r="E143" s="714">
        <v>30</v>
      </c>
      <c r="F143" s="714"/>
      <c r="G143" s="652" t="s">
        <v>704</v>
      </c>
      <c r="H143" s="606">
        <v>0</v>
      </c>
      <c r="I143" s="606">
        <v>0</v>
      </c>
      <c r="J143" s="606" t="s">
        <v>705</v>
      </c>
    </row>
    <row r="144" spans="1:10" s="285" customFormat="1" ht="27.6">
      <c r="A144" s="696">
        <v>305</v>
      </c>
      <c r="B144" s="726">
        <v>100</v>
      </c>
      <c r="C144" s="706">
        <v>150</v>
      </c>
      <c r="D144" s="714">
        <v>500</v>
      </c>
      <c r="E144" s="714">
        <v>35</v>
      </c>
      <c r="F144" s="714"/>
      <c r="G144" s="652" t="s">
        <v>706</v>
      </c>
      <c r="H144" s="606">
        <v>0</v>
      </c>
      <c r="I144" s="606">
        <v>0</v>
      </c>
      <c r="J144" s="606" t="s">
        <v>707</v>
      </c>
    </row>
    <row r="145" spans="1:10" s="285" customFormat="1">
      <c r="A145" s="696">
        <v>305</v>
      </c>
      <c r="B145" s="726">
        <v>100</v>
      </c>
      <c r="C145" s="706">
        <v>150</v>
      </c>
      <c r="D145" s="714">
        <v>500</v>
      </c>
      <c r="E145" s="714">
        <v>40</v>
      </c>
      <c r="F145" s="714"/>
      <c r="G145" s="652" t="s">
        <v>708</v>
      </c>
      <c r="H145" s="606">
        <v>0</v>
      </c>
      <c r="I145" s="606">
        <v>0</v>
      </c>
      <c r="J145" s="606" t="s">
        <v>709</v>
      </c>
    </row>
    <row r="146" spans="1:10" s="285" customFormat="1" ht="27.6">
      <c r="A146" s="696">
        <v>305</v>
      </c>
      <c r="B146" s="726">
        <v>100</v>
      </c>
      <c r="C146" s="706">
        <v>150</v>
      </c>
      <c r="D146" s="714">
        <v>500</v>
      </c>
      <c r="E146" s="714">
        <v>45</v>
      </c>
      <c r="F146" s="714"/>
      <c r="G146" s="652" t="s">
        <v>710</v>
      </c>
      <c r="H146" s="606">
        <v>0</v>
      </c>
      <c r="I146" s="606">
        <v>0</v>
      </c>
      <c r="J146" s="606" t="s">
        <v>711</v>
      </c>
    </row>
    <row r="147" spans="1:10" s="285" customFormat="1" ht="27.6">
      <c r="A147" s="696">
        <v>305</v>
      </c>
      <c r="B147" s="726">
        <v>100</v>
      </c>
      <c r="C147" s="706">
        <v>150</v>
      </c>
      <c r="D147" s="714">
        <v>600</v>
      </c>
      <c r="E147" s="714"/>
      <c r="F147" s="714"/>
      <c r="G147" s="652" t="s">
        <v>712</v>
      </c>
      <c r="H147" s="606">
        <v>0</v>
      </c>
      <c r="I147" s="606">
        <v>0</v>
      </c>
      <c r="J147" s="606" t="s">
        <v>713</v>
      </c>
    </row>
    <row r="148" spans="1:10" s="285" customFormat="1" ht="41.4">
      <c r="A148" s="696">
        <v>305</v>
      </c>
      <c r="B148" s="726">
        <v>100</v>
      </c>
      <c r="C148" s="706">
        <v>150</v>
      </c>
      <c r="D148" s="714">
        <v>700</v>
      </c>
      <c r="E148" s="714"/>
      <c r="F148" s="714"/>
      <c r="G148" s="652" t="s">
        <v>714</v>
      </c>
      <c r="H148" s="606">
        <v>0</v>
      </c>
      <c r="I148" s="606">
        <v>0</v>
      </c>
      <c r="J148" s="606" t="s">
        <v>715</v>
      </c>
    </row>
    <row r="149" spans="1:10" s="285" customFormat="1">
      <c r="A149" s="696">
        <v>305</v>
      </c>
      <c r="B149" s="726">
        <v>100</v>
      </c>
      <c r="C149" s="706">
        <v>200</v>
      </c>
      <c r="D149" s="714"/>
      <c r="E149" s="714"/>
      <c r="F149" s="714"/>
      <c r="G149" s="680" t="s">
        <v>716</v>
      </c>
      <c r="H149" s="607">
        <v>0</v>
      </c>
      <c r="I149" s="607">
        <v>0</v>
      </c>
      <c r="J149" s="607" t="s">
        <v>717</v>
      </c>
    </row>
    <row r="150" spans="1:10" s="285" customFormat="1">
      <c r="A150" s="696">
        <v>305</v>
      </c>
      <c r="B150" s="726">
        <v>100</v>
      </c>
      <c r="C150" s="706">
        <v>200</v>
      </c>
      <c r="D150" s="714">
        <v>100</v>
      </c>
      <c r="E150" s="714"/>
      <c r="F150" s="714"/>
      <c r="G150" s="652" t="s">
        <v>675</v>
      </c>
      <c r="H150" s="606">
        <v>0</v>
      </c>
      <c r="I150" s="606">
        <v>0</v>
      </c>
      <c r="J150" s="606" t="s">
        <v>718</v>
      </c>
    </row>
    <row r="151" spans="1:10" s="285" customFormat="1">
      <c r="A151" s="696">
        <v>305</v>
      </c>
      <c r="B151" s="726">
        <v>100</v>
      </c>
      <c r="C151" s="706">
        <v>200</v>
      </c>
      <c r="D151" s="714">
        <v>200</v>
      </c>
      <c r="E151" s="714"/>
      <c r="F151" s="714"/>
      <c r="G151" s="652" t="s">
        <v>681</v>
      </c>
      <c r="H151" s="606">
        <v>0</v>
      </c>
      <c r="I151" s="606">
        <v>0</v>
      </c>
      <c r="J151" s="606" t="s">
        <v>719</v>
      </c>
    </row>
    <row r="152" spans="1:10" s="285" customFormat="1">
      <c r="A152" s="696">
        <v>305</v>
      </c>
      <c r="B152" s="726">
        <v>100</v>
      </c>
      <c r="C152" s="706">
        <v>200</v>
      </c>
      <c r="D152" s="714">
        <v>300</v>
      </c>
      <c r="E152" s="714"/>
      <c r="F152" s="714"/>
      <c r="G152" s="652" t="s">
        <v>720</v>
      </c>
      <c r="H152" s="606">
        <v>0</v>
      </c>
      <c r="I152" s="606">
        <v>0</v>
      </c>
      <c r="J152" s="606" t="s">
        <v>721</v>
      </c>
    </row>
    <row r="153" spans="1:10" s="285" customFormat="1">
      <c r="A153" s="696">
        <v>305</v>
      </c>
      <c r="B153" s="726">
        <v>100</v>
      </c>
      <c r="C153" s="706">
        <v>200</v>
      </c>
      <c r="D153" s="714">
        <v>400</v>
      </c>
      <c r="E153" s="714"/>
      <c r="F153" s="714"/>
      <c r="G153" s="680" t="s">
        <v>722</v>
      </c>
      <c r="H153" s="607">
        <v>0</v>
      </c>
      <c r="I153" s="607">
        <v>0</v>
      </c>
      <c r="J153" s="607" t="s">
        <v>723</v>
      </c>
    </row>
    <row r="154" spans="1:10" s="285" customFormat="1" ht="27.6">
      <c r="A154" s="696">
        <v>305</v>
      </c>
      <c r="B154" s="726">
        <v>100</v>
      </c>
      <c r="C154" s="706">
        <v>200</v>
      </c>
      <c r="D154" s="714">
        <v>400</v>
      </c>
      <c r="E154" s="714">
        <v>10</v>
      </c>
      <c r="F154" s="714"/>
      <c r="G154" s="652" t="s">
        <v>724</v>
      </c>
      <c r="H154" s="606">
        <v>0</v>
      </c>
      <c r="I154" s="606">
        <v>0</v>
      </c>
      <c r="J154" s="606"/>
    </row>
    <row r="155" spans="1:10" s="285" customFormat="1" ht="27.6">
      <c r="A155" s="696">
        <v>305</v>
      </c>
      <c r="B155" s="726">
        <v>100</v>
      </c>
      <c r="C155" s="706">
        <v>200</v>
      </c>
      <c r="D155" s="714">
        <v>400</v>
      </c>
      <c r="E155" s="714">
        <v>20</v>
      </c>
      <c r="F155" s="714"/>
      <c r="G155" s="652" t="s">
        <v>725</v>
      </c>
      <c r="H155" s="606">
        <v>0</v>
      </c>
      <c r="I155" s="606">
        <v>0</v>
      </c>
      <c r="J155" s="606"/>
    </row>
    <row r="156" spans="1:10" s="285" customFormat="1">
      <c r="A156" s="696">
        <v>305</v>
      </c>
      <c r="B156" s="726">
        <v>100</v>
      </c>
      <c r="C156" s="706">
        <v>200</v>
      </c>
      <c r="D156" s="714">
        <v>500</v>
      </c>
      <c r="E156" s="714"/>
      <c r="F156" s="714"/>
      <c r="G156" s="680" t="s">
        <v>726</v>
      </c>
      <c r="H156" s="607">
        <v>0</v>
      </c>
      <c r="I156" s="607">
        <v>0</v>
      </c>
      <c r="J156" s="607" t="s">
        <v>727</v>
      </c>
    </row>
    <row r="157" spans="1:10" s="285" customFormat="1" ht="27.6">
      <c r="A157" s="696">
        <v>305</v>
      </c>
      <c r="B157" s="726">
        <v>100</v>
      </c>
      <c r="C157" s="706">
        <v>200</v>
      </c>
      <c r="D157" s="714">
        <v>500</v>
      </c>
      <c r="E157" s="714">
        <v>10</v>
      </c>
      <c r="F157" s="714"/>
      <c r="G157" s="652" t="s">
        <v>724</v>
      </c>
      <c r="H157" s="606">
        <v>0</v>
      </c>
      <c r="I157" s="606">
        <v>0</v>
      </c>
      <c r="J157" s="606"/>
    </row>
    <row r="158" spans="1:10" s="285" customFormat="1" ht="27.6">
      <c r="A158" s="696">
        <v>305</v>
      </c>
      <c r="B158" s="726">
        <v>100</v>
      </c>
      <c r="C158" s="706">
        <v>200</v>
      </c>
      <c r="D158" s="714">
        <v>500</v>
      </c>
      <c r="E158" s="714">
        <v>20</v>
      </c>
      <c r="F158" s="714"/>
      <c r="G158" s="652" t="s">
        <v>725</v>
      </c>
      <c r="H158" s="606">
        <v>0</v>
      </c>
      <c r="I158" s="606">
        <v>0</v>
      </c>
      <c r="J158" s="606"/>
    </row>
    <row r="159" spans="1:10" s="285" customFormat="1">
      <c r="A159" s="696">
        <v>305</v>
      </c>
      <c r="B159" s="726">
        <v>100</v>
      </c>
      <c r="C159" s="706">
        <v>250</v>
      </c>
      <c r="D159" s="714"/>
      <c r="E159" s="714"/>
      <c r="F159" s="714"/>
      <c r="G159" s="638" t="s">
        <v>728</v>
      </c>
      <c r="H159" s="607">
        <v>0</v>
      </c>
      <c r="I159" s="607">
        <v>0</v>
      </c>
      <c r="J159" s="607" t="s">
        <v>729</v>
      </c>
    </row>
    <row r="160" spans="1:10" s="285" customFormat="1">
      <c r="A160" s="696">
        <v>305</v>
      </c>
      <c r="B160" s="726">
        <v>100</v>
      </c>
      <c r="C160" s="706">
        <v>250</v>
      </c>
      <c r="D160" s="714">
        <v>100</v>
      </c>
      <c r="E160" s="714"/>
      <c r="F160" s="714"/>
      <c r="G160" s="652" t="s">
        <v>730</v>
      </c>
      <c r="H160" s="606">
        <v>0</v>
      </c>
      <c r="I160" s="606">
        <v>0</v>
      </c>
      <c r="J160" s="606" t="s">
        <v>731</v>
      </c>
    </row>
    <row r="161" spans="1:10" s="285" customFormat="1">
      <c r="A161" s="696">
        <v>305</v>
      </c>
      <c r="B161" s="726">
        <v>100</v>
      </c>
      <c r="C161" s="706">
        <v>250</v>
      </c>
      <c r="D161" s="714">
        <v>200</v>
      </c>
      <c r="E161" s="714"/>
      <c r="F161" s="714"/>
      <c r="G161" s="652" t="s">
        <v>681</v>
      </c>
      <c r="H161" s="606">
        <v>0</v>
      </c>
      <c r="I161" s="606">
        <v>0</v>
      </c>
      <c r="J161" s="606" t="s">
        <v>732</v>
      </c>
    </row>
    <row r="162" spans="1:10" s="285" customFormat="1">
      <c r="A162" s="696">
        <v>305</v>
      </c>
      <c r="B162" s="726">
        <v>100</v>
      </c>
      <c r="C162" s="706">
        <v>250</v>
      </c>
      <c r="D162" s="714">
        <v>300</v>
      </c>
      <c r="E162" s="714"/>
      <c r="F162" s="714"/>
      <c r="G162" s="652" t="s">
        <v>671</v>
      </c>
      <c r="H162" s="606">
        <v>0</v>
      </c>
      <c r="I162" s="606">
        <v>0</v>
      </c>
      <c r="J162" s="606" t="s">
        <v>733</v>
      </c>
    </row>
    <row r="163" spans="1:10" s="285" customFormat="1">
      <c r="A163" s="696">
        <v>305</v>
      </c>
      <c r="B163" s="726">
        <v>100</v>
      </c>
      <c r="C163" s="706">
        <v>250</v>
      </c>
      <c r="D163" s="714">
        <v>400</v>
      </c>
      <c r="E163" s="714"/>
      <c r="F163" s="714"/>
      <c r="G163" s="680" t="s">
        <v>734</v>
      </c>
      <c r="H163" s="607">
        <v>0</v>
      </c>
      <c r="I163" s="607">
        <v>0</v>
      </c>
      <c r="J163" s="607" t="s">
        <v>735</v>
      </c>
    </row>
    <row r="164" spans="1:10" s="285" customFormat="1">
      <c r="A164" s="696">
        <v>305</v>
      </c>
      <c r="B164" s="726">
        <v>100</v>
      </c>
      <c r="C164" s="706">
        <v>250</v>
      </c>
      <c r="D164" s="714">
        <v>400</v>
      </c>
      <c r="E164" s="714">
        <v>10</v>
      </c>
      <c r="F164" s="714"/>
      <c r="G164" s="652" t="s">
        <v>736</v>
      </c>
      <c r="H164" s="606">
        <v>0</v>
      </c>
      <c r="I164" s="606">
        <v>0</v>
      </c>
      <c r="J164" s="606"/>
    </row>
    <row r="165" spans="1:10" s="285" customFormat="1">
      <c r="A165" s="696">
        <v>305</v>
      </c>
      <c r="B165" s="726">
        <v>100</v>
      </c>
      <c r="C165" s="706">
        <v>250</v>
      </c>
      <c r="D165" s="714">
        <v>400</v>
      </c>
      <c r="E165" s="714">
        <v>20</v>
      </c>
      <c r="F165" s="714"/>
      <c r="G165" s="652" t="s">
        <v>737</v>
      </c>
      <c r="H165" s="606">
        <v>0</v>
      </c>
      <c r="I165" s="606">
        <v>0</v>
      </c>
      <c r="J165" s="606"/>
    </row>
    <row r="166" spans="1:10" s="285" customFormat="1">
      <c r="A166" s="696">
        <v>305</v>
      </c>
      <c r="B166" s="726">
        <v>100</v>
      </c>
      <c r="C166" s="706">
        <v>250</v>
      </c>
      <c r="D166" s="714">
        <v>400</v>
      </c>
      <c r="E166" s="714">
        <v>30</v>
      </c>
      <c r="F166" s="714"/>
      <c r="G166" s="652" t="s">
        <v>738</v>
      </c>
      <c r="H166" s="606">
        <v>0</v>
      </c>
      <c r="I166" s="606">
        <v>0</v>
      </c>
      <c r="J166" s="606"/>
    </row>
    <row r="167" spans="1:10" s="285" customFormat="1">
      <c r="A167" s="696">
        <v>305</v>
      </c>
      <c r="B167" s="726">
        <v>100</v>
      </c>
      <c r="C167" s="706">
        <v>250</v>
      </c>
      <c r="D167" s="714">
        <v>400</v>
      </c>
      <c r="E167" s="714">
        <v>90</v>
      </c>
      <c r="F167" s="714"/>
      <c r="G167" s="652" t="s">
        <v>739</v>
      </c>
      <c r="H167" s="606">
        <v>0</v>
      </c>
      <c r="I167" s="606">
        <v>0</v>
      </c>
      <c r="J167" s="606"/>
    </row>
    <row r="168" spans="1:10" s="285" customFormat="1">
      <c r="A168" s="696">
        <v>305</v>
      </c>
      <c r="B168" s="726">
        <v>100</v>
      </c>
      <c r="C168" s="706">
        <v>300</v>
      </c>
      <c r="D168" s="714"/>
      <c r="E168" s="714"/>
      <c r="F168" s="714"/>
      <c r="G168" s="638" t="s">
        <v>740</v>
      </c>
      <c r="H168" s="607">
        <v>0</v>
      </c>
      <c r="I168" s="607">
        <v>0</v>
      </c>
      <c r="J168" s="607" t="s">
        <v>741</v>
      </c>
    </row>
    <row r="169" spans="1:10" s="285" customFormat="1">
      <c r="A169" s="696">
        <v>305</v>
      </c>
      <c r="B169" s="726">
        <v>100</v>
      </c>
      <c r="C169" s="706">
        <v>300</v>
      </c>
      <c r="D169" s="714">
        <v>100</v>
      </c>
      <c r="E169" s="714"/>
      <c r="F169" s="714"/>
      <c r="G169" s="652" t="s">
        <v>675</v>
      </c>
      <c r="H169" s="606">
        <v>0</v>
      </c>
      <c r="I169" s="606">
        <v>0</v>
      </c>
      <c r="J169" s="606" t="s">
        <v>741</v>
      </c>
    </row>
    <row r="170" spans="1:10" s="285" customFormat="1">
      <c r="A170" s="696">
        <v>305</v>
      </c>
      <c r="B170" s="726">
        <v>100</v>
      </c>
      <c r="C170" s="706">
        <v>300</v>
      </c>
      <c r="D170" s="714">
        <v>200</v>
      </c>
      <c r="E170" s="714"/>
      <c r="F170" s="714"/>
      <c r="G170" s="652" t="s">
        <v>681</v>
      </c>
      <c r="H170" s="606">
        <v>0</v>
      </c>
      <c r="I170" s="606">
        <v>0</v>
      </c>
      <c r="J170" s="606" t="s">
        <v>742</v>
      </c>
    </row>
    <row r="171" spans="1:10" s="285" customFormat="1">
      <c r="A171" s="696">
        <v>305</v>
      </c>
      <c r="B171" s="726">
        <v>100</v>
      </c>
      <c r="C171" s="706">
        <v>300</v>
      </c>
      <c r="D171" s="714">
        <v>300</v>
      </c>
      <c r="E171" s="714"/>
      <c r="F171" s="714"/>
      <c r="G171" s="652" t="s">
        <v>671</v>
      </c>
      <c r="H171" s="606">
        <v>0</v>
      </c>
      <c r="I171" s="606">
        <v>0</v>
      </c>
      <c r="J171" s="606" t="s">
        <v>743</v>
      </c>
    </row>
    <row r="172" spans="1:10" s="285" customFormat="1">
      <c r="A172" s="696">
        <v>305</v>
      </c>
      <c r="B172" s="726">
        <v>100</v>
      </c>
      <c r="C172" s="706">
        <v>300</v>
      </c>
      <c r="D172" s="714">
        <v>400</v>
      </c>
      <c r="E172" s="714"/>
      <c r="F172" s="714"/>
      <c r="G172" s="638" t="s">
        <v>694</v>
      </c>
      <c r="H172" s="607">
        <v>0</v>
      </c>
      <c r="I172" s="607">
        <v>0</v>
      </c>
      <c r="J172" s="607" t="s">
        <v>744</v>
      </c>
    </row>
    <row r="173" spans="1:10" s="285" customFormat="1" ht="27.6">
      <c r="A173" s="696">
        <v>305</v>
      </c>
      <c r="B173" s="726">
        <v>100</v>
      </c>
      <c r="C173" s="706">
        <v>300</v>
      </c>
      <c r="D173" s="714">
        <v>400</v>
      </c>
      <c r="E173" s="714">
        <v>10</v>
      </c>
      <c r="F173" s="714"/>
      <c r="G173" s="652" t="s">
        <v>745</v>
      </c>
      <c r="H173" s="606">
        <v>0</v>
      </c>
      <c r="I173" s="606">
        <v>0</v>
      </c>
      <c r="J173" s="606"/>
    </row>
    <row r="174" spans="1:10" s="285" customFormat="1">
      <c r="A174" s="696">
        <v>305</v>
      </c>
      <c r="B174" s="726">
        <v>100</v>
      </c>
      <c r="C174" s="706">
        <v>300</v>
      </c>
      <c r="D174" s="714">
        <v>400</v>
      </c>
      <c r="E174" s="714">
        <v>20</v>
      </c>
      <c r="F174" s="714"/>
      <c r="G174" s="652" t="s">
        <v>746</v>
      </c>
      <c r="H174" s="606">
        <v>0</v>
      </c>
      <c r="I174" s="606">
        <v>0</v>
      </c>
      <c r="J174" s="606"/>
    </row>
    <row r="175" spans="1:10" s="285" customFormat="1">
      <c r="A175" s="696">
        <v>305</v>
      </c>
      <c r="B175" s="726">
        <v>100</v>
      </c>
      <c r="C175" s="706">
        <v>350</v>
      </c>
      <c r="D175" s="714"/>
      <c r="E175" s="714"/>
      <c r="F175" s="714"/>
      <c r="G175" s="638" t="s">
        <v>747</v>
      </c>
      <c r="H175" s="607">
        <v>0</v>
      </c>
      <c r="I175" s="607">
        <v>0</v>
      </c>
      <c r="J175" s="607" t="s">
        <v>748</v>
      </c>
    </row>
    <row r="176" spans="1:10" s="285" customFormat="1">
      <c r="A176" s="696">
        <v>305</v>
      </c>
      <c r="B176" s="726">
        <v>100</v>
      </c>
      <c r="C176" s="706">
        <v>350</v>
      </c>
      <c r="D176" s="714">
        <v>100</v>
      </c>
      <c r="E176" s="714"/>
      <c r="F176" s="714"/>
      <c r="G176" s="680" t="s">
        <v>675</v>
      </c>
      <c r="H176" s="607">
        <v>0</v>
      </c>
      <c r="I176" s="607">
        <v>0</v>
      </c>
      <c r="J176" s="607" t="s">
        <v>749</v>
      </c>
    </row>
    <row r="177" spans="1:10" s="285" customFormat="1">
      <c r="A177" s="696">
        <v>305</v>
      </c>
      <c r="B177" s="726">
        <v>100</v>
      </c>
      <c r="C177" s="706">
        <v>350</v>
      </c>
      <c r="D177" s="714">
        <v>100</v>
      </c>
      <c r="E177" s="714">
        <v>10</v>
      </c>
      <c r="F177" s="714"/>
      <c r="G177" s="652" t="s">
        <v>750</v>
      </c>
      <c r="H177" s="606">
        <v>0</v>
      </c>
      <c r="I177" s="606">
        <v>0</v>
      </c>
      <c r="J177" s="606"/>
    </row>
    <row r="178" spans="1:10" s="285" customFormat="1" ht="27.6">
      <c r="A178" s="696">
        <v>305</v>
      </c>
      <c r="B178" s="726">
        <v>100</v>
      </c>
      <c r="C178" s="706">
        <v>350</v>
      </c>
      <c r="D178" s="714">
        <v>100</v>
      </c>
      <c r="E178" s="714">
        <v>20</v>
      </c>
      <c r="F178" s="714"/>
      <c r="G178" s="652" t="s">
        <v>751</v>
      </c>
      <c r="H178" s="606">
        <v>0</v>
      </c>
      <c r="I178" s="606">
        <v>0</v>
      </c>
      <c r="J178" s="606"/>
    </row>
    <row r="179" spans="1:10" s="285" customFormat="1">
      <c r="A179" s="696">
        <v>305</v>
      </c>
      <c r="B179" s="726">
        <v>100</v>
      </c>
      <c r="C179" s="706">
        <v>350</v>
      </c>
      <c r="D179" s="714">
        <v>200</v>
      </c>
      <c r="E179" s="714"/>
      <c r="F179" s="714"/>
      <c r="G179" s="652" t="s">
        <v>681</v>
      </c>
      <c r="H179" s="606">
        <v>0</v>
      </c>
      <c r="I179" s="606">
        <v>0</v>
      </c>
      <c r="J179" s="606" t="s">
        <v>752</v>
      </c>
    </row>
    <row r="180" spans="1:10" s="285" customFormat="1">
      <c r="A180" s="696">
        <v>305</v>
      </c>
      <c r="B180" s="726">
        <v>100</v>
      </c>
      <c r="C180" s="706">
        <v>350</v>
      </c>
      <c r="D180" s="714">
        <v>300</v>
      </c>
      <c r="E180" s="714"/>
      <c r="F180" s="714"/>
      <c r="G180" s="680" t="s">
        <v>671</v>
      </c>
      <c r="H180" s="607">
        <v>0</v>
      </c>
      <c r="I180" s="607">
        <v>0</v>
      </c>
      <c r="J180" s="607" t="s">
        <v>753</v>
      </c>
    </row>
    <row r="181" spans="1:10" s="285" customFormat="1" ht="27.6">
      <c r="A181" s="696">
        <v>305</v>
      </c>
      <c r="B181" s="726">
        <v>100</v>
      </c>
      <c r="C181" s="706">
        <v>350</v>
      </c>
      <c r="D181" s="714">
        <v>300</v>
      </c>
      <c r="E181" s="714">
        <v>10</v>
      </c>
      <c r="F181" s="714"/>
      <c r="G181" s="652" t="s">
        <v>754</v>
      </c>
      <c r="H181" s="606">
        <v>0</v>
      </c>
      <c r="I181" s="606">
        <v>0</v>
      </c>
      <c r="J181" s="606"/>
    </row>
    <row r="182" spans="1:10" s="285" customFormat="1" ht="27.6">
      <c r="A182" s="696">
        <v>305</v>
      </c>
      <c r="B182" s="726">
        <v>100</v>
      </c>
      <c r="C182" s="706">
        <v>350</v>
      </c>
      <c r="D182" s="714">
        <v>300</v>
      </c>
      <c r="E182" s="714">
        <v>20</v>
      </c>
      <c r="F182" s="714"/>
      <c r="G182" s="652" t="s">
        <v>755</v>
      </c>
      <c r="H182" s="606">
        <v>0</v>
      </c>
      <c r="I182" s="606">
        <v>0</v>
      </c>
      <c r="J182" s="606"/>
    </row>
    <row r="183" spans="1:10" s="285" customFormat="1">
      <c r="A183" s="696">
        <v>305</v>
      </c>
      <c r="B183" s="726">
        <v>100</v>
      </c>
      <c r="C183" s="706">
        <v>350</v>
      </c>
      <c r="D183" s="714">
        <v>400</v>
      </c>
      <c r="E183" s="714"/>
      <c r="F183" s="714"/>
      <c r="G183" s="680" t="s">
        <v>694</v>
      </c>
      <c r="H183" s="607">
        <v>0</v>
      </c>
      <c r="I183" s="607">
        <v>0</v>
      </c>
      <c r="J183" s="607" t="s">
        <v>756</v>
      </c>
    </row>
    <row r="184" spans="1:10" s="285" customFormat="1" ht="27.6">
      <c r="A184" s="696">
        <v>305</v>
      </c>
      <c r="B184" s="726">
        <v>100</v>
      </c>
      <c r="C184" s="706">
        <v>350</v>
      </c>
      <c r="D184" s="714">
        <v>400</v>
      </c>
      <c r="E184" s="714">
        <v>10</v>
      </c>
      <c r="F184" s="714"/>
      <c r="G184" s="652" t="s">
        <v>757</v>
      </c>
      <c r="H184" s="606">
        <v>0</v>
      </c>
      <c r="I184" s="606">
        <v>0</v>
      </c>
      <c r="J184" s="606" t="s">
        <v>758</v>
      </c>
    </row>
    <row r="185" spans="1:10" s="285" customFormat="1" ht="27.6">
      <c r="A185" s="696">
        <v>305</v>
      </c>
      <c r="B185" s="726">
        <v>100</v>
      </c>
      <c r="C185" s="706">
        <v>350</v>
      </c>
      <c r="D185" s="714">
        <v>400</v>
      </c>
      <c r="E185" s="714">
        <v>20</v>
      </c>
      <c r="F185" s="714"/>
      <c r="G185" s="652" t="s">
        <v>759</v>
      </c>
      <c r="H185" s="606">
        <v>0</v>
      </c>
      <c r="I185" s="606">
        <v>0</v>
      </c>
      <c r="J185" s="606" t="s">
        <v>760</v>
      </c>
    </row>
    <row r="186" spans="1:10" s="285" customFormat="1" ht="27.6">
      <c r="A186" s="696">
        <v>305</v>
      </c>
      <c r="B186" s="726">
        <v>100</v>
      </c>
      <c r="C186" s="706">
        <v>350</v>
      </c>
      <c r="D186" s="714">
        <v>400</v>
      </c>
      <c r="E186" s="714">
        <v>30</v>
      </c>
      <c r="F186" s="714"/>
      <c r="G186" s="652" t="s">
        <v>761</v>
      </c>
      <c r="H186" s="606">
        <v>0</v>
      </c>
      <c r="I186" s="606">
        <v>0</v>
      </c>
      <c r="J186" s="606" t="s">
        <v>762</v>
      </c>
    </row>
    <row r="187" spans="1:10" s="285" customFormat="1">
      <c r="A187" s="696">
        <v>305</v>
      </c>
      <c r="B187" s="726">
        <v>100</v>
      </c>
      <c r="C187" s="706">
        <v>350</v>
      </c>
      <c r="D187" s="714">
        <v>400</v>
      </c>
      <c r="E187" s="714">
        <v>40</v>
      </c>
      <c r="F187" s="714"/>
      <c r="G187" s="652" t="s">
        <v>763</v>
      </c>
      <c r="H187" s="606">
        <v>0</v>
      </c>
      <c r="I187" s="606">
        <v>0</v>
      </c>
      <c r="J187" s="606" t="s">
        <v>764</v>
      </c>
    </row>
    <row r="188" spans="1:10" s="285" customFormat="1" ht="27.6">
      <c r="A188" s="696">
        <v>305</v>
      </c>
      <c r="B188" s="726">
        <v>100</v>
      </c>
      <c r="C188" s="706">
        <v>350</v>
      </c>
      <c r="D188" s="714">
        <v>500</v>
      </c>
      <c r="E188" s="714"/>
      <c r="F188" s="714"/>
      <c r="G188" s="680" t="s">
        <v>712</v>
      </c>
      <c r="H188" s="606">
        <v>0</v>
      </c>
      <c r="I188" s="606">
        <v>0</v>
      </c>
      <c r="J188" s="606" t="s">
        <v>765</v>
      </c>
    </row>
    <row r="189" spans="1:10" s="285" customFormat="1" ht="27.6">
      <c r="A189" s="696">
        <v>305</v>
      </c>
      <c r="B189" s="726">
        <v>100</v>
      </c>
      <c r="C189" s="706">
        <v>400</v>
      </c>
      <c r="D189" s="714"/>
      <c r="E189" s="714"/>
      <c r="F189" s="714"/>
      <c r="G189" s="638" t="s">
        <v>766</v>
      </c>
      <c r="H189" s="607">
        <v>0</v>
      </c>
      <c r="I189" s="607">
        <v>0</v>
      </c>
      <c r="J189" s="607" t="s">
        <v>767</v>
      </c>
    </row>
    <row r="190" spans="1:10" s="285" customFormat="1">
      <c r="A190" s="696">
        <v>305</v>
      </c>
      <c r="B190" s="726">
        <v>100</v>
      </c>
      <c r="C190" s="706">
        <v>400</v>
      </c>
      <c r="D190" s="714">
        <v>100</v>
      </c>
      <c r="E190" s="714"/>
      <c r="F190" s="714"/>
      <c r="G190" s="652" t="s">
        <v>675</v>
      </c>
      <c r="H190" s="606">
        <v>0</v>
      </c>
      <c r="I190" s="606">
        <v>0</v>
      </c>
      <c r="J190" s="606" t="s">
        <v>768</v>
      </c>
    </row>
    <row r="191" spans="1:10" s="285" customFormat="1">
      <c r="A191" s="696">
        <v>305</v>
      </c>
      <c r="B191" s="726">
        <v>100</v>
      </c>
      <c r="C191" s="706">
        <v>400</v>
      </c>
      <c r="D191" s="714">
        <v>200</v>
      </c>
      <c r="E191" s="714"/>
      <c r="F191" s="714"/>
      <c r="G191" s="652" t="s">
        <v>681</v>
      </c>
      <c r="H191" s="606">
        <v>0</v>
      </c>
      <c r="I191" s="606">
        <v>0</v>
      </c>
      <c r="J191" s="606" t="s">
        <v>769</v>
      </c>
    </row>
    <row r="192" spans="1:10" s="285" customFormat="1">
      <c r="A192" s="696">
        <v>305</v>
      </c>
      <c r="B192" s="726">
        <v>100</v>
      </c>
      <c r="C192" s="706">
        <v>400</v>
      </c>
      <c r="D192" s="714">
        <v>300</v>
      </c>
      <c r="E192" s="714"/>
      <c r="F192" s="714"/>
      <c r="G192" s="652" t="s">
        <v>770</v>
      </c>
      <c r="H192" s="606">
        <v>0</v>
      </c>
      <c r="I192" s="606">
        <v>0</v>
      </c>
      <c r="J192" s="606" t="s">
        <v>771</v>
      </c>
    </row>
    <row r="193" spans="1:10" s="285" customFormat="1">
      <c r="A193" s="696">
        <v>305</v>
      </c>
      <c r="B193" s="726">
        <v>100</v>
      </c>
      <c r="C193" s="706">
        <v>400</v>
      </c>
      <c r="D193" s="714">
        <v>400</v>
      </c>
      <c r="E193" s="714"/>
      <c r="F193" s="714"/>
      <c r="G193" s="652" t="s">
        <v>722</v>
      </c>
      <c r="H193" s="606">
        <v>0</v>
      </c>
      <c r="I193" s="606">
        <v>0</v>
      </c>
      <c r="J193" s="606" t="s">
        <v>772</v>
      </c>
    </row>
    <row r="194" spans="1:10" s="285" customFormat="1">
      <c r="A194" s="696">
        <v>305</v>
      </c>
      <c r="B194" s="726">
        <v>100</v>
      </c>
      <c r="C194" s="706">
        <v>400</v>
      </c>
      <c r="D194" s="714">
        <v>500</v>
      </c>
      <c r="E194" s="714"/>
      <c r="F194" s="714"/>
      <c r="G194" s="652" t="s">
        <v>726</v>
      </c>
      <c r="H194" s="606">
        <v>0</v>
      </c>
      <c r="I194" s="606">
        <v>0</v>
      </c>
      <c r="J194" s="606" t="s">
        <v>773</v>
      </c>
    </row>
    <row r="195" spans="1:10" s="285" customFormat="1">
      <c r="A195" s="696">
        <v>305</v>
      </c>
      <c r="B195" s="726">
        <v>100</v>
      </c>
      <c r="C195" s="706">
        <v>450</v>
      </c>
      <c r="D195" s="714"/>
      <c r="E195" s="714"/>
      <c r="F195" s="714"/>
      <c r="G195" s="638" t="s">
        <v>774</v>
      </c>
      <c r="H195" s="607">
        <v>0</v>
      </c>
      <c r="I195" s="607">
        <v>0</v>
      </c>
      <c r="J195" s="607" t="s">
        <v>775</v>
      </c>
    </row>
    <row r="196" spans="1:10" s="285" customFormat="1" ht="27.6">
      <c r="A196" s="696">
        <v>305</v>
      </c>
      <c r="B196" s="726">
        <v>100</v>
      </c>
      <c r="C196" s="706">
        <v>450</v>
      </c>
      <c r="D196" s="714">
        <v>100</v>
      </c>
      <c r="E196" s="714"/>
      <c r="F196" s="714"/>
      <c r="G196" s="680" t="s">
        <v>660</v>
      </c>
      <c r="H196" s="607">
        <v>0</v>
      </c>
      <c r="I196" s="607">
        <v>0</v>
      </c>
      <c r="J196" s="607" t="s">
        <v>776</v>
      </c>
    </row>
    <row r="197" spans="1:10" s="285" customFormat="1">
      <c r="A197" s="696">
        <v>305</v>
      </c>
      <c r="B197" s="726">
        <v>100</v>
      </c>
      <c r="C197" s="706">
        <v>450</v>
      </c>
      <c r="D197" s="714">
        <v>100</v>
      </c>
      <c r="E197" s="714">
        <v>10</v>
      </c>
      <c r="F197" s="714"/>
      <c r="G197" s="652" t="s">
        <v>777</v>
      </c>
      <c r="H197" s="606">
        <v>0</v>
      </c>
      <c r="I197" s="606">
        <v>0</v>
      </c>
      <c r="J197" s="606"/>
    </row>
    <row r="198" spans="1:10" s="285" customFormat="1">
      <c r="A198" s="696">
        <v>305</v>
      </c>
      <c r="B198" s="726">
        <v>100</v>
      </c>
      <c r="C198" s="706">
        <v>450</v>
      </c>
      <c r="D198" s="714">
        <v>100</v>
      </c>
      <c r="E198" s="714">
        <v>20</v>
      </c>
      <c r="F198" s="714"/>
      <c r="G198" s="652" t="s">
        <v>778</v>
      </c>
      <c r="H198" s="606">
        <v>0</v>
      </c>
      <c r="I198" s="606">
        <v>0</v>
      </c>
      <c r="J198" s="606"/>
    </row>
    <row r="199" spans="1:10" s="285" customFormat="1">
      <c r="A199" s="696">
        <v>305</v>
      </c>
      <c r="B199" s="726">
        <v>100</v>
      </c>
      <c r="C199" s="706">
        <v>450</v>
      </c>
      <c r="D199" s="714">
        <v>200</v>
      </c>
      <c r="E199" s="714"/>
      <c r="F199" s="714"/>
      <c r="G199" s="652" t="s">
        <v>681</v>
      </c>
      <c r="H199" s="606">
        <v>0</v>
      </c>
      <c r="I199" s="606">
        <v>0</v>
      </c>
      <c r="J199" s="606" t="s">
        <v>779</v>
      </c>
    </row>
    <row r="200" spans="1:10" s="285" customFormat="1">
      <c r="A200" s="696">
        <v>305</v>
      </c>
      <c r="B200" s="726">
        <v>100</v>
      </c>
      <c r="C200" s="706">
        <v>450</v>
      </c>
      <c r="D200" s="714">
        <v>300</v>
      </c>
      <c r="E200" s="714"/>
      <c r="F200" s="714"/>
      <c r="G200" s="652" t="s">
        <v>671</v>
      </c>
      <c r="H200" s="606">
        <v>17717</v>
      </c>
      <c r="I200" s="606">
        <v>45428</v>
      </c>
      <c r="J200" s="606" t="s">
        <v>780</v>
      </c>
    </row>
    <row r="201" spans="1:10" s="285" customFormat="1">
      <c r="A201" s="696">
        <v>305</v>
      </c>
      <c r="B201" s="726">
        <v>100</v>
      </c>
      <c r="C201" s="706">
        <v>450</v>
      </c>
      <c r="D201" s="714">
        <v>400</v>
      </c>
      <c r="E201" s="714"/>
      <c r="F201" s="714"/>
      <c r="G201" s="680" t="s">
        <v>722</v>
      </c>
      <c r="H201" s="607">
        <v>0</v>
      </c>
      <c r="I201" s="607">
        <v>0</v>
      </c>
      <c r="J201" s="607" t="s">
        <v>781</v>
      </c>
    </row>
    <row r="202" spans="1:10" s="285" customFormat="1">
      <c r="A202" s="696">
        <v>305</v>
      </c>
      <c r="B202" s="726">
        <v>100</v>
      </c>
      <c r="C202" s="706">
        <v>450</v>
      </c>
      <c r="D202" s="714">
        <v>400</v>
      </c>
      <c r="E202" s="714">
        <v>10</v>
      </c>
      <c r="F202" s="714"/>
      <c r="G202" s="652" t="s">
        <v>782</v>
      </c>
      <c r="H202" s="606">
        <v>0</v>
      </c>
      <c r="I202" s="606">
        <v>0</v>
      </c>
      <c r="J202" s="606"/>
    </row>
    <row r="203" spans="1:10" s="285" customFormat="1">
      <c r="A203" s="696">
        <v>305</v>
      </c>
      <c r="B203" s="726">
        <v>100</v>
      </c>
      <c r="C203" s="706">
        <v>450</v>
      </c>
      <c r="D203" s="714">
        <v>400</v>
      </c>
      <c r="E203" s="714">
        <v>90</v>
      </c>
      <c r="F203" s="714"/>
      <c r="G203" s="652" t="s">
        <v>783</v>
      </c>
      <c r="H203" s="606">
        <v>0</v>
      </c>
      <c r="I203" s="606">
        <v>0</v>
      </c>
      <c r="J203" s="606"/>
    </row>
    <row r="204" spans="1:10" s="285" customFormat="1">
      <c r="A204" s="696">
        <v>305</v>
      </c>
      <c r="B204" s="726">
        <v>100</v>
      </c>
      <c r="C204" s="706">
        <v>450</v>
      </c>
      <c r="D204" s="714">
        <v>500</v>
      </c>
      <c r="E204" s="714"/>
      <c r="F204" s="714"/>
      <c r="G204" s="652" t="s">
        <v>726</v>
      </c>
      <c r="H204" s="606">
        <v>0</v>
      </c>
      <c r="I204" s="606">
        <v>0</v>
      </c>
      <c r="J204" s="606" t="s">
        <v>784</v>
      </c>
    </row>
    <row r="205" spans="1:10" s="285" customFormat="1" ht="27.6">
      <c r="A205" s="696">
        <v>305</v>
      </c>
      <c r="B205" s="726">
        <v>100</v>
      </c>
      <c r="C205" s="706">
        <v>450</v>
      </c>
      <c r="D205" s="714">
        <v>600</v>
      </c>
      <c r="E205" s="714"/>
      <c r="F205" s="714"/>
      <c r="G205" s="652" t="s">
        <v>712</v>
      </c>
      <c r="H205" s="606">
        <v>0</v>
      </c>
      <c r="I205" s="606">
        <v>0</v>
      </c>
      <c r="J205" s="606" t="s">
        <v>785</v>
      </c>
    </row>
    <row r="206" spans="1:10" s="285" customFormat="1">
      <c r="A206" s="696">
        <v>305</v>
      </c>
      <c r="B206" s="726">
        <v>100</v>
      </c>
      <c r="C206" s="706">
        <v>500</v>
      </c>
      <c r="D206" s="714"/>
      <c r="E206" s="714"/>
      <c r="F206" s="714"/>
      <c r="G206" s="638" t="s">
        <v>786</v>
      </c>
      <c r="H206" s="607">
        <v>0</v>
      </c>
      <c r="I206" s="607">
        <v>0</v>
      </c>
      <c r="J206" s="607" t="s">
        <v>787</v>
      </c>
    </row>
    <row r="207" spans="1:10" s="285" customFormat="1" ht="27.6">
      <c r="A207" s="696">
        <v>305</v>
      </c>
      <c r="B207" s="726">
        <v>100</v>
      </c>
      <c r="C207" s="706">
        <v>500</v>
      </c>
      <c r="D207" s="714">
        <v>100</v>
      </c>
      <c r="E207" s="714"/>
      <c r="F207" s="714"/>
      <c r="G207" s="652" t="s">
        <v>660</v>
      </c>
      <c r="H207" s="606">
        <v>0</v>
      </c>
      <c r="I207" s="606">
        <v>0</v>
      </c>
      <c r="J207" s="606" t="s">
        <v>788</v>
      </c>
    </row>
    <row r="208" spans="1:10" s="285" customFormat="1">
      <c r="A208" s="696">
        <v>305</v>
      </c>
      <c r="B208" s="726">
        <v>100</v>
      </c>
      <c r="C208" s="706">
        <v>500</v>
      </c>
      <c r="D208" s="714">
        <v>200</v>
      </c>
      <c r="E208" s="714"/>
      <c r="F208" s="714"/>
      <c r="G208" s="652" t="s">
        <v>681</v>
      </c>
      <c r="H208" s="606">
        <v>0</v>
      </c>
      <c r="I208" s="606">
        <v>0</v>
      </c>
      <c r="J208" s="606" t="s">
        <v>789</v>
      </c>
    </row>
    <row r="209" spans="1:10" s="285" customFormat="1">
      <c r="A209" s="696">
        <v>305</v>
      </c>
      <c r="B209" s="726">
        <v>100</v>
      </c>
      <c r="C209" s="706">
        <v>500</v>
      </c>
      <c r="D209" s="714">
        <v>300</v>
      </c>
      <c r="E209" s="714"/>
      <c r="F209" s="714"/>
      <c r="G209" s="652" t="s">
        <v>671</v>
      </c>
      <c r="H209" s="606">
        <v>0</v>
      </c>
      <c r="I209" s="606">
        <v>0</v>
      </c>
      <c r="J209" s="606" t="s">
        <v>790</v>
      </c>
    </row>
    <row r="210" spans="1:10" s="285" customFormat="1">
      <c r="A210" s="696">
        <v>305</v>
      </c>
      <c r="B210" s="726">
        <v>100</v>
      </c>
      <c r="C210" s="706">
        <v>500</v>
      </c>
      <c r="D210" s="714">
        <v>400</v>
      </c>
      <c r="E210" s="714"/>
      <c r="F210" s="714"/>
      <c r="G210" s="652" t="s">
        <v>694</v>
      </c>
      <c r="H210" s="606">
        <v>0</v>
      </c>
      <c r="I210" s="606">
        <v>0</v>
      </c>
      <c r="J210" s="606" t="s">
        <v>791</v>
      </c>
    </row>
    <row r="211" spans="1:10" s="285" customFormat="1" ht="27.6">
      <c r="A211" s="696">
        <v>305</v>
      </c>
      <c r="B211" s="726">
        <v>100</v>
      </c>
      <c r="C211" s="706">
        <v>500</v>
      </c>
      <c r="D211" s="714">
        <v>500</v>
      </c>
      <c r="E211" s="714"/>
      <c r="F211" s="714"/>
      <c r="G211" s="652" t="s">
        <v>712</v>
      </c>
      <c r="H211" s="606">
        <v>0</v>
      </c>
      <c r="I211" s="606">
        <v>0</v>
      </c>
      <c r="J211" s="606" t="s">
        <v>792</v>
      </c>
    </row>
    <row r="212" spans="1:10" s="285" customFormat="1">
      <c r="A212" s="696">
        <v>305</v>
      </c>
      <c r="B212" s="726">
        <v>100</v>
      </c>
      <c r="C212" s="706">
        <v>550</v>
      </c>
      <c r="D212" s="714"/>
      <c r="E212" s="714"/>
      <c r="F212" s="714"/>
      <c r="G212" s="638" t="s">
        <v>793</v>
      </c>
      <c r="H212" s="607">
        <v>0</v>
      </c>
      <c r="I212" s="607">
        <v>0</v>
      </c>
      <c r="J212" s="607" t="s">
        <v>794</v>
      </c>
    </row>
    <row r="213" spans="1:10" s="285" customFormat="1" ht="27.6">
      <c r="A213" s="696">
        <v>305</v>
      </c>
      <c r="B213" s="726">
        <v>100</v>
      </c>
      <c r="C213" s="706">
        <v>550</v>
      </c>
      <c r="D213" s="714">
        <v>100</v>
      </c>
      <c r="E213" s="714"/>
      <c r="F213" s="714"/>
      <c r="G213" s="652" t="s">
        <v>660</v>
      </c>
      <c r="H213" s="606">
        <v>0</v>
      </c>
      <c r="I213" s="606">
        <v>0</v>
      </c>
      <c r="J213" s="606" t="s">
        <v>795</v>
      </c>
    </row>
    <row r="214" spans="1:10" s="285" customFormat="1">
      <c r="A214" s="696">
        <v>305</v>
      </c>
      <c r="B214" s="726">
        <v>100</v>
      </c>
      <c r="C214" s="706">
        <v>550</v>
      </c>
      <c r="D214" s="714">
        <v>200</v>
      </c>
      <c r="E214" s="714"/>
      <c r="F214" s="714"/>
      <c r="G214" s="652" t="s">
        <v>681</v>
      </c>
      <c r="H214" s="606">
        <v>0</v>
      </c>
      <c r="I214" s="606">
        <v>0</v>
      </c>
      <c r="J214" s="606" t="s">
        <v>796</v>
      </c>
    </row>
    <row r="215" spans="1:10" s="285" customFormat="1">
      <c r="A215" s="696">
        <v>305</v>
      </c>
      <c r="B215" s="726">
        <v>100</v>
      </c>
      <c r="C215" s="706">
        <v>550</v>
      </c>
      <c r="D215" s="714">
        <v>300</v>
      </c>
      <c r="E215" s="714"/>
      <c r="F215" s="714"/>
      <c r="G215" s="652" t="s">
        <v>671</v>
      </c>
      <c r="H215" s="606">
        <v>0</v>
      </c>
      <c r="I215" s="606">
        <v>0</v>
      </c>
      <c r="J215" s="606" t="s">
        <v>797</v>
      </c>
    </row>
    <row r="216" spans="1:10" s="285" customFormat="1">
      <c r="A216" s="696">
        <v>305</v>
      </c>
      <c r="B216" s="726">
        <v>100</v>
      </c>
      <c r="C216" s="706">
        <v>550</v>
      </c>
      <c r="D216" s="714">
        <v>400</v>
      </c>
      <c r="E216" s="714"/>
      <c r="F216" s="714"/>
      <c r="G216" s="638" t="s">
        <v>694</v>
      </c>
      <c r="H216" s="607">
        <v>0</v>
      </c>
      <c r="I216" s="607">
        <v>0</v>
      </c>
      <c r="J216" s="607" t="s">
        <v>798</v>
      </c>
    </row>
    <row r="217" spans="1:10" s="285" customFormat="1">
      <c r="A217" s="696">
        <v>305</v>
      </c>
      <c r="B217" s="726">
        <v>100</v>
      </c>
      <c r="C217" s="706">
        <v>550</v>
      </c>
      <c r="D217" s="714">
        <v>400</v>
      </c>
      <c r="E217" s="714">
        <v>10</v>
      </c>
      <c r="F217" s="714"/>
      <c r="G217" s="652" t="s">
        <v>799</v>
      </c>
      <c r="H217" s="606">
        <v>0</v>
      </c>
      <c r="I217" s="606">
        <v>0</v>
      </c>
      <c r="J217" s="606"/>
    </row>
    <row r="218" spans="1:10" s="285" customFormat="1">
      <c r="A218" s="696">
        <v>305</v>
      </c>
      <c r="B218" s="726">
        <v>100</v>
      </c>
      <c r="C218" s="706">
        <v>550</v>
      </c>
      <c r="D218" s="714">
        <v>400</v>
      </c>
      <c r="E218" s="714">
        <v>20</v>
      </c>
      <c r="F218" s="714"/>
      <c r="G218" s="652" t="s">
        <v>800</v>
      </c>
      <c r="H218" s="606">
        <v>12020.44</v>
      </c>
      <c r="I218" s="606">
        <v>13717</v>
      </c>
      <c r="J218" s="606"/>
    </row>
    <row r="219" spans="1:10" s="285" customFormat="1">
      <c r="A219" s="696">
        <v>305</v>
      </c>
      <c r="B219" s="726">
        <v>100</v>
      </c>
      <c r="C219" s="706">
        <v>550</v>
      </c>
      <c r="D219" s="714">
        <v>400</v>
      </c>
      <c r="E219" s="714">
        <v>30</v>
      </c>
      <c r="F219" s="714"/>
      <c r="G219" s="652" t="s">
        <v>801</v>
      </c>
      <c r="H219" s="606">
        <v>0</v>
      </c>
      <c r="I219" s="606">
        <v>0</v>
      </c>
      <c r="J219" s="606"/>
    </row>
    <row r="220" spans="1:10" s="285" customFormat="1">
      <c r="A220" s="696">
        <v>305</v>
      </c>
      <c r="B220" s="726">
        <v>100</v>
      </c>
      <c r="C220" s="706">
        <v>550</v>
      </c>
      <c r="D220" s="714">
        <v>400</v>
      </c>
      <c r="E220" s="714">
        <v>40</v>
      </c>
      <c r="F220" s="714"/>
      <c r="G220" s="652" t="s">
        <v>802</v>
      </c>
      <c r="H220" s="606">
        <v>0</v>
      </c>
      <c r="I220" s="606">
        <v>0</v>
      </c>
      <c r="J220" s="606"/>
    </row>
    <row r="221" spans="1:10" s="285" customFormat="1">
      <c r="A221" s="696">
        <v>305</v>
      </c>
      <c r="B221" s="726">
        <v>100</v>
      </c>
      <c r="C221" s="706">
        <v>600</v>
      </c>
      <c r="D221" s="714"/>
      <c r="E221" s="714"/>
      <c r="F221" s="714"/>
      <c r="G221" s="638" t="s">
        <v>803</v>
      </c>
      <c r="H221" s="607">
        <v>0</v>
      </c>
      <c r="I221" s="607">
        <v>0</v>
      </c>
      <c r="J221" s="607" t="s">
        <v>804</v>
      </c>
    </row>
    <row r="222" spans="1:10" s="285" customFormat="1" ht="27.6">
      <c r="A222" s="696">
        <v>305</v>
      </c>
      <c r="B222" s="726">
        <v>100</v>
      </c>
      <c r="C222" s="706">
        <v>600</v>
      </c>
      <c r="D222" s="714">
        <v>100</v>
      </c>
      <c r="E222" s="714"/>
      <c r="F222" s="714"/>
      <c r="G222" s="676" t="s">
        <v>660</v>
      </c>
      <c r="H222" s="607">
        <v>0</v>
      </c>
      <c r="I222" s="607">
        <v>0</v>
      </c>
      <c r="J222" s="607" t="s">
        <v>805</v>
      </c>
    </row>
    <row r="223" spans="1:10" s="285" customFormat="1">
      <c r="A223" s="696">
        <v>305</v>
      </c>
      <c r="B223" s="726">
        <v>100</v>
      </c>
      <c r="C223" s="706">
        <v>600</v>
      </c>
      <c r="D223" s="714">
        <v>100</v>
      </c>
      <c r="E223" s="714">
        <v>10</v>
      </c>
      <c r="F223" s="714"/>
      <c r="G223" s="203" t="s">
        <v>806</v>
      </c>
      <c r="H223" s="608">
        <v>0</v>
      </c>
      <c r="I223" s="608">
        <v>0</v>
      </c>
      <c r="J223" s="608" t="s">
        <v>807</v>
      </c>
    </row>
    <row r="224" spans="1:10" s="285" customFormat="1">
      <c r="A224" s="696">
        <v>305</v>
      </c>
      <c r="B224" s="726">
        <v>100</v>
      </c>
      <c r="C224" s="706">
        <v>600</v>
      </c>
      <c r="D224" s="714">
        <v>100</v>
      </c>
      <c r="E224" s="714">
        <v>20</v>
      </c>
      <c r="F224" s="714"/>
      <c r="G224" s="203" t="s">
        <v>808</v>
      </c>
      <c r="H224" s="608">
        <v>0</v>
      </c>
      <c r="I224" s="608">
        <v>0</v>
      </c>
      <c r="J224" s="608" t="s">
        <v>809</v>
      </c>
    </row>
    <row r="225" spans="1:10" s="285" customFormat="1">
      <c r="A225" s="696">
        <v>305</v>
      </c>
      <c r="B225" s="726">
        <v>100</v>
      </c>
      <c r="C225" s="706">
        <v>600</v>
      </c>
      <c r="D225" s="714">
        <v>200</v>
      </c>
      <c r="E225" s="714"/>
      <c r="F225" s="714"/>
      <c r="G225" s="680" t="s">
        <v>810</v>
      </c>
      <c r="H225" s="607">
        <v>0</v>
      </c>
      <c r="I225" s="607">
        <v>0</v>
      </c>
      <c r="J225" s="607" t="s">
        <v>811</v>
      </c>
    </row>
    <row r="226" spans="1:10" s="285" customFormat="1">
      <c r="A226" s="696">
        <v>305</v>
      </c>
      <c r="B226" s="726">
        <v>100</v>
      </c>
      <c r="C226" s="706">
        <v>600</v>
      </c>
      <c r="D226" s="714">
        <v>200</v>
      </c>
      <c r="E226" s="714">
        <v>10</v>
      </c>
      <c r="F226" s="714"/>
      <c r="G226" s="652" t="s">
        <v>812</v>
      </c>
      <c r="H226" s="606">
        <v>0</v>
      </c>
      <c r="I226" s="606">
        <v>0</v>
      </c>
      <c r="J226" s="606"/>
    </row>
    <row r="227" spans="1:10" s="681" customFormat="1" ht="27.6">
      <c r="A227" s="696">
        <v>305</v>
      </c>
      <c r="B227" s="726">
        <v>100</v>
      </c>
      <c r="C227" s="706">
        <v>600</v>
      </c>
      <c r="D227" s="714">
        <v>200</v>
      </c>
      <c r="E227" s="714">
        <v>20</v>
      </c>
      <c r="F227" s="714"/>
      <c r="G227" s="652" t="s">
        <v>813</v>
      </c>
      <c r="H227" s="606">
        <v>0</v>
      </c>
      <c r="I227" s="606">
        <v>0</v>
      </c>
      <c r="J227" s="606"/>
    </row>
    <row r="228" spans="1:10" s="285" customFormat="1">
      <c r="A228" s="696">
        <v>305</v>
      </c>
      <c r="B228" s="726">
        <v>100</v>
      </c>
      <c r="C228" s="706">
        <v>600</v>
      </c>
      <c r="D228" s="714">
        <v>200</v>
      </c>
      <c r="E228" s="714">
        <v>30</v>
      </c>
      <c r="F228" s="714"/>
      <c r="G228" s="652" t="s">
        <v>814</v>
      </c>
      <c r="H228" s="606">
        <v>0</v>
      </c>
      <c r="I228" s="606">
        <v>0</v>
      </c>
      <c r="J228" s="606"/>
    </row>
    <row r="229" spans="1:10" s="285" customFormat="1" ht="27.6">
      <c r="A229" s="696">
        <v>305</v>
      </c>
      <c r="B229" s="726">
        <v>100</v>
      </c>
      <c r="C229" s="706">
        <v>600</v>
      </c>
      <c r="D229" s="714">
        <v>200</v>
      </c>
      <c r="E229" s="714">
        <v>90</v>
      </c>
      <c r="F229" s="714"/>
      <c r="G229" s="652" t="s">
        <v>815</v>
      </c>
      <c r="H229" s="606">
        <v>0</v>
      </c>
      <c r="I229" s="606">
        <v>0</v>
      </c>
      <c r="J229" s="606"/>
    </row>
    <row r="230" spans="1:10" s="285" customFormat="1" ht="41.4">
      <c r="A230" s="696">
        <v>305</v>
      </c>
      <c r="B230" s="726">
        <v>100</v>
      </c>
      <c r="C230" s="706">
        <v>600</v>
      </c>
      <c r="D230" s="714">
        <v>250</v>
      </c>
      <c r="E230" s="714"/>
      <c r="F230" s="714"/>
      <c r="G230" s="652" t="s">
        <v>816</v>
      </c>
      <c r="H230" s="606">
        <v>0</v>
      </c>
      <c r="I230" s="606">
        <v>0</v>
      </c>
      <c r="J230" s="606" t="s">
        <v>817</v>
      </c>
    </row>
    <row r="231" spans="1:10" s="285" customFormat="1">
      <c r="A231" s="696">
        <v>305</v>
      </c>
      <c r="B231" s="726">
        <v>100</v>
      </c>
      <c r="C231" s="706">
        <v>600</v>
      </c>
      <c r="D231" s="714">
        <v>300</v>
      </c>
      <c r="E231" s="714"/>
      <c r="F231" s="714"/>
      <c r="G231" s="652" t="s">
        <v>818</v>
      </c>
      <c r="H231" s="606">
        <v>551746.80000000005</v>
      </c>
      <c r="I231" s="606">
        <v>0</v>
      </c>
      <c r="J231" s="606" t="s">
        <v>819</v>
      </c>
    </row>
    <row r="232" spans="1:10" s="285" customFormat="1">
      <c r="A232" s="696">
        <v>305</v>
      </c>
      <c r="B232" s="726">
        <v>100</v>
      </c>
      <c r="C232" s="706">
        <v>600</v>
      </c>
      <c r="D232" s="714">
        <v>400</v>
      </c>
      <c r="E232" s="714"/>
      <c r="F232" s="714"/>
      <c r="G232" s="680" t="s">
        <v>722</v>
      </c>
      <c r="H232" s="607">
        <v>0</v>
      </c>
      <c r="I232" s="607">
        <v>0</v>
      </c>
      <c r="J232" s="607" t="s">
        <v>820</v>
      </c>
    </row>
    <row r="233" spans="1:10" s="285" customFormat="1">
      <c r="A233" s="696">
        <v>305</v>
      </c>
      <c r="B233" s="726">
        <v>100</v>
      </c>
      <c r="C233" s="706">
        <v>600</v>
      </c>
      <c r="D233" s="714">
        <v>400</v>
      </c>
      <c r="E233" s="714">
        <v>10</v>
      </c>
      <c r="F233" s="714"/>
      <c r="G233" s="652" t="s">
        <v>821</v>
      </c>
      <c r="H233" s="606">
        <v>0</v>
      </c>
      <c r="I233" s="606">
        <v>0</v>
      </c>
      <c r="J233" s="606"/>
    </row>
    <row r="234" spans="1:10" s="285" customFormat="1">
      <c r="A234" s="696">
        <v>305</v>
      </c>
      <c r="B234" s="726">
        <v>100</v>
      </c>
      <c r="C234" s="706">
        <v>600</v>
      </c>
      <c r="D234" s="714">
        <v>400</v>
      </c>
      <c r="E234" s="714">
        <v>20</v>
      </c>
      <c r="F234" s="714"/>
      <c r="G234" s="652" t="s">
        <v>822</v>
      </c>
      <c r="H234" s="606">
        <v>0</v>
      </c>
      <c r="I234" s="606">
        <v>0</v>
      </c>
      <c r="J234" s="606"/>
    </row>
    <row r="235" spans="1:10" s="285" customFormat="1">
      <c r="A235" s="696">
        <v>305</v>
      </c>
      <c r="B235" s="726">
        <v>100</v>
      </c>
      <c r="C235" s="706">
        <v>600</v>
      </c>
      <c r="D235" s="714">
        <v>400</v>
      </c>
      <c r="E235" s="714">
        <v>30</v>
      </c>
      <c r="F235" s="714"/>
      <c r="G235" s="652" t="s">
        <v>812</v>
      </c>
      <c r="H235" s="606">
        <v>0</v>
      </c>
      <c r="I235" s="606">
        <v>0</v>
      </c>
      <c r="J235" s="606"/>
    </row>
    <row r="236" spans="1:10" s="681" customFormat="1" ht="27.6">
      <c r="A236" s="696">
        <v>305</v>
      </c>
      <c r="B236" s="726">
        <v>100</v>
      </c>
      <c r="C236" s="706">
        <v>600</v>
      </c>
      <c r="D236" s="714">
        <v>400</v>
      </c>
      <c r="E236" s="714">
        <v>40</v>
      </c>
      <c r="F236" s="714"/>
      <c r="G236" s="652" t="s">
        <v>813</v>
      </c>
      <c r="H236" s="606">
        <v>0</v>
      </c>
      <c r="I236" s="606">
        <v>0</v>
      </c>
      <c r="J236" s="606"/>
    </row>
    <row r="237" spans="1:10" s="285" customFormat="1">
      <c r="A237" s="696">
        <v>305</v>
      </c>
      <c r="B237" s="726">
        <v>100</v>
      </c>
      <c r="C237" s="706">
        <v>600</v>
      </c>
      <c r="D237" s="714">
        <v>400</v>
      </c>
      <c r="E237" s="714">
        <v>50</v>
      </c>
      <c r="F237" s="714"/>
      <c r="G237" s="652" t="s">
        <v>814</v>
      </c>
      <c r="H237" s="606">
        <v>0</v>
      </c>
      <c r="I237" s="606">
        <v>0</v>
      </c>
      <c r="J237" s="606"/>
    </row>
    <row r="238" spans="1:10" s="285" customFormat="1" ht="27.6">
      <c r="A238" s="696">
        <v>305</v>
      </c>
      <c r="B238" s="726">
        <v>100</v>
      </c>
      <c r="C238" s="706">
        <v>600</v>
      </c>
      <c r="D238" s="714">
        <v>400</v>
      </c>
      <c r="E238" s="714">
        <v>60</v>
      </c>
      <c r="F238" s="714"/>
      <c r="G238" s="652" t="s">
        <v>823</v>
      </c>
      <c r="H238" s="606">
        <v>0</v>
      </c>
      <c r="I238" s="606">
        <v>0</v>
      </c>
      <c r="J238" s="606"/>
    </row>
    <row r="239" spans="1:10" s="285" customFormat="1">
      <c r="A239" s="696">
        <v>305</v>
      </c>
      <c r="B239" s="726">
        <v>100</v>
      </c>
      <c r="C239" s="706">
        <v>600</v>
      </c>
      <c r="D239" s="714">
        <v>400</v>
      </c>
      <c r="E239" s="714">
        <v>70</v>
      </c>
      <c r="F239" s="714"/>
      <c r="G239" s="652" t="s">
        <v>824</v>
      </c>
      <c r="H239" s="606">
        <v>0</v>
      </c>
      <c r="I239" s="606">
        <v>0</v>
      </c>
      <c r="J239" s="606"/>
    </row>
    <row r="240" spans="1:10" s="285" customFormat="1">
      <c r="A240" s="696">
        <v>305</v>
      </c>
      <c r="B240" s="726">
        <v>100</v>
      </c>
      <c r="C240" s="706">
        <v>600</v>
      </c>
      <c r="D240" s="714">
        <v>400</v>
      </c>
      <c r="E240" s="714">
        <v>90</v>
      </c>
      <c r="F240" s="714"/>
      <c r="G240" s="652" t="s">
        <v>825</v>
      </c>
      <c r="H240" s="606">
        <v>0</v>
      </c>
      <c r="I240" s="606">
        <v>0</v>
      </c>
      <c r="J240" s="606"/>
    </row>
    <row r="241" spans="1:10" s="285" customFormat="1">
      <c r="A241" s="696">
        <v>305</v>
      </c>
      <c r="B241" s="726">
        <v>100</v>
      </c>
      <c r="C241" s="706">
        <v>600</v>
      </c>
      <c r="D241" s="714">
        <v>500</v>
      </c>
      <c r="E241" s="714"/>
      <c r="F241" s="714"/>
      <c r="G241" s="680" t="s">
        <v>726</v>
      </c>
      <c r="H241" s="607">
        <v>0</v>
      </c>
      <c r="I241" s="607">
        <v>0</v>
      </c>
      <c r="J241" s="607" t="s">
        <v>826</v>
      </c>
    </row>
    <row r="242" spans="1:10" s="285" customFormat="1" ht="27.6">
      <c r="A242" s="696">
        <v>305</v>
      </c>
      <c r="B242" s="726">
        <v>100</v>
      </c>
      <c r="C242" s="706">
        <v>600</v>
      </c>
      <c r="D242" s="714">
        <v>500</v>
      </c>
      <c r="E242" s="714">
        <v>10</v>
      </c>
      <c r="F242" s="714"/>
      <c r="G242" s="652" t="s">
        <v>823</v>
      </c>
      <c r="H242" s="606">
        <v>0</v>
      </c>
      <c r="I242" s="606">
        <v>0</v>
      </c>
      <c r="J242" s="606"/>
    </row>
    <row r="243" spans="1:10" s="285" customFormat="1">
      <c r="A243" s="696">
        <v>305</v>
      </c>
      <c r="B243" s="726">
        <v>100</v>
      </c>
      <c r="C243" s="706">
        <v>600</v>
      </c>
      <c r="D243" s="714">
        <v>500</v>
      </c>
      <c r="E243" s="714">
        <v>90</v>
      </c>
      <c r="F243" s="714"/>
      <c r="G243" s="652" t="s">
        <v>827</v>
      </c>
      <c r="H243" s="606">
        <v>0</v>
      </c>
      <c r="I243" s="606">
        <v>0</v>
      </c>
      <c r="J243" s="606"/>
    </row>
    <row r="244" spans="1:10" s="285" customFormat="1" ht="27.6">
      <c r="A244" s="696">
        <v>305</v>
      </c>
      <c r="B244" s="726">
        <v>100</v>
      </c>
      <c r="C244" s="706">
        <v>650</v>
      </c>
      <c r="D244" s="714"/>
      <c r="E244" s="714"/>
      <c r="F244" s="714"/>
      <c r="G244" s="638" t="s">
        <v>828</v>
      </c>
      <c r="H244" s="607">
        <v>0</v>
      </c>
      <c r="I244" s="607">
        <v>0</v>
      </c>
      <c r="J244" s="607" t="s">
        <v>829</v>
      </c>
    </row>
    <row r="245" spans="1:10" s="285" customFormat="1" ht="27.6">
      <c r="A245" s="696">
        <v>305</v>
      </c>
      <c r="B245" s="726">
        <v>100</v>
      </c>
      <c r="C245" s="706">
        <v>650</v>
      </c>
      <c r="D245" s="714">
        <v>100</v>
      </c>
      <c r="E245" s="714"/>
      <c r="F245" s="714"/>
      <c r="G245" s="652" t="s">
        <v>830</v>
      </c>
      <c r="H245" s="606">
        <v>46650</v>
      </c>
      <c r="I245" s="606">
        <v>12100</v>
      </c>
      <c r="J245" s="606" t="s">
        <v>831</v>
      </c>
    </row>
    <row r="246" spans="1:10" s="285" customFormat="1" ht="27.6">
      <c r="A246" s="696">
        <v>305</v>
      </c>
      <c r="B246" s="726">
        <v>100</v>
      </c>
      <c r="C246" s="706">
        <v>650</v>
      </c>
      <c r="D246" s="714">
        <v>200</v>
      </c>
      <c r="E246" s="714"/>
      <c r="F246" s="714"/>
      <c r="G246" s="652" t="s">
        <v>832</v>
      </c>
      <c r="H246" s="606">
        <v>397589.38</v>
      </c>
      <c r="I246" s="606">
        <v>531584</v>
      </c>
      <c r="J246" s="606" t="s">
        <v>833</v>
      </c>
    </row>
    <row r="247" spans="1:10" s="285" customFormat="1" ht="27.6">
      <c r="A247" s="696">
        <v>305</v>
      </c>
      <c r="B247" s="726">
        <v>100</v>
      </c>
      <c r="C247" s="706">
        <v>650</v>
      </c>
      <c r="D247" s="714">
        <v>300</v>
      </c>
      <c r="E247" s="714"/>
      <c r="F247" s="714"/>
      <c r="G247" s="652" t="s">
        <v>834</v>
      </c>
      <c r="H247" s="606">
        <v>0</v>
      </c>
      <c r="I247" s="606">
        <v>0</v>
      </c>
      <c r="J247" s="606" t="s">
        <v>835</v>
      </c>
    </row>
    <row r="248" spans="1:10" s="285" customFormat="1" ht="41.4">
      <c r="A248" s="696">
        <v>305</v>
      </c>
      <c r="B248" s="726">
        <v>100</v>
      </c>
      <c r="C248" s="706">
        <v>650</v>
      </c>
      <c r="D248" s="714">
        <v>400</v>
      </c>
      <c r="E248" s="714"/>
      <c r="F248" s="714"/>
      <c r="G248" s="638" t="s">
        <v>836</v>
      </c>
      <c r="H248" s="607">
        <v>0</v>
      </c>
      <c r="I248" s="607">
        <v>0</v>
      </c>
      <c r="J248" s="607" t="s">
        <v>837</v>
      </c>
    </row>
    <row r="249" spans="1:10" s="285" customFormat="1" ht="27.6">
      <c r="A249" s="696">
        <v>305</v>
      </c>
      <c r="B249" s="726">
        <v>100</v>
      </c>
      <c r="C249" s="706">
        <v>650</v>
      </c>
      <c r="D249" s="714">
        <v>400</v>
      </c>
      <c r="E249" s="714">
        <v>10</v>
      </c>
      <c r="F249" s="714"/>
      <c r="G249" s="652" t="s">
        <v>838</v>
      </c>
      <c r="H249" s="606">
        <v>124098.82</v>
      </c>
      <c r="I249" s="606">
        <v>56350</v>
      </c>
      <c r="J249" s="606"/>
    </row>
    <row r="250" spans="1:10" s="285" customFormat="1" ht="27.6">
      <c r="A250" s="696">
        <v>305</v>
      </c>
      <c r="B250" s="726">
        <v>100</v>
      </c>
      <c r="C250" s="706">
        <v>650</v>
      </c>
      <c r="D250" s="714">
        <v>400</v>
      </c>
      <c r="E250" s="714">
        <v>20</v>
      </c>
      <c r="F250" s="714"/>
      <c r="G250" s="652" t="s">
        <v>839</v>
      </c>
      <c r="H250" s="606">
        <v>0</v>
      </c>
      <c r="I250" s="606">
        <v>4953</v>
      </c>
      <c r="J250" s="606"/>
    </row>
    <row r="251" spans="1:10" s="285" customFormat="1" ht="27.6">
      <c r="A251" s="696">
        <v>305</v>
      </c>
      <c r="B251" s="726">
        <v>100</v>
      </c>
      <c r="C251" s="706">
        <v>650</v>
      </c>
      <c r="D251" s="714">
        <v>400</v>
      </c>
      <c r="E251" s="714">
        <v>30</v>
      </c>
      <c r="F251" s="714"/>
      <c r="G251" s="652" t="s">
        <v>840</v>
      </c>
      <c r="H251" s="606">
        <v>0</v>
      </c>
      <c r="I251" s="606">
        <v>2108</v>
      </c>
      <c r="J251" s="606"/>
    </row>
    <row r="252" spans="1:10" s="285" customFormat="1" ht="27.6">
      <c r="A252" s="696">
        <v>305</v>
      </c>
      <c r="B252" s="726">
        <v>100</v>
      </c>
      <c r="C252" s="706">
        <v>650</v>
      </c>
      <c r="D252" s="714">
        <v>400</v>
      </c>
      <c r="E252" s="714">
        <v>90</v>
      </c>
      <c r="F252" s="714"/>
      <c r="G252" s="652" t="s">
        <v>841</v>
      </c>
      <c r="H252" s="606">
        <v>0</v>
      </c>
      <c r="I252" s="606">
        <v>0</v>
      </c>
      <c r="J252" s="606"/>
    </row>
    <row r="253" spans="1:10" s="285" customFormat="1" ht="41.4">
      <c r="A253" s="696">
        <v>305</v>
      </c>
      <c r="B253" s="726">
        <v>100</v>
      </c>
      <c r="C253" s="706">
        <v>650</v>
      </c>
      <c r="D253" s="714">
        <v>500</v>
      </c>
      <c r="E253" s="714"/>
      <c r="F253" s="714"/>
      <c r="G253" s="638" t="s">
        <v>842</v>
      </c>
      <c r="H253" s="607">
        <v>0</v>
      </c>
      <c r="I253" s="607">
        <v>0</v>
      </c>
      <c r="J253" s="607" t="s">
        <v>843</v>
      </c>
    </row>
    <row r="254" spans="1:10" s="285" customFormat="1" ht="27.6">
      <c r="A254" s="696">
        <v>305</v>
      </c>
      <c r="B254" s="726">
        <v>100</v>
      </c>
      <c r="C254" s="706">
        <v>650</v>
      </c>
      <c r="D254" s="714">
        <v>500</v>
      </c>
      <c r="E254" s="714">
        <v>10</v>
      </c>
      <c r="F254" s="714"/>
      <c r="G254" s="652" t="s">
        <v>838</v>
      </c>
      <c r="H254" s="606">
        <v>0</v>
      </c>
      <c r="I254" s="606">
        <v>102903</v>
      </c>
      <c r="J254" s="606"/>
    </row>
    <row r="255" spans="1:10" s="285" customFormat="1" ht="27.6">
      <c r="A255" s="696">
        <v>305</v>
      </c>
      <c r="B255" s="726">
        <v>100</v>
      </c>
      <c r="C255" s="706">
        <v>650</v>
      </c>
      <c r="D255" s="714">
        <v>500</v>
      </c>
      <c r="E255" s="714">
        <v>20</v>
      </c>
      <c r="F255" s="714"/>
      <c r="G255" s="652" t="s">
        <v>839</v>
      </c>
      <c r="H255" s="606">
        <v>0</v>
      </c>
      <c r="I255" s="606">
        <v>0</v>
      </c>
      <c r="J255" s="606"/>
    </row>
    <row r="256" spans="1:10" s="285" customFormat="1" ht="27.6">
      <c r="A256" s="696">
        <v>305</v>
      </c>
      <c r="B256" s="726">
        <v>100</v>
      </c>
      <c r="C256" s="706">
        <v>650</v>
      </c>
      <c r="D256" s="714">
        <v>500</v>
      </c>
      <c r="E256" s="714">
        <v>30</v>
      </c>
      <c r="F256" s="714"/>
      <c r="G256" s="652" t="s">
        <v>840</v>
      </c>
      <c r="H256" s="606">
        <v>0</v>
      </c>
      <c r="I256" s="606">
        <v>0</v>
      </c>
      <c r="J256" s="606"/>
    </row>
    <row r="257" spans="1:10" s="285" customFormat="1" ht="27.6">
      <c r="A257" s="696">
        <v>305</v>
      </c>
      <c r="B257" s="726">
        <v>100</v>
      </c>
      <c r="C257" s="706">
        <v>650</v>
      </c>
      <c r="D257" s="714">
        <v>500</v>
      </c>
      <c r="E257" s="714">
        <v>90</v>
      </c>
      <c r="F257" s="714"/>
      <c r="G257" s="652" t="s">
        <v>841</v>
      </c>
      <c r="H257" s="606">
        <v>0</v>
      </c>
      <c r="I257" s="606">
        <v>0</v>
      </c>
      <c r="J257" s="606"/>
    </row>
    <row r="258" spans="1:10" s="285" customFormat="1" ht="27.6">
      <c r="A258" s="696">
        <v>305</v>
      </c>
      <c r="B258" s="726">
        <v>100</v>
      </c>
      <c r="C258" s="706">
        <v>650</v>
      </c>
      <c r="D258" s="714">
        <v>600</v>
      </c>
      <c r="E258" s="714"/>
      <c r="F258" s="714"/>
      <c r="G258" s="638" t="s">
        <v>844</v>
      </c>
      <c r="H258" s="607">
        <v>0</v>
      </c>
      <c r="I258" s="607">
        <v>0</v>
      </c>
      <c r="J258" s="607" t="s">
        <v>845</v>
      </c>
    </row>
    <row r="259" spans="1:10" s="285" customFormat="1" ht="27.6">
      <c r="A259" s="696">
        <v>305</v>
      </c>
      <c r="B259" s="726">
        <v>100</v>
      </c>
      <c r="C259" s="706">
        <v>650</v>
      </c>
      <c r="D259" s="714">
        <v>600</v>
      </c>
      <c r="E259" s="714">
        <v>5</v>
      </c>
      <c r="F259" s="714"/>
      <c r="G259" s="652" t="s">
        <v>846</v>
      </c>
      <c r="H259" s="606">
        <v>0</v>
      </c>
      <c r="I259" s="606">
        <v>0</v>
      </c>
      <c r="J259" s="606"/>
    </row>
    <row r="260" spans="1:10" s="285" customFormat="1" ht="27.6">
      <c r="A260" s="696">
        <v>305</v>
      </c>
      <c r="B260" s="726">
        <v>100</v>
      </c>
      <c r="C260" s="706">
        <v>650</v>
      </c>
      <c r="D260" s="714">
        <v>600</v>
      </c>
      <c r="E260" s="714">
        <v>10</v>
      </c>
      <c r="F260" s="714"/>
      <c r="G260" s="652" t="s">
        <v>847</v>
      </c>
      <c r="H260" s="606">
        <v>0</v>
      </c>
      <c r="I260" s="606">
        <v>0</v>
      </c>
      <c r="J260" s="606"/>
    </row>
    <row r="261" spans="1:10" s="285" customFormat="1" ht="27.6">
      <c r="A261" s="696">
        <v>305</v>
      </c>
      <c r="B261" s="726">
        <v>100</v>
      </c>
      <c r="C261" s="706">
        <v>650</v>
      </c>
      <c r="D261" s="714">
        <v>600</v>
      </c>
      <c r="E261" s="714">
        <v>15</v>
      </c>
      <c r="F261" s="714"/>
      <c r="G261" s="652" t="s">
        <v>848</v>
      </c>
      <c r="H261" s="606">
        <v>0</v>
      </c>
      <c r="I261" s="606">
        <v>0</v>
      </c>
      <c r="J261" s="606"/>
    </row>
    <row r="262" spans="1:10" s="285" customFormat="1" ht="27.6">
      <c r="A262" s="696">
        <v>305</v>
      </c>
      <c r="B262" s="726">
        <v>100</v>
      </c>
      <c r="C262" s="706">
        <v>650</v>
      </c>
      <c r="D262" s="714">
        <v>600</v>
      </c>
      <c r="E262" s="714">
        <v>20</v>
      </c>
      <c r="F262" s="714"/>
      <c r="G262" s="652" t="s">
        <v>849</v>
      </c>
      <c r="H262" s="606">
        <v>20239.04</v>
      </c>
      <c r="I262" s="606">
        <v>0</v>
      </c>
      <c r="J262" s="606"/>
    </row>
    <row r="263" spans="1:10" s="285" customFormat="1" ht="27.6">
      <c r="A263" s="696">
        <v>305</v>
      </c>
      <c r="B263" s="726">
        <v>100</v>
      </c>
      <c r="C263" s="706">
        <v>650</v>
      </c>
      <c r="D263" s="714">
        <v>600</v>
      </c>
      <c r="E263" s="714">
        <v>25</v>
      </c>
      <c r="F263" s="714"/>
      <c r="G263" s="652" t="s">
        <v>850</v>
      </c>
      <c r="H263" s="606">
        <v>0</v>
      </c>
      <c r="I263" s="606">
        <v>0</v>
      </c>
      <c r="J263" s="606"/>
    </row>
    <row r="264" spans="1:10" s="285" customFormat="1" ht="27.6">
      <c r="A264" s="696">
        <v>305</v>
      </c>
      <c r="B264" s="726">
        <v>100</v>
      </c>
      <c r="C264" s="706">
        <v>650</v>
      </c>
      <c r="D264" s="714">
        <v>600</v>
      </c>
      <c r="E264" s="714">
        <v>30</v>
      </c>
      <c r="F264" s="714"/>
      <c r="G264" s="652" t="s">
        <v>851</v>
      </c>
      <c r="H264" s="606">
        <v>0</v>
      </c>
      <c r="I264" s="606">
        <v>0</v>
      </c>
      <c r="J264" s="606"/>
    </row>
    <row r="265" spans="1:10" s="285" customFormat="1" ht="27.6">
      <c r="A265" s="696">
        <v>305</v>
      </c>
      <c r="B265" s="726">
        <v>100</v>
      </c>
      <c r="C265" s="706">
        <v>650</v>
      </c>
      <c r="D265" s="714">
        <v>600</v>
      </c>
      <c r="E265" s="714">
        <v>35</v>
      </c>
      <c r="F265" s="714"/>
      <c r="G265" s="652" t="s">
        <v>852</v>
      </c>
      <c r="H265" s="606">
        <v>0</v>
      </c>
      <c r="I265" s="606">
        <v>0</v>
      </c>
      <c r="J265" s="606"/>
    </row>
    <row r="266" spans="1:10" s="285" customFormat="1">
      <c r="A266" s="696">
        <v>305</v>
      </c>
      <c r="B266" s="726">
        <v>100</v>
      </c>
      <c r="C266" s="706">
        <v>650</v>
      </c>
      <c r="D266" s="714">
        <v>600</v>
      </c>
      <c r="E266" s="714">
        <v>40</v>
      </c>
      <c r="F266" s="714"/>
      <c r="G266" s="652" t="s">
        <v>853</v>
      </c>
      <c r="H266" s="606">
        <v>21194.66</v>
      </c>
      <c r="I266" s="606">
        <v>17566</v>
      </c>
      <c r="J266" s="606"/>
    </row>
    <row r="267" spans="1:10" s="285" customFormat="1">
      <c r="A267" s="696">
        <v>305</v>
      </c>
      <c r="B267" s="726">
        <v>100</v>
      </c>
      <c r="C267" s="706">
        <v>650</v>
      </c>
      <c r="D267" s="714">
        <v>600</v>
      </c>
      <c r="E267" s="714">
        <v>45</v>
      </c>
      <c r="F267" s="714"/>
      <c r="G267" s="652" t="s">
        <v>854</v>
      </c>
      <c r="H267" s="606">
        <v>30770.23</v>
      </c>
      <c r="I267" s="606">
        <v>38354</v>
      </c>
      <c r="J267" s="606"/>
    </row>
    <row r="268" spans="1:10" s="285" customFormat="1" ht="27.6">
      <c r="A268" s="696">
        <v>305</v>
      </c>
      <c r="B268" s="726">
        <v>100</v>
      </c>
      <c r="C268" s="706">
        <v>650</v>
      </c>
      <c r="D268" s="714">
        <v>600</v>
      </c>
      <c r="E268" s="714">
        <v>50</v>
      </c>
      <c r="F268" s="714"/>
      <c r="G268" s="652" t="s">
        <v>844</v>
      </c>
      <c r="H268" s="606">
        <v>0</v>
      </c>
      <c r="I268" s="606">
        <v>0</v>
      </c>
      <c r="J268" s="606"/>
    </row>
    <row r="269" spans="1:10" s="285" customFormat="1" ht="27.6">
      <c r="A269" s="696">
        <v>305</v>
      </c>
      <c r="B269" s="726">
        <v>100</v>
      </c>
      <c r="C269" s="706">
        <v>650</v>
      </c>
      <c r="D269" s="714">
        <v>600</v>
      </c>
      <c r="E269" s="714">
        <v>90</v>
      </c>
      <c r="F269" s="714"/>
      <c r="G269" s="652" t="s">
        <v>841</v>
      </c>
      <c r="H269" s="606">
        <v>0</v>
      </c>
      <c r="I269" s="606">
        <v>0</v>
      </c>
      <c r="J269" s="606"/>
    </row>
    <row r="270" spans="1:10" s="285" customFormat="1" ht="41.4">
      <c r="A270" s="696">
        <v>305</v>
      </c>
      <c r="B270" s="726">
        <v>100</v>
      </c>
      <c r="C270" s="706">
        <v>650</v>
      </c>
      <c r="D270" s="714">
        <v>700</v>
      </c>
      <c r="E270" s="714"/>
      <c r="F270" s="714"/>
      <c r="G270" s="638" t="s">
        <v>855</v>
      </c>
      <c r="H270" s="607">
        <v>0</v>
      </c>
      <c r="I270" s="607">
        <v>0</v>
      </c>
      <c r="J270" s="607" t="s">
        <v>856</v>
      </c>
    </row>
    <row r="271" spans="1:10" s="285" customFormat="1" ht="27.6">
      <c r="A271" s="696">
        <v>305</v>
      </c>
      <c r="B271" s="726">
        <v>100</v>
      </c>
      <c r="C271" s="706">
        <v>650</v>
      </c>
      <c r="D271" s="714">
        <v>700</v>
      </c>
      <c r="E271" s="714">
        <v>5</v>
      </c>
      <c r="F271" s="714"/>
      <c r="G271" s="652" t="s">
        <v>846</v>
      </c>
      <c r="H271" s="606">
        <v>0</v>
      </c>
      <c r="I271" s="606">
        <v>0</v>
      </c>
      <c r="J271" s="606"/>
    </row>
    <row r="272" spans="1:10" s="285" customFormat="1" ht="27.6">
      <c r="A272" s="696">
        <v>305</v>
      </c>
      <c r="B272" s="726">
        <v>100</v>
      </c>
      <c r="C272" s="706">
        <v>650</v>
      </c>
      <c r="D272" s="714">
        <v>700</v>
      </c>
      <c r="E272" s="714">
        <v>10</v>
      </c>
      <c r="F272" s="714"/>
      <c r="G272" s="652" t="s">
        <v>847</v>
      </c>
      <c r="H272" s="606">
        <v>0</v>
      </c>
      <c r="I272" s="606">
        <v>0</v>
      </c>
      <c r="J272" s="606"/>
    </row>
    <row r="273" spans="1:10" s="285" customFormat="1" ht="27.6">
      <c r="A273" s="696">
        <v>305</v>
      </c>
      <c r="B273" s="726">
        <v>100</v>
      </c>
      <c r="C273" s="706">
        <v>650</v>
      </c>
      <c r="D273" s="714">
        <v>700</v>
      </c>
      <c r="E273" s="714">
        <v>15</v>
      </c>
      <c r="F273" s="714"/>
      <c r="G273" s="652" t="s">
        <v>848</v>
      </c>
      <c r="H273" s="606">
        <v>0</v>
      </c>
      <c r="I273" s="606">
        <v>0</v>
      </c>
      <c r="J273" s="606"/>
    </row>
    <row r="274" spans="1:10" s="285" customFormat="1" ht="27.6">
      <c r="A274" s="696">
        <v>305</v>
      </c>
      <c r="B274" s="726">
        <v>100</v>
      </c>
      <c r="C274" s="706">
        <v>650</v>
      </c>
      <c r="D274" s="714">
        <v>700</v>
      </c>
      <c r="E274" s="714">
        <v>20</v>
      </c>
      <c r="F274" s="714"/>
      <c r="G274" s="652" t="s">
        <v>849</v>
      </c>
      <c r="H274" s="606">
        <v>0</v>
      </c>
      <c r="I274" s="606">
        <v>0</v>
      </c>
      <c r="J274" s="606"/>
    </row>
    <row r="275" spans="1:10" s="285" customFormat="1" ht="27.6">
      <c r="A275" s="696">
        <v>305</v>
      </c>
      <c r="B275" s="726">
        <v>100</v>
      </c>
      <c r="C275" s="706">
        <v>650</v>
      </c>
      <c r="D275" s="714">
        <v>700</v>
      </c>
      <c r="E275" s="714">
        <v>25</v>
      </c>
      <c r="F275" s="714"/>
      <c r="G275" s="652" t="s">
        <v>850</v>
      </c>
      <c r="H275" s="606">
        <v>0</v>
      </c>
      <c r="I275" s="606">
        <v>0</v>
      </c>
      <c r="J275" s="606"/>
    </row>
    <row r="276" spans="1:10" s="285" customFormat="1" ht="27.6">
      <c r="A276" s="696">
        <v>305</v>
      </c>
      <c r="B276" s="726">
        <v>100</v>
      </c>
      <c r="C276" s="706">
        <v>650</v>
      </c>
      <c r="D276" s="714">
        <v>700</v>
      </c>
      <c r="E276" s="714">
        <v>30</v>
      </c>
      <c r="F276" s="714"/>
      <c r="G276" s="652" t="s">
        <v>851</v>
      </c>
      <c r="H276" s="606">
        <v>0</v>
      </c>
      <c r="I276" s="606">
        <v>0</v>
      </c>
      <c r="J276" s="606"/>
    </row>
    <row r="277" spans="1:10" s="285" customFormat="1" ht="27.6">
      <c r="A277" s="696">
        <v>305</v>
      </c>
      <c r="B277" s="726">
        <v>100</v>
      </c>
      <c r="C277" s="706">
        <v>650</v>
      </c>
      <c r="D277" s="714">
        <v>700</v>
      </c>
      <c r="E277" s="714">
        <v>35</v>
      </c>
      <c r="F277" s="714"/>
      <c r="G277" s="652" t="s">
        <v>852</v>
      </c>
      <c r="H277" s="606">
        <v>0</v>
      </c>
      <c r="I277" s="606">
        <v>0</v>
      </c>
      <c r="J277" s="606"/>
    </row>
    <row r="278" spans="1:10" s="285" customFormat="1" ht="27.6">
      <c r="A278" s="696">
        <v>305</v>
      </c>
      <c r="B278" s="726">
        <v>100</v>
      </c>
      <c r="C278" s="706">
        <v>650</v>
      </c>
      <c r="D278" s="714">
        <v>700</v>
      </c>
      <c r="E278" s="714">
        <v>40</v>
      </c>
      <c r="F278" s="714"/>
      <c r="G278" s="652" t="s">
        <v>844</v>
      </c>
      <c r="H278" s="606">
        <v>0</v>
      </c>
      <c r="I278" s="606">
        <v>0</v>
      </c>
      <c r="J278" s="606"/>
    </row>
    <row r="279" spans="1:10" s="285" customFormat="1" ht="27.6">
      <c r="A279" s="696">
        <v>305</v>
      </c>
      <c r="B279" s="726">
        <v>100</v>
      </c>
      <c r="C279" s="706">
        <v>650</v>
      </c>
      <c r="D279" s="714">
        <v>700</v>
      </c>
      <c r="E279" s="714">
        <v>90</v>
      </c>
      <c r="F279" s="714"/>
      <c r="G279" s="652" t="s">
        <v>841</v>
      </c>
      <c r="H279" s="606">
        <v>0</v>
      </c>
      <c r="I279" s="606">
        <v>0</v>
      </c>
      <c r="J279" s="606"/>
    </row>
    <row r="280" spans="1:10" s="285" customFormat="1">
      <c r="A280" s="696">
        <v>305</v>
      </c>
      <c r="B280" s="726">
        <v>100</v>
      </c>
      <c r="C280" s="706">
        <v>700</v>
      </c>
      <c r="D280" s="714"/>
      <c r="E280" s="714"/>
      <c r="F280" s="714"/>
      <c r="G280" s="638" t="s">
        <v>857</v>
      </c>
      <c r="H280" s="607">
        <v>0</v>
      </c>
      <c r="I280" s="607">
        <v>0</v>
      </c>
      <c r="J280" s="607" t="s">
        <v>858</v>
      </c>
    </row>
    <row r="281" spans="1:10" s="285" customFormat="1">
      <c r="A281" s="696">
        <v>305</v>
      </c>
      <c r="B281" s="726">
        <v>100</v>
      </c>
      <c r="C281" s="706">
        <v>700</v>
      </c>
      <c r="D281" s="714">
        <v>100</v>
      </c>
      <c r="E281" s="714"/>
      <c r="F281" s="714"/>
      <c r="G281" s="652" t="s">
        <v>859</v>
      </c>
      <c r="H281" s="606">
        <v>0</v>
      </c>
      <c r="I281" s="606">
        <v>0</v>
      </c>
      <c r="J281" s="606" t="s">
        <v>860</v>
      </c>
    </row>
    <row r="282" spans="1:10" s="285" customFormat="1">
      <c r="A282" s="696">
        <v>305</v>
      </c>
      <c r="B282" s="726">
        <v>100</v>
      </c>
      <c r="C282" s="706">
        <v>700</v>
      </c>
      <c r="D282" s="714">
        <v>200</v>
      </c>
      <c r="E282" s="714"/>
      <c r="F282" s="714"/>
      <c r="G282" s="652" t="s">
        <v>861</v>
      </c>
      <c r="H282" s="606">
        <v>0</v>
      </c>
      <c r="I282" s="606">
        <v>0</v>
      </c>
      <c r="J282" s="606" t="s">
        <v>862</v>
      </c>
    </row>
    <row r="283" spans="1:10" s="285" customFormat="1" ht="27.6">
      <c r="A283" s="696">
        <v>305</v>
      </c>
      <c r="B283" s="726">
        <v>100</v>
      </c>
      <c r="C283" s="706">
        <v>700</v>
      </c>
      <c r="D283" s="714">
        <v>300</v>
      </c>
      <c r="E283" s="714"/>
      <c r="F283" s="714"/>
      <c r="G283" s="652" t="s">
        <v>863</v>
      </c>
      <c r="H283" s="606">
        <v>0</v>
      </c>
      <c r="I283" s="606">
        <v>0</v>
      </c>
      <c r="J283" s="606" t="s">
        <v>864</v>
      </c>
    </row>
    <row r="284" spans="1:10" s="285" customFormat="1">
      <c r="A284" s="696">
        <v>305</v>
      </c>
      <c r="B284" s="726">
        <v>100</v>
      </c>
      <c r="C284" s="706">
        <v>700</v>
      </c>
      <c r="D284" s="714">
        <v>400</v>
      </c>
      <c r="E284" s="714"/>
      <c r="F284" s="714"/>
      <c r="G284" s="652" t="s">
        <v>865</v>
      </c>
      <c r="H284" s="606">
        <v>0</v>
      </c>
      <c r="I284" s="606">
        <v>0</v>
      </c>
      <c r="J284" s="606" t="s">
        <v>866</v>
      </c>
    </row>
    <row r="285" spans="1:10" s="285" customFormat="1">
      <c r="A285" s="696">
        <v>305</v>
      </c>
      <c r="B285" s="726">
        <v>100</v>
      </c>
      <c r="C285" s="706">
        <v>700</v>
      </c>
      <c r="D285" s="714">
        <v>500</v>
      </c>
      <c r="E285" s="714"/>
      <c r="F285" s="714"/>
      <c r="G285" s="676" t="s">
        <v>867</v>
      </c>
      <c r="H285" s="609">
        <v>0</v>
      </c>
      <c r="I285" s="609">
        <v>0</v>
      </c>
      <c r="J285" s="609" t="s">
        <v>868</v>
      </c>
    </row>
    <row r="286" spans="1:10" s="285" customFormat="1">
      <c r="A286" s="696">
        <v>305</v>
      </c>
      <c r="B286" s="726">
        <v>100</v>
      </c>
      <c r="C286" s="706">
        <v>700</v>
      </c>
      <c r="D286" s="714">
        <v>500</v>
      </c>
      <c r="E286" s="714">
        <v>5</v>
      </c>
      <c r="F286" s="714"/>
      <c r="G286" s="652" t="s">
        <v>869</v>
      </c>
      <c r="H286" s="606">
        <v>0</v>
      </c>
      <c r="I286" s="606">
        <v>0</v>
      </c>
      <c r="J286" s="606"/>
    </row>
    <row r="287" spans="1:10" s="285" customFormat="1">
      <c r="A287" s="696">
        <v>305</v>
      </c>
      <c r="B287" s="726">
        <v>100</v>
      </c>
      <c r="C287" s="706">
        <v>700</v>
      </c>
      <c r="D287" s="714">
        <v>500</v>
      </c>
      <c r="E287" s="714">
        <v>10</v>
      </c>
      <c r="F287" s="714"/>
      <c r="G287" s="652" t="s">
        <v>870</v>
      </c>
      <c r="H287" s="606">
        <v>0</v>
      </c>
      <c r="I287" s="606">
        <v>0</v>
      </c>
      <c r="J287" s="606"/>
    </row>
    <row r="288" spans="1:10" s="285" customFormat="1">
      <c r="A288" s="696">
        <v>305</v>
      </c>
      <c r="B288" s="726">
        <v>100</v>
      </c>
      <c r="C288" s="706">
        <v>700</v>
      </c>
      <c r="D288" s="714">
        <v>500</v>
      </c>
      <c r="E288" s="714">
        <v>15</v>
      </c>
      <c r="F288" s="714"/>
      <c r="G288" s="652" t="s">
        <v>871</v>
      </c>
      <c r="H288" s="606">
        <v>0</v>
      </c>
      <c r="I288" s="606">
        <v>0</v>
      </c>
      <c r="J288" s="606"/>
    </row>
    <row r="289" spans="1:10" s="285" customFormat="1">
      <c r="A289" s="696">
        <v>305</v>
      </c>
      <c r="B289" s="726">
        <v>100</v>
      </c>
      <c r="C289" s="706">
        <v>700</v>
      </c>
      <c r="D289" s="714">
        <v>500</v>
      </c>
      <c r="E289" s="714">
        <v>20</v>
      </c>
      <c r="F289" s="714"/>
      <c r="G289" s="652" t="s">
        <v>872</v>
      </c>
      <c r="H289" s="606">
        <v>0</v>
      </c>
      <c r="I289" s="606">
        <v>0</v>
      </c>
      <c r="J289" s="606"/>
    </row>
    <row r="290" spans="1:10" s="285" customFormat="1">
      <c r="A290" s="696">
        <v>305</v>
      </c>
      <c r="B290" s="726">
        <v>100</v>
      </c>
      <c r="C290" s="706">
        <v>700</v>
      </c>
      <c r="D290" s="714">
        <v>500</v>
      </c>
      <c r="E290" s="714">
        <v>25</v>
      </c>
      <c r="F290" s="714"/>
      <c r="G290" s="652" t="s">
        <v>873</v>
      </c>
      <c r="H290" s="606">
        <v>0</v>
      </c>
      <c r="I290" s="606">
        <v>0</v>
      </c>
      <c r="J290" s="606"/>
    </row>
    <row r="291" spans="1:10" s="285" customFormat="1">
      <c r="A291" s="696">
        <v>305</v>
      </c>
      <c r="B291" s="726">
        <v>100</v>
      </c>
      <c r="C291" s="706">
        <v>700</v>
      </c>
      <c r="D291" s="714">
        <v>500</v>
      </c>
      <c r="E291" s="714">
        <v>30</v>
      </c>
      <c r="F291" s="714"/>
      <c r="G291" s="652" t="s">
        <v>874</v>
      </c>
      <c r="H291" s="606">
        <v>0</v>
      </c>
      <c r="I291" s="606">
        <v>0</v>
      </c>
      <c r="J291" s="606"/>
    </row>
    <row r="292" spans="1:10" s="285" customFormat="1">
      <c r="A292" s="696">
        <v>305</v>
      </c>
      <c r="B292" s="726">
        <v>100</v>
      </c>
      <c r="C292" s="706">
        <v>700</v>
      </c>
      <c r="D292" s="714">
        <v>500</v>
      </c>
      <c r="E292" s="714">
        <v>35</v>
      </c>
      <c r="F292" s="714"/>
      <c r="G292" s="652" t="s">
        <v>875</v>
      </c>
      <c r="H292" s="606">
        <v>1474562.9</v>
      </c>
      <c r="I292" s="606">
        <v>210455</v>
      </c>
      <c r="J292" s="606"/>
    </row>
    <row r="293" spans="1:10" s="285" customFormat="1">
      <c r="A293" s="696">
        <v>305</v>
      </c>
      <c r="B293" s="726">
        <v>100</v>
      </c>
      <c r="C293" s="706">
        <v>700</v>
      </c>
      <c r="D293" s="714">
        <v>500</v>
      </c>
      <c r="E293" s="714">
        <v>40</v>
      </c>
      <c r="F293" s="714"/>
      <c r="G293" s="652" t="s">
        <v>876</v>
      </c>
      <c r="H293" s="606">
        <v>0</v>
      </c>
      <c r="I293" s="606">
        <v>0</v>
      </c>
      <c r="J293" s="606"/>
    </row>
    <row r="294" spans="1:10" s="285" customFormat="1">
      <c r="A294" s="696">
        <v>305</v>
      </c>
      <c r="B294" s="726">
        <v>100</v>
      </c>
      <c r="C294" s="706">
        <v>700</v>
      </c>
      <c r="D294" s="714">
        <v>500</v>
      </c>
      <c r="E294" s="714">
        <v>45</v>
      </c>
      <c r="F294" s="714"/>
      <c r="G294" s="652" t="s">
        <v>877</v>
      </c>
      <c r="H294" s="606">
        <v>0</v>
      </c>
      <c r="I294" s="606">
        <v>0</v>
      </c>
      <c r="J294" s="606"/>
    </row>
    <row r="295" spans="1:10" s="285" customFormat="1">
      <c r="A295" s="696">
        <v>305</v>
      </c>
      <c r="B295" s="726">
        <v>100</v>
      </c>
      <c r="C295" s="706">
        <v>700</v>
      </c>
      <c r="D295" s="714">
        <v>500</v>
      </c>
      <c r="E295" s="714">
        <v>90</v>
      </c>
      <c r="F295" s="714"/>
      <c r="G295" s="652" t="s">
        <v>867</v>
      </c>
      <c r="H295" s="606">
        <v>24000</v>
      </c>
      <c r="I295" s="606">
        <v>35110</v>
      </c>
      <c r="J295" s="606"/>
    </row>
    <row r="296" spans="1:10" s="285" customFormat="1" ht="27.6">
      <c r="A296" s="696">
        <v>305</v>
      </c>
      <c r="B296" s="726">
        <v>100</v>
      </c>
      <c r="C296" s="706">
        <v>700</v>
      </c>
      <c r="D296" s="714">
        <v>600</v>
      </c>
      <c r="E296" s="714"/>
      <c r="F296" s="714"/>
      <c r="G296" s="638" t="s">
        <v>878</v>
      </c>
      <c r="H296" s="610">
        <v>0</v>
      </c>
      <c r="I296" s="610">
        <v>0</v>
      </c>
      <c r="J296" s="610" t="s">
        <v>879</v>
      </c>
    </row>
    <row r="297" spans="1:10" s="285" customFormat="1" ht="27.6">
      <c r="A297" s="696">
        <v>305</v>
      </c>
      <c r="B297" s="726">
        <v>100</v>
      </c>
      <c r="C297" s="706">
        <v>700</v>
      </c>
      <c r="D297" s="714">
        <v>600</v>
      </c>
      <c r="E297" s="714">
        <v>10</v>
      </c>
      <c r="F297" s="714"/>
      <c r="G297" s="652" t="s">
        <v>880</v>
      </c>
      <c r="H297" s="606">
        <v>0</v>
      </c>
      <c r="I297" s="606">
        <v>0</v>
      </c>
      <c r="J297" s="606"/>
    </row>
    <row r="298" spans="1:10" s="285" customFormat="1" ht="27.6">
      <c r="A298" s="696">
        <v>305</v>
      </c>
      <c r="B298" s="726">
        <v>100</v>
      </c>
      <c r="C298" s="706">
        <v>700</v>
      </c>
      <c r="D298" s="714">
        <v>600</v>
      </c>
      <c r="E298" s="714">
        <v>90</v>
      </c>
      <c r="F298" s="714"/>
      <c r="G298" s="652" t="s">
        <v>881</v>
      </c>
      <c r="H298" s="606">
        <v>1099394.93</v>
      </c>
      <c r="I298" s="606">
        <v>1071642</v>
      </c>
      <c r="J298" s="606"/>
    </row>
    <row r="299" spans="1:10" s="285" customFormat="1">
      <c r="A299" s="696">
        <v>305</v>
      </c>
      <c r="B299" s="726">
        <v>100</v>
      </c>
      <c r="C299" s="706">
        <v>700</v>
      </c>
      <c r="D299" s="714">
        <v>700</v>
      </c>
      <c r="E299" s="714"/>
      <c r="F299" s="714"/>
      <c r="G299" s="203" t="s">
        <v>882</v>
      </c>
      <c r="H299" s="608">
        <v>0</v>
      </c>
      <c r="I299" s="608">
        <v>0</v>
      </c>
      <c r="J299" s="608" t="s">
        <v>883</v>
      </c>
    </row>
    <row r="300" spans="1:10" s="285" customFormat="1" ht="27.6">
      <c r="A300" s="696">
        <v>305</v>
      </c>
      <c r="B300" s="726">
        <v>100</v>
      </c>
      <c r="C300" s="706">
        <v>750</v>
      </c>
      <c r="D300" s="714"/>
      <c r="E300" s="714"/>
      <c r="F300" s="714"/>
      <c r="G300" s="638" t="s">
        <v>884</v>
      </c>
      <c r="H300" s="607">
        <v>0</v>
      </c>
      <c r="I300" s="607">
        <v>0</v>
      </c>
      <c r="J300" s="607" t="s">
        <v>885</v>
      </c>
    </row>
    <row r="301" spans="1:10" s="285" customFormat="1" ht="27.6">
      <c r="A301" s="696">
        <v>305</v>
      </c>
      <c r="B301" s="726">
        <v>100</v>
      </c>
      <c r="C301" s="706">
        <v>750</v>
      </c>
      <c r="D301" s="714">
        <v>100</v>
      </c>
      <c r="E301" s="714"/>
      <c r="F301" s="714"/>
      <c r="G301" s="652" t="s">
        <v>886</v>
      </c>
      <c r="H301" s="606">
        <v>103638.6</v>
      </c>
      <c r="I301" s="606">
        <v>91583</v>
      </c>
      <c r="J301" s="606" t="s">
        <v>887</v>
      </c>
    </row>
    <row r="302" spans="1:10" s="285" customFormat="1" ht="27.6">
      <c r="A302" s="696">
        <v>305</v>
      </c>
      <c r="B302" s="726">
        <v>100</v>
      </c>
      <c r="C302" s="706">
        <v>750</v>
      </c>
      <c r="D302" s="714">
        <v>200</v>
      </c>
      <c r="E302" s="714"/>
      <c r="F302" s="714"/>
      <c r="G302" s="652" t="s">
        <v>888</v>
      </c>
      <c r="H302" s="606">
        <v>3405.47</v>
      </c>
      <c r="I302" s="606">
        <v>14228</v>
      </c>
      <c r="J302" s="606" t="s">
        <v>889</v>
      </c>
    </row>
    <row r="303" spans="1:10" s="285" customFormat="1" ht="27.6">
      <c r="A303" s="696">
        <v>305</v>
      </c>
      <c r="B303" s="726">
        <v>100</v>
      </c>
      <c r="C303" s="706">
        <v>750</v>
      </c>
      <c r="D303" s="714">
        <v>300</v>
      </c>
      <c r="E303" s="714"/>
      <c r="F303" s="714"/>
      <c r="G303" s="638" t="s">
        <v>890</v>
      </c>
      <c r="H303" s="607">
        <v>0</v>
      </c>
      <c r="I303" s="607">
        <v>0</v>
      </c>
      <c r="J303" s="607" t="s">
        <v>891</v>
      </c>
    </row>
    <row r="304" spans="1:10" s="285" customFormat="1" ht="27.6">
      <c r="A304" s="696">
        <v>305</v>
      </c>
      <c r="B304" s="726">
        <v>100</v>
      </c>
      <c r="C304" s="706">
        <v>750</v>
      </c>
      <c r="D304" s="714">
        <v>300</v>
      </c>
      <c r="E304" s="714">
        <v>10</v>
      </c>
      <c r="F304" s="714"/>
      <c r="G304" s="652" t="s">
        <v>892</v>
      </c>
      <c r="H304" s="606">
        <v>13250.67</v>
      </c>
      <c r="I304" s="606">
        <v>288461</v>
      </c>
      <c r="J304" s="606" t="s">
        <v>893</v>
      </c>
    </row>
    <row r="305" spans="1:10" s="285" customFormat="1">
      <c r="A305" s="696">
        <v>305</v>
      </c>
      <c r="B305" s="726">
        <v>100</v>
      </c>
      <c r="C305" s="706">
        <v>750</v>
      </c>
      <c r="D305" s="714">
        <v>300</v>
      </c>
      <c r="E305" s="714">
        <v>20</v>
      </c>
      <c r="F305" s="714"/>
      <c r="G305" s="638" t="s">
        <v>894</v>
      </c>
      <c r="H305" s="607">
        <v>0</v>
      </c>
      <c r="I305" s="607">
        <v>0</v>
      </c>
      <c r="J305" s="607" t="s">
        <v>895</v>
      </c>
    </row>
    <row r="306" spans="1:10" s="285" customFormat="1" ht="27.6">
      <c r="A306" s="696">
        <v>305</v>
      </c>
      <c r="B306" s="726">
        <v>100</v>
      </c>
      <c r="C306" s="706">
        <v>750</v>
      </c>
      <c r="D306" s="714">
        <v>300</v>
      </c>
      <c r="E306" s="714">
        <v>20</v>
      </c>
      <c r="F306" s="714">
        <v>5</v>
      </c>
      <c r="G306" s="652" t="s">
        <v>896</v>
      </c>
      <c r="H306" s="606">
        <v>6455</v>
      </c>
      <c r="I306" s="606">
        <v>0</v>
      </c>
      <c r="J306" s="606"/>
    </row>
    <row r="307" spans="1:10" s="285" customFormat="1">
      <c r="A307" s="696">
        <v>305</v>
      </c>
      <c r="B307" s="726">
        <v>100</v>
      </c>
      <c r="C307" s="706">
        <v>750</v>
      </c>
      <c r="D307" s="714">
        <v>300</v>
      </c>
      <c r="E307" s="714">
        <v>20</v>
      </c>
      <c r="F307" s="714">
        <v>10</v>
      </c>
      <c r="G307" s="652" t="s">
        <v>897</v>
      </c>
      <c r="H307" s="606">
        <v>90461.54</v>
      </c>
      <c r="I307" s="606">
        <v>99997</v>
      </c>
      <c r="J307" s="606"/>
    </row>
    <row r="308" spans="1:10" s="285" customFormat="1" ht="27.6">
      <c r="A308" s="696">
        <v>305</v>
      </c>
      <c r="B308" s="726">
        <v>100</v>
      </c>
      <c r="C308" s="706">
        <v>750</v>
      </c>
      <c r="D308" s="714">
        <v>300</v>
      </c>
      <c r="E308" s="714">
        <v>20</v>
      </c>
      <c r="F308" s="714">
        <v>15</v>
      </c>
      <c r="G308" s="652" t="s">
        <v>898</v>
      </c>
      <c r="H308" s="606">
        <v>0</v>
      </c>
      <c r="I308" s="606">
        <v>0</v>
      </c>
      <c r="J308" s="606"/>
    </row>
    <row r="309" spans="1:10" s="285" customFormat="1" ht="27.6">
      <c r="A309" s="696">
        <v>305</v>
      </c>
      <c r="B309" s="726">
        <v>100</v>
      </c>
      <c r="C309" s="706">
        <v>750</v>
      </c>
      <c r="D309" s="714">
        <v>300</v>
      </c>
      <c r="E309" s="714">
        <v>30</v>
      </c>
      <c r="F309" s="714"/>
      <c r="G309" s="638" t="s">
        <v>899</v>
      </c>
      <c r="H309" s="607">
        <v>0</v>
      </c>
      <c r="I309" s="607">
        <v>0</v>
      </c>
      <c r="J309" s="607" t="s">
        <v>900</v>
      </c>
    </row>
    <row r="310" spans="1:10" s="285" customFormat="1" ht="27.6">
      <c r="A310" s="696">
        <v>305</v>
      </c>
      <c r="B310" s="726">
        <v>100</v>
      </c>
      <c r="C310" s="706">
        <v>750</v>
      </c>
      <c r="D310" s="714">
        <v>300</v>
      </c>
      <c r="E310" s="714">
        <v>30</v>
      </c>
      <c r="F310" s="714">
        <v>5</v>
      </c>
      <c r="G310" s="652" t="s">
        <v>901</v>
      </c>
      <c r="H310" s="606">
        <v>14400.02</v>
      </c>
      <c r="I310" s="606">
        <v>0</v>
      </c>
      <c r="J310" s="606"/>
    </row>
    <row r="311" spans="1:10" s="285" customFormat="1">
      <c r="A311" s="696">
        <v>305</v>
      </c>
      <c r="B311" s="726">
        <v>100</v>
      </c>
      <c r="C311" s="706">
        <v>750</v>
      </c>
      <c r="D311" s="714">
        <v>300</v>
      </c>
      <c r="E311" s="714">
        <v>30</v>
      </c>
      <c r="F311" s="714">
        <v>10</v>
      </c>
      <c r="G311" s="652" t="s">
        <v>902</v>
      </c>
      <c r="H311" s="606">
        <v>140757.79999999999</v>
      </c>
      <c r="I311" s="606">
        <v>23334</v>
      </c>
      <c r="J311" s="606"/>
    </row>
    <row r="312" spans="1:10" s="285" customFormat="1">
      <c r="A312" s="696">
        <v>305</v>
      </c>
      <c r="B312" s="726">
        <v>100</v>
      </c>
      <c r="C312" s="706">
        <v>750</v>
      </c>
      <c r="D312" s="714">
        <v>300</v>
      </c>
      <c r="E312" s="714">
        <v>30</v>
      </c>
      <c r="F312" s="714">
        <v>15</v>
      </c>
      <c r="G312" s="652" t="s">
        <v>903</v>
      </c>
      <c r="H312" s="606">
        <v>467722.57</v>
      </c>
      <c r="I312" s="606">
        <v>1227157</v>
      </c>
      <c r="J312" s="606"/>
    </row>
    <row r="313" spans="1:10" s="285" customFormat="1">
      <c r="A313" s="696">
        <v>305</v>
      </c>
      <c r="B313" s="726">
        <v>100</v>
      </c>
      <c r="C313" s="706">
        <v>750</v>
      </c>
      <c r="D313" s="714">
        <v>300</v>
      </c>
      <c r="E313" s="714">
        <v>30</v>
      </c>
      <c r="F313" s="714">
        <v>20</v>
      </c>
      <c r="G313" s="652" t="s">
        <v>904</v>
      </c>
      <c r="H313" s="606">
        <v>295930.14</v>
      </c>
      <c r="I313" s="606">
        <v>420869</v>
      </c>
      <c r="J313" s="606"/>
    </row>
    <row r="314" spans="1:10" s="285" customFormat="1">
      <c r="A314" s="696">
        <v>305</v>
      </c>
      <c r="B314" s="726">
        <v>100</v>
      </c>
      <c r="C314" s="706">
        <v>750</v>
      </c>
      <c r="D314" s="714">
        <v>300</v>
      </c>
      <c r="E314" s="714">
        <v>40</v>
      </c>
      <c r="F314" s="714"/>
      <c r="G314" s="638" t="s">
        <v>905</v>
      </c>
      <c r="H314" s="607">
        <v>0</v>
      </c>
      <c r="I314" s="607">
        <v>0</v>
      </c>
      <c r="J314" s="607" t="s">
        <v>906</v>
      </c>
    </row>
    <row r="315" spans="1:10" s="285" customFormat="1">
      <c r="A315" s="696">
        <v>305</v>
      </c>
      <c r="B315" s="726">
        <v>100</v>
      </c>
      <c r="C315" s="706">
        <v>750</v>
      </c>
      <c r="D315" s="714">
        <v>300</v>
      </c>
      <c r="E315" s="714">
        <v>40</v>
      </c>
      <c r="F315" s="714">
        <v>5</v>
      </c>
      <c r="G315" s="652" t="s">
        <v>907</v>
      </c>
      <c r="H315" s="606">
        <v>552378.77</v>
      </c>
      <c r="I315" s="606">
        <v>476784</v>
      </c>
      <c r="J315" s="606"/>
    </row>
    <row r="316" spans="1:10" s="285" customFormat="1">
      <c r="A316" s="696">
        <v>305</v>
      </c>
      <c r="B316" s="726">
        <v>100</v>
      </c>
      <c r="C316" s="706">
        <v>750</v>
      </c>
      <c r="D316" s="714">
        <v>300</v>
      </c>
      <c r="E316" s="714">
        <v>40</v>
      </c>
      <c r="F316" s="714">
        <v>10</v>
      </c>
      <c r="G316" s="652" t="s">
        <v>637</v>
      </c>
      <c r="H316" s="606">
        <v>231909.95</v>
      </c>
      <c r="I316" s="606">
        <v>191237</v>
      </c>
      <c r="J316" s="606"/>
    </row>
    <row r="317" spans="1:10" s="681" customFormat="1">
      <c r="A317" s="696">
        <v>305</v>
      </c>
      <c r="B317" s="726">
        <v>100</v>
      </c>
      <c r="C317" s="706">
        <v>750</v>
      </c>
      <c r="D317" s="714">
        <v>300</v>
      </c>
      <c r="E317" s="714">
        <v>50</v>
      </c>
      <c r="F317" s="714"/>
      <c r="G317" s="652" t="s">
        <v>908</v>
      </c>
      <c r="H317" s="606">
        <v>675533.79</v>
      </c>
      <c r="I317" s="606">
        <v>260224</v>
      </c>
      <c r="J317" s="606" t="s">
        <v>909</v>
      </c>
    </row>
    <row r="318" spans="1:10" s="285" customFormat="1">
      <c r="A318" s="696">
        <v>305</v>
      </c>
      <c r="B318" s="726">
        <v>100</v>
      </c>
      <c r="C318" s="706">
        <v>750</v>
      </c>
      <c r="D318" s="714">
        <v>300</v>
      </c>
      <c r="E318" s="714">
        <v>60</v>
      </c>
      <c r="F318" s="714"/>
      <c r="G318" s="638" t="s">
        <v>910</v>
      </c>
      <c r="H318" s="607">
        <v>0</v>
      </c>
      <c r="I318" s="607">
        <v>0</v>
      </c>
      <c r="J318" s="607" t="s">
        <v>911</v>
      </c>
    </row>
    <row r="319" spans="1:10" s="285" customFormat="1">
      <c r="A319" s="696">
        <v>305</v>
      </c>
      <c r="B319" s="726">
        <v>100</v>
      </c>
      <c r="C319" s="706">
        <v>750</v>
      </c>
      <c r="D319" s="714">
        <v>300</v>
      </c>
      <c r="E319" s="714">
        <v>60</v>
      </c>
      <c r="F319" s="714">
        <v>5</v>
      </c>
      <c r="G319" s="652" t="s">
        <v>912</v>
      </c>
      <c r="H319" s="606">
        <v>0</v>
      </c>
      <c r="I319" s="606">
        <v>0</v>
      </c>
      <c r="J319" s="606"/>
    </row>
    <row r="320" spans="1:10" s="285" customFormat="1">
      <c r="A320" s="696">
        <v>305</v>
      </c>
      <c r="B320" s="726">
        <v>100</v>
      </c>
      <c r="C320" s="706">
        <v>750</v>
      </c>
      <c r="D320" s="714">
        <v>300</v>
      </c>
      <c r="E320" s="714">
        <v>60</v>
      </c>
      <c r="F320" s="714">
        <v>10</v>
      </c>
      <c r="G320" s="652" t="s">
        <v>913</v>
      </c>
      <c r="H320" s="606">
        <v>7373.86</v>
      </c>
      <c r="I320" s="606">
        <v>0</v>
      </c>
      <c r="J320" s="606"/>
    </row>
    <row r="321" spans="1:10" s="285" customFormat="1">
      <c r="A321" s="696">
        <v>305</v>
      </c>
      <c r="B321" s="726">
        <v>100</v>
      </c>
      <c r="C321" s="706">
        <v>750</v>
      </c>
      <c r="D321" s="714">
        <v>300</v>
      </c>
      <c r="E321" s="714">
        <v>60</v>
      </c>
      <c r="F321" s="714">
        <v>15</v>
      </c>
      <c r="G321" s="652" t="s">
        <v>914</v>
      </c>
      <c r="H321" s="606">
        <v>412811.59</v>
      </c>
      <c r="I321" s="606">
        <v>124843</v>
      </c>
      <c r="J321" s="606"/>
    </row>
    <row r="322" spans="1:10" s="285" customFormat="1">
      <c r="A322" s="696">
        <v>305</v>
      </c>
      <c r="B322" s="726">
        <v>100</v>
      </c>
      <c r="C322" s="706">
        <v>750</v>
      </c>
      <c r="D322" s="714">
        <v>300</v>
      </c>
      <c r="E322" s="714">
        <v>60</v>
      </c>
      <c r="F322" s="714">
        <v>20</v>
      </c>
      <c r="G322" s="652" t="s">
        <v>915</v>
      </c>
      <c r="H322" s="606">
        <v>240133.79</v>
      </c>
      <c r="I322" s="606">
        <v>47188</v>
      </c>
      <c r="J322" s="606"/>
    </row>
    <row r="323" spans="1:10" s="285" customFormat="1">
      <c r="A323" s="696">
        <v>305</v>
      </c>
      <c r="B323" s="726">
        <v>100</v>
      </c>
      <c r="C323" s="706">
        <v>750</v>
      </c>
      <c r="D323" s="714">
        <v>300</v>
      </c>
      <c r="E323" s="714">
        <v>60</v>
      </c>
      <c r="F323" s="714">
        <v>25</v>
      </c>
      <c r="G323" s="652" t="s">
        <v>916</v>
      </c>
      <c r="H323" s="606">
        <v>4222.3</v>
      </c>
      <c r="I323" s="606">
        <v>5058</v>
      </c>
      <c r="J323" s="606"/>
    </row>
    <row r="324" spans="1:10" s="285" customFormat="1">
      <c r="A324" s="696">
        <v>305</v>
      </c>
      <c r="B324" s="726">
        <v>100</v>
      </c>
      <c r="C324" s="706">
        <v>750</v>
      </c>
      <c r="D324" s="714">
        <v>300</v>
      </c>
      <c r="E324" s="714">
        <v>60</v>
      </c>
      <c r="F324" s="714">
        <v>30</v>
      </c>
      <c r="G324" s="652" t="s">
        <v>917</v>
      </c>
      <c r="H324" s="606">
        <v>71583.55</v>
      </c>
      <c r="I324" s="606">
        <v>64202</v>
      </c>
      <c r="J324" s="606"/>
    </row>
    <row r="325" spans="1:10" s="285" customFormat="1">
      <c r="A325" s="696">
        <v>305</v>
      </c>
      <c r="B325" s="726">
        <v>100</v>
      </c>
      <c r="C325" s="706">
        <v>750</v>
      </c>
      <c r="D325" s="714">
        <v>300</v>
      </c>
      <c r="E325" s="714">
        <v>60</v>
      </c>
      <c r="F325" s="714">
        <v>35</v>
      </c>
      <c r="G325" s="652" t="s">
        <v>918</v>
      </c>
      <c r="H325" s="606">
        <v>0</v>
      </c>
      <c r="I325" s="606">
        <v>0</v>
      </c>
      <c r="J325" s="606"/>
    </row>
    <row r="326" spans="1:10" s="285" customFormat="1">
      <c r="A326" s="696">
        <v>305</v>
      </c>
      <c r="B326" s="726">
        <v>100</v>
      </c>
      <c r="C326" s="706">
        <v>750</v>
      </c>
      <c r="D326" s="714">
        <v>300</v>
      </c>
      <c r="E326" s="714">
        <v>60</v>
      </c>
      <c r="F326" s="714">
        <v>40</v>
      </c>
      <c r="G326" s="652" t="s">
        <v>919</v>
      </c>
      <c r="H326" s="606">
        <v>0</v>
      </c>
      <c r="I326" s="606">
        <v>0</v>
      </c>
      <c r="J326" s="606"/>
    </row>
    <row r="327" spans="1:10" s="285" customFormat="1" ht="27.6">
      <c r="A327" s="696">
        <v>305</v>
      </c>
      <c r="B327" s="726">
        <v>100</v>
      </c>
      <c r="C327" s="706">
        <v>750</v>
      </c>
      <c r="D327" s="714">
        <v>300</v>
      </c>
      <c r="E327" s="714">
        <v>60</v>
      </c>
      <c r="F327" s="714">
        <v>90</v>
      </c>
      <c r="G327" s="652" t="s">
        <v>920</v>
      </c>
      <c r="H327" s="606">
        <v>19087.810000000001</v>
      </c>
      <c r="I327" s="606">
        <v>27433</v>
      </c>
      <c r="J327" s="606"/>
    </row>
    <row r="328" spans="1:10" s="285" customFormat="1" ht="27.6">
      <c r="A328" s="696">
        <v>305</v>
      </c>
      <c r="B328" s="726">
        <v>100</v>
      </c>
      <c r="C328" s="706">
        <v>750</v>
      </c>
      <c r="D328" s="714">
        <v>400</v>
      </c>
      <c r="E328" s="714"/>
      <c r="F328" s="714"/>
      <c r="G328" s="638" t="s">
        <v>921</v>
      </c>
      <c r="H328" s="607">
        <v>0</v>
      </c>
      <c r="I328" s="607">
        <v>0</v>
      </c>
      <c r="J328" s="607" t="s">
        <v>922</v>
      </c>
    </row>
    <row r="329" spans="1:10" s="285" customFormat="1" ht="27.6">
      <c r="A329" s="696">
        <v>305</v>
      </c>
      <c r="B329" s="726">
        <v>100</v>
      </c>
      <c r="C329" s="706">
        <v>750</v>
      </c>
      <c r="D329" s="714">
        <v>400</v>
      </c>
      <c r="E329" s="714">
        <v>10</v>
      </c>
      <c r="F329" s="714"/>
      <c r="G329" s="652" t="s">
        <v>923</v>
      </c>
      <c r="H329" s="606">
        <v>3440.15</v>
      </c>
      <c r="I329" s="606">
        <v>0</v>
      </c>
      <c r="J329" s="606" t="s">
        <v>924</v>
      </c>
    </row>
    <row r="330" spans="1:10" s="285" customFormat="1" ht="27.6">
      <c r="A330" s="696">
        <v>305</v>
      </c>
      <c r="B330" s="726">
        <v>100</v>
      </c>
      <c r="C330" s="706">
        <v>750</v>
      </c>
      <c r="D330" s="714">
        <v>400</v>
      </c>
      <c r="E330" s="714">
        <v>20</v>
      </c>
      <c r="F330" s="714"/>
      <c r="G330" s="652" t="s">
        <v>925</v>
      </c>
      <c r="H330" s="606">
        <v>0</v>
      </c>
      <c r="I330" s="606">
        <v>0</v>
      </c>
      <c r="J330" s="606" t="s">
        <v>926</v>
      </c>
    </row>
    <row r="331" spans="1:10" s="285" customFormat="1" ht="27.6">
      <c r="A331" s="696">
        <v>305</v>
      </c>
      <c r="B331" s="726">
        <v>100</v>
      </c>
      <c r="C331" s="706">
        <v>750</v>
      </c>
      <c r="D331" s="714">
        <v>400</v>
      </c>
      <c r="E331" s="714">
        <v>30</v>
      </c>
      <c r="F331" s="714"/>
      <c r="G331" s="652" t="s">
        <v>927</v>
      </c>
      <c r="H331" s="606">
        <v>0</v>
      </c>
      <c r="I331" s="606">
        <v>0</v>
      </c>
      <c r="J331" s="606" t="s">
        <v>928</v>
      </c>
    </row>
    <row r="332" spans="1:10" s="285" customFormat="1">
      <c r="A332" s="696">
        <v>305</v>
      </c>
      <c r="B332" s="726">
        <v>100</v>
      </c>
      <c r="C332" s="706">
        <v>800</v>
      </c>
      <c r="D332" s="714"/>
      <c r="E332" s="714"/>
      <c r="F332" s="714"/>
      <c r="G332" s="638" t="s">
        <v>929</v>
      </c>
      <c r="H332" s="607">
        <v>0</v>
      </c>
      <c r="I332" s="607">
        <v>0</v>
      </c>
      <c r="J332" s="607" t="s">
        <v>930</v>
      </c>
    </row>
    <row r="333" spans="1:10" s="285" customFormat="1" ht="27.6">
      <c r="A333" s="696">
        <v>305</v>
      </c>
      <c r="B333" s="726">
        <v>100</v>
      </c>
      <c r="C333" s="706">
        <v>800</v>
      </c>
      <c r="D333" s="714">
        <v>100</v>
      </c>
      <c r="E333" s="714"/>
      <c r="F333" s="714"/>
      <c r="G333" s="652" t="s">
        <v>931</v>
      </c>
      <c r="H333" s="606">
        <v>0</v>
      </c>
      <c r="I333" s="606">
        <v>0</v>
      </c>
      <c r="J333" s="606" t="s">
        <v>932</v>
      </c>
    </row>
    <row r="334" spans="1:10" s="285" customFormat="1" ht="27.6">
      <c r="A334" s="696">
        <v>305</v>
      </c>
      <c r="B334" s="726">
        <v>100</v>
      </c>
      <c r="C334" s="706">
        <v>800</v>
      </c>
      <c r="D334" s="714">
        <v>200</v>
      </c>
      <c r="E334" s="714"/>
      <c r="F334" s="714"/>
      <c r="G334" s="652" t="s">
        <v>933</v>
      </c>
      <c r="H334" s="606">
        <v>0</v>
      </c>
      <c r="I334" s="606">
        <v>0</v>
      </c>
      <c r="J334" s="606" t="s">
        <v>934</v>
      </c>
    </row>
    <row r="335" spans="1:10" s="285" customFormat="1" ht="27.6">
      <c r="A335" s="696">
        <v>305</v>
      </c>
      <c r="B335" s="726">
        <v>100</v>
      </c>
      <c r="C335" s="706">
        <v>800</v>
      </c>
      <c r="D335" s="714">
        <v>300</v>
      </c>
      <c r="E335" s="714"/>
      <c r="F335" s="714"/>
      <c r="G335" s="652" t="s">
        <v>935</v>
      </c>
      <c r="H335" s="606">
        <v>0</v>
      </c>
      <c r="I335" s="606">
        <v>0</v>
      </c>
      <c r="J335" s="606" t="s">
        <v>936</v>
      </c>
    </row>
    <row r="336" spans="1:10" s="285" customFormat="1">
      <c r="A336" s="696">
        <v>305</v>
      </c>
      <c r="B336" s="726">
        <v>100</v>
      </c>
      <c r="C336" s="706">
        <v>800</v>
      </c>
      <c r="D336" s="714">
        <v>400</v>
      </c>
      <c r="E336" s="714"/>
      <c r="F336" s="714"/>
      <c r="G336" s="638" t="s">
        <v>937</v>
      </c>
      <c r="H336" s="607">
        <v>0</v>
      </c>
      <c r="I336" s="607">
        <v>0</v>
      </c>
      <c r="J336" s="607" t="s">
        <v>938</v>
      </c>
    </row>
    <row r="337" spans="1:10" s="285" customFormat="1">
      <c r="A337" s="696">
        <v>305</v>
      </c>
      <c r="B337" s="726">
        <v>100</v>
      </c>
      <c r="C337" s="706">
        <v>800</v>
      </c>
      <c r="D337" s="714">
        <v>400</v>
      </c>
      <c r="E337" s="714">
        <v>10</v>
      </c>
      <c r="F337" s="714"/>
      <c r="G337" s="652" t="s">
        <v>939</v>
      </c>
      <c r="H337" s="606">
        <v>0</v>
      </c>
      <c r="I337" s="606">
        <v>0</v>
      </c>
      <c r="J337" s="606"/>
    </row>
    <row r="338" spans="1:10" s="285" customFormat="1">
      <c r="A338" s="696">
        <v>305</v>
      </c>
      <c r="B338" s="726">
        <v>100</v>
      </c>
      <c r="C338" s="706">
        <v>800</v>
      </c>
      <c r="D338" s="714">
        <v>400</v>
      </c>
      <c r="E338" s="714">
        <v>90</v>
      </c>
      <c r="F338" s="714"/>
      <c r="G338" s="652" t="s">
        <v>937</v>
      </c>
      <c r="H338" s="606">
        <v>493718.02</v>
      </c>
      <c r="I338" s="606">
        <v>548024</v>
      </c>
      <c r="J338" s="606"/>
    </row>
    <row r="339" spans="1:10" s="285" customFormat="1">
      <c r="A339" s="696">
        <v>305</v>
      </c>
      <c r="B339" s="726">
        <v>100</v>
      </c>
      <c r="C339" s="706">
        <v>800</v>
      </c>
      <c r="D339" s="714">
        <v>500</v>
      </c>
      <c r="E339" s="714"/>
      <c r="F339" s="714"/>
      <c r="G339" s="652" t="s">
        <v>940</v>
      </c>
      <c r="H339" s="606">
        <v>0</v>
      </c>
      <c r="I339" s="606">
        <v>0</v>
      </c>
      <c r="J339" s="606" t="s">
        <v>941</v>
      </c>
    </row>
    <row r="340" spans="1:10" s="285" customFormat="1" ht="27.6">
      <c r="A340" s="696">
        <v>305</v>
      </c>
      <c r="B340" s="726">
        <v>100</v>
      </c>
      <c r="C340" s="706">
        <v>800</v>
      </c>
      <c r="D340" s="714">
        <v>600</v>
      </c>
      <c r="E340" s="714"/>
      <c r="F340" s="714"/>
      <c r="G340" s="652" t="s">
        <v>942</v>
      </c>
      <c r="H340" s="606">
        <v>0</v>
      </c>
      <c r="I340" s="606">
        <v>0</v>
      </c>
      <c r="J340" s="606" t="s">
        <v>943</v>
      </c>
    </row>
    <row r="341" spans="1:10" s="285" customFormat="1" ht="27.6">
      <c r="A341" s="696">
        <v>305</v>
      </c>
      <c r="B341" s="726">
        <v>100</v>
      </c>
      <c r="C341" s="706">
        <v>800</v>
      </c>
      <c r="D341" s="714">
        <v>700</v>
      </c>
      <c r="E341" s="714"/>
      <c r="F341" s="714"/>
      <c r="G341" s="652" t="s">
        <v>944</v>
      </c>
      <c r="H341" s="606">
        <v>0</v>
      </c>
      <c r="I341" s="606">
        <v>0</v>
      </c>
      <c r="J341" s="606" t="s">
        <v>945</v>
      </c>
    </row>
    <row r="342" spans="1:10" s="285" customFormat="1">
      <c r="A342" s="696">
        <v>305</v>
      </c>
      <c r="B342" s="726">
        <v>100</v>
      </c>
      <c r="C342" s="706">
        <v>850</v>
      </c>
      <c r="D342" s="714"/>
      <c r="E342" s="714"/>
      <c r="F342" s="714"/>
      <c r="G342" s="652" t="s">
        <v>947</v>
      </c>
      <c r="H342" s="606">
        <v>0</v>
      </c>
      <c r="I342" s="606">
        <v>0</v>
      </c>
      <c r="J342" s="606" t="s">
        <v>946</v>
      </c>
    </row>
    <row r="343" spans="1:10" s="285" customFormat="1">
      <c r="A343" s="696">
        <v>305</v>
      </c>
      <c r="B343" s="726">
        <v>200</v>
      </c>
      <c r="C343" s="706"/>
      <c r="D343" s="714"/>
      <c r="E343" s="714"/>
      <c r="F343" s="714"/>
      <c r="G343" s="638" t="s">
        <v>56</v>
      </c>
      <c r="H343" s="607">
        <v>0</v>
      </c>
      <c r="I343" s="607">
        <v>0</v>
      </c>
      <c r="J343" s="607" t="s">
        <v>948</v>
      </c>
    </row>
    <row r="344" spans="1:10" s="285" customFormat="1">
      <c r="A344" s="696">
        <v>305</v>
      </c>
      <c r="B344" s="726">
        <v>200</v>
      </c>
      <c r="C344" s="706">
        <v>100</v>
      </c>
      <c r="D344" s="714"/>
      <c r="E344" s="714"/>
      <c r="F344" s="714"/>
      <c r="G344" s="638" t="s">
        <v>949</v>
      </c>
      <c r="H344" s="607">
        <v>0</v>
      </c>
      <c r="I344" s="607">
        <v>0</v>
      </c>
      <c r="J344" s="607" t="s">
        <v>950</v>
      </c>
    </row>
    <row r="345" spans="1:10" s="285" customFormat="1">
      <c r="A345" s="696">
        <v>305</v>
      </c>
      <c r="B345" s="726">
        <v>200</v>
      </c>
      <c r="C345" s="706">
        <v>100</v>
      </c>
      <c r="D345" s="714">
        <v>50</v>
      </c>
      <c r="E345" s="714"/>
      <c r="F345" s="714"/>
      <c r="G345" s="652" t="s">
        <v>951</v>
      </c>
      <c r="H345" s="606">
        <v>299645.63</v>
      </c>
      <c r="I345" s="606">
        <v>286354</v>
      </c>
      <c r="J345" s="606" t="s">
        <v>952</v>
      </c>
    </row>
    <row r="346" spans="1:10" s="285" customFormat="1">
      <c r="A346" s="696">
        <v>305</v>
      </c>
      <c r="B346" s="726">
        <v>200</v>
      </c>
      <c r="C346" s="706">
        <v>100</v>
      </c>
      <c r="D346" s="714">
        <v>100</v>
      </c>
      <c r="E346" s="714"/>
      <c r="F346" s="714"/>
      <c r="G346" s="652" t="s">
        <v>953</v>
      </c>
      <c r="H346" s="606">
        <v>1567601.47</v>
      </c>
      <c r="I346" s="606">
        <v>1007370</v>
      </c>
      <c r="J346" s="606" t="s">
        <v>954</v>
      </c>
    </row>
    <row r="347" spans="1:10" s="285" customFormat="1">
      <c r="A347" s="696">
        <v>305</v>
      </c>
      <c r="B347" s="726">
        <v>200</v>
      </c>
      <c r="C347" s="706">
        <v>100</v>
      </c>
      <c r="D347" s="714">
        <v>150</v>
      </c>
      <c r="E347" s="714"/>
      <c r="F347" s="714"/>
      <c r="G347" s="652" t="s">
        <v>955</v>
      </c>
      <c r="H347" s="607">
        <v>0</v>
      </c>
      <c r="I347" s="607">
        <v>0</v>
      </c>
      <c r="J347" s="607" t="s">
        <v>956</v>
      </c>
    </row>
    <row r="348" spans="1:10" s="285" customFormat="1">
      <c r="A348" s="696">
        <v>305</v>
      </c>
      <c r="B348" s="726">
        <v>200</v>
      </c>
      <c r="C348" s="706">
        <v>100</v>
      </c>
      <c r="D348" s="714">
        <v>150</v>
      </c>
      <c r="E348" s="714">
        <v>10</v>
      </c>
      <c r="F348" s="714"/>
      <c r="G348" s="652" t="s">
        <v>957</v>
      </c>
      <c r="H348" s="606">
        <v>161330.23999999999</v>
      </c>
      <c r="I348" s="606">
        <v>168291</v>
      </c>
      <c r="J348" s="606" t="s">
        <v>958</v>
      </c>
    </row>
    <row r="349" spans="1:10" s="285" customFormat="1">
      <c r="A349" s="696">
        <v>305</v>
      </c>
      <c r="B349" s="726">
        <v>200</v>
      </c>
      <c r="C349" s="706">
        <v>100</v>
      </c>
      <c r="D349" s="714">
        <v>150</v>
      </c>
      <c r="E349" s="714">
        <v>20</v>
      </c>
      <c r="F349" s="714"/>
      <c r="G349" s="652" t="s">
        <v>959</v>
      </c>
      <c r="H349" s="606">
        <v>648725.57999999996</v>
      </c>
      <c r="I349" s="606">
        <v>644589</v>
      </c>
      <c r="J349" s="606" t="s">
        <v>960</v>
      </c>
    </row>
    <row r="350" spans="1:10" s="285" customFormat="1">
      <c r="A350" s="696">
        <v>305</v>
      </c>
      <c r="B350" s="726">
        <v>200</v>
      </c>
      <c r="C350" s="706">
        <v>100</v>
      </c>
      <c r="D350" s="714">
        <v>200</v>
      </c>
      <c r="E350" s="714"/>
      <c r="F350" s="714"/>
      <c r="G350" s="652" t="s">
        <v>961</v>
      </c>
      <c r="H350" s="606">
        <v>908515.96</v>
      </c>
      <c r="I350" s="606">
        <v>1122124</v>
      </c>
      <c r="J350" s="606" t="s">
        <v>962</v>
      </c>
    </row>
    <row r="351" spans="1:10" s="285" customFormat="1">
      <c r="A351" s="696">
        <v>305</v>
      </c>
      <c r="B351" s="726">
        <v>200</v>
      </c>
      <c r="C351" s="706">
        <v>100</v>
      </c>
      <c r="D351" s="714">
        <v>250</v>
      </c>
      <c r="E351" s="714"/>
      <c r="F351" s="714"/>
      <c r="G351" s="638" t="s">
        <v>963</v>
      </c>
      <c r="H351" s="607">
        <v>0</v>
      </c>
      <c r="I351" s="607">
        <v>0</v>
      </c>
      <c r="J351" s="607" t="s">
        <v>964</v>
      </c>
    </row>
    <row r="352" spans="1:10" s="285" customFormat="1">
      <c r="A352" s="696">
        <v>305</v>
      </c>
      <c r="B352" s="726">
        <v>200</v>
      </c>
      <c r="C352" s="706">
        <v>100</v>
      </c>
      <c r="D352" s="714">
        <v>250</v>
      </c>
      <c r="E352" s="714">
        <v>10</v>
      </c>
      <c r="F352" s="714"/>
      <c r="G352" s="203" t="s">
        <v>965</v>
      </c>
      <c r="H352" s="504">
        <v>0</v>
      </c>
      <c r="I352" s="504">
        <v>0</v>
      </c>
      <c r="J352" s="504"/>
    </row>
    <row r="353" spans="1:10" s="285" customFormat="1">
      <c r="A353" s="696">
        <v>305</v>
      </c>
      <c r="B353" s="726">
        <v>200</v>
      </c>
      <c r="C353" s="706">
        <v>100</v>
      </c>
      <c r="D353" s="714">
        <v>250</v>
      </c>
      <c r="E353" s="714">
        <v>20</v>
      </c>
      <c r="F353" s="714"/>
      <c r="G353" s="203" t="s">
        <v>966</v>
      </c>
      <c r="H353" s="504">
        <v>0</v>
      </c>
      <c r="I353" s="504">
        <v>0</v>
      </c>
      <c r="J353" s="504"/>
    </row>
    <row r="354" spans="1:10" s="285" customFormat="1">
      <c r="A354" s="696">
        <v>305</v>
      </c>
      <c r="B354" s="726">
        <v>200</v>
      </c>
      <c r="C354" s="706">
        <v>100</v>
      </c>
      <c r="D354" s="714">
        <v>250</v>
      </c>
      <c r="E354" s="714">
        <v>90</v>
      </c>
      <c r="F354" s="714"/>
      <c r="G354" s="203" t="s">
        <v>967</v>
      </c>
      <c r="H354" s="504">
        <v>0</v>
      </c>
      <c r="I354" s="504">
        <v>0</v>
      </c>
      <c r="J354" s="504"/>
    </row>
    <row r="355" spans="1:10" s="285" customFormat="1">
      <c r="A355" s="696">
        <v>305</v>
      </c>
      <c r="B355" s="726">
        <v>200</v>
      </c>
      <c r="C355" s="706">
        <v>100</v>
      </c>
      <c r="D355" s="714">
        <v>300</v>
      </c>
      <c r="E355" s="714"/>
      <c r="F355" s="714"/>
      <c r="G355" s="203" t="s">
        <v>968</v>
      </c>
      <c r="H355" s="606">
        <v>275175.52</v>
      </c>
      <c r="I355" s="606">
        <v>299736</v>
      </c>
      <c r="J355" s="606" t="s">
        <v>969</v>
      </c>
    </row>
    <row r="356" spans="1:10" s="285" customFormat="1">
      <c r="A356" s="696">
        <v>305</v>
      </c>
      <c r="B356" s="726">
        <v>200</v>
      </c>
      <c r="C356" s="706">
        <v>100</v>
      </c>
      <c r="D356" s="714">
        <v>350</v>
      </c>
      <c r="E356" s="714"/>
      <c r="F356" s="714"/>
      <c r="G356" s="203" t="s">
        <v>970</v>
      </c>
      <c r="H356" s="606">
        <v>250034.45</v>
      </c>
      <c r="I356" s="606">
        <v>206950</v>
      </c>
      <c r="J356" s="606" t="s">
        <v>971</v>
      </c>
    </row>
    <row r="357" spans="1:10" s="285" customFormat="1">
      <c r="A357" s="696">
        <v>305</v>
      </c>
      <c r="B357" s="726">
        <v>200</v>
      </c>
      <c r="C357" s="706">
        <v>100</v>
      </c>
      <c r="D357" s="714">
        <v>400</v>
      </c>
      <c r="E357" s="714"/>
      <c r="F357" s="714"/>
      <c r="G357" s="638" t="s">
        <v>972</v>
      </c>
      <c r="H357" s="607">
        <v>0</v>
      </c>
      <c r="I357" s="607">
        <v>0</v>
      </c>
      <c r="J357" s="607" t="s">
        <v>973</v>
      </c>
    </row>
    <row r="358" spans="1:10" s="285" customFormat="1">
      <c r="A358" s="696">
        <v>305</v>
      </c>
      <c r="B358" s="726">
        <v>200</v>
      </c>
      <c r="C358" s="706">
        <v>100</v>
      </c>
      <c r="D358" s="714">
        <v>400</v>
      </c>
      <c r="E358" s="714">
        <v>10</v>
      </c>
      <c r="F358" s="714"/>
      <c r="G358" s="203" t="s">
        <v>974</v>
      </c>
      <c r="H358" s="504">
        <v>76761.06</v>
      </c>
      <c r="I358" s="504">
        <v>71143</v>
      </c>
      <c r="J358" s="504"/>
    </row>
    <row r="359" spans="1:10" s="285" customFormat="1">
      <c r="A359" s="696">
        <v>305</v>
      </c>
      <c r="B359" s="726">
        <v>200</v>
      </c>
      <c r="C359" s="706">
        <v>100</v>
      </c>
      <c r="D359" s="714">
        <v>400</v>
      </c>
      <c r="E359" s="714">
        <v>20</v>
      </c>
      <c r="F359" s="714"/>
      <c r="G359" s="203" t="s">
        <v>975</v>
      </c>
      <c r="H359" s="504">
        <v>7320</v>
      </c>
      <c r="I359" s="504">
        <v>7320</v>
      </c>
      <c r="J359" s="504"/>
    </row>
    <row r="360" spans="1:10" s="285" customFormat="1">
      <c r="A360" s="696">
        <v>305</v>
      </c>
      <c r="B360" s="726">
        <v>200</v>
      </c>
      <c r="C360" s="706">
        <v>100</v>
      </c>
      <c r="D360" s="714">
        <v>450</v>
      </c>
      <c r="E360" s="714"/>
      <c r="F360" s="714"/>
      <c r="G360" s="203" t="s">
        <v>976</v>
      </c>
      <c r="H360" s="606">
        <v>665001.76</v>
      </c>
      <c r="I360" s="606">
        <v>774546</v>
      </c>
      <c r="J360" s="606" t="s">
        <v>977</v>
      </c>
    </row>
    <row r="361" spans="1:10" s="285" customFormat="1">
      <c r="A361" s="696">
        <v>305</v>
      </c>
      <c r="B361" s="726">
        <v>200</v>
      </c>
      <c r="C361" s="706">
        <v>100</v>
      </c>
      <c r="D361" s="714">
        <v>500</v>
      </c>
      <c r="E361" s="714"/>
      <c r="F361" s="714"/>
      <c r="G361" s="679" t="s">
        <v>978</v>
      </c>
      <c r="H361" s="607">
        <v>0</v>
      </c>
      <c r="I361" s="607">
        <v>0</v>
      </c>
      <c r="J361" s="607" t="s">
        <v>979</v>
      </c>
    </row>
    <row r="362" spans="1:10" s="285" customFormat="1">
      <c r="A362" s="696">
        <v>305</v>
      </c>
      <c r="B362" s="726">
        <v>200</v>
      </c>
      <c r="C362" s="706">
        <v>100</v>
      </c>
      <c r="D362" s="714">
        <v>500</v>
      </c>
      <c r="E362" s="714">
        <v>10</v>
      </c>
      <c r="F362" s="714"/>
      <c r="G362" s="203" t="s">
        <v>980</v>
      </c>
      <c r="H362" s="504">
        <v>198575.34</v>
      </c>
      <c r="I362" s="504">
        <v>169931</v>
      </c>
      <c r="J362" s="504"/>
    </row>
    <row r="363" spans="1:10" s="285" customFormat="1">
      <c r="A363" s="696">
        <v>305</v>
      </c>
      <c r="B363" s="726">
        <v>200</v>
      </c>
      <c r="C363" s="706">
        <v>100</v>
      </c>
      <c r="D363" s="714">
        <v>500</v>
      </c>
      <c r="E363" s="714">
        <v>20</v>
      </c>
      <c r="F363" s="714"/>
      <c r="G363" s="203" t="s">
        <v>981</v>
      </c>
      <c r="H363" s="504">
        <v>566.33000000000004</v>
      </c>
      <c r="I363" s="504">
        <v>1943</v>
      </c>
      <c r="J363" s="504"/>
    </row>
    <row r="364" spans="1:10" s="285" customFormat="1">
      <c r="A364" s="696">
        <v>305</v>
      </c>
      <c r="B364" s="726">
        <v>200</v>
      </c>
      <c r="C364" s="706">
        <v>100</v>
      </c>
      <c r="D364" s="714">
        <v>500</v>
      </c>
      <c r="E364" s="714">
        <v>30</v>
      </c>
      <c r="F364" s="714"/>
      <c r="G364" s="203" t="s">
        <v>982</v>
      </c>
      <c r="H364" s="504">
        <v>407.35</v>
      </c>
      <c r="I364" s="504">
        <v>407</v>
      </c>
      <c r="J364" s="504"/>
    </row>
    <row r="365" spans="1:10" s="285" customFormat="1">
      <c r="A365" s="696">
        <v>305</v>
      </c>
      <c r="B365" s="726">
        <v>200</v>
      </c>
      <c r="C365" s="706">
        <v>100</v>
      </c>
      <c r="D365" s="714">
        <v>500</v>
      </c>
      <c r="E365" s="714">
        <v>40</v>
      </c>
      <c r="F365" s="714"/>
      <c r="G365" s="203" t="s">
        <v>983</v>
      </c>
      <c r="H365" s="504">
        <v>0</v>
      </c>
      <c r="I365" s="504">
        <v>0</v>
      </c>
      <c r="J365" s="504"/>
    </row>
    <row r="366" spans="1:10" s="285" customFormat="1">
      <c r="A366" s="696">
        <v>305</v>
      </c>
      <c r="B366" s="726">
        <v>200</v>
      </c>
      <c r="C366" s="706">
        <v>100</v>
      </c>
      <c r="D366" s="714">
        <v>500</v>
      </c>
      <c r="E366" s="714">
        <v>50</v>
      </c>
      <c r="F366" s="714"/>
      <c r="G366" s="203" t="s">
        <v>978</v>
      </c>
      <c r="H366" s="504">
        <v>0</v>
      </c>
      <c r="I366" s="504">
        <v>0</v>
      </c>
      <c r="J366" s="504"/>
    </row>
    <row r="367" spans="1:10" s="285" customFormat="1">
      <c r="A367" s="696">
        <v>305</v>
      </c>
      <c r="B367" s="726">
        <v>200</v>
      </c>
      <c r="C367" s="706">
        <v>100</v>
      </c>
      <c r="D367" s="714">
        <v>550</v>
      </c>
      <c r="E367" s="714"/>
      <c r="F367" s="714"/>
      <c r="G367" s="638" t="s">
        <v>984</v>
      </c>
      <c r="H367" s="607">
        <v>0</v>
      </c>
      <c r="I367" s="607">
        <v>0</v>
      </c>
      <c r="J367" s="607" t="s">
        <v>985</v>
      </c>
    </row>
    <row r="368" spans="1:10" s="285" customFormat="1">
      <c r="A368" s="696">
        <v>305</v>
      </c>
      <c r="B368" s="726">
        <v>200</v>
      </c>
      <c r="C368" s="706">
        <v>100</v>
      </c>
      <c r="D368" s="714">
        <v>550</v>
      </c>
      <c r="E368" s="714">
        <v>10</v>
      </c>
      <c r="F368" s="714"/>
      <c r="G368" s="203" t="s">
        <v>986</v>
      </c>
      <c r="H368" s="606">
        <v>0</v>
      </c>
      <c r="I368" s="606">
        <v>0</v>
      </c>
      <c r="J368" s="606" t="s">
        <v>987</v>
      </c>
    </row>
    <row r="369" spans="1:10" s="285" customFormat="1">
      <c r="A369" s="696">
        <v>305</v>
      </c>
      <c r="B369" s="726">
        <v>200</v>
      </c>
      <c r="C369" s="706">
        <v>100</v>
      </c>
      <c r="D369" s="714">
        <v>550</v>
      </c>
      <c r="E369" s="714">
        <v>20</v>
      </c>
      <c r="F369" s="714"/>
      <c r="G369" s="203" t="s">
        <v>988</v>
      </c>
      <c r="H369" s="606">
        <v>70348.039999999994</v>
      </c>
      <c r="I369" s="606">
        <v>64897</v>
      </c>
      <c r="J369" s="606" t="s">
        <v>989</v>
      </c>
    </row>
    <row r="370" spans="1:10" s="285" customFormat="1">
      <c r="A370" s="696">
        <v>305</v>
      </c>
      <c r="B370" s="726">
        <v>200</v>
      </c>
      <c r="C370" s="706">
        <v>100</v>
      </c>
      <c r="D370" s="714">
        <v>600</v>
      </c>
      <c r="E370" s="714"/>
      <c r="F370" s="714"/>
      <c r="G370" s="638" t="s">
        <v>990</v>
      </c>
      <c r="H370" s="607">
        <v>0</v>
      </c>
      <c r="I370" s="607">
        <v>0</v>
      </c>
      <c r="J370" s="607" t="s">
        <v>991</v>
      </c>
    </row>
    <row r="371" spans="1:10" s="285" customFormat="1" ht="27.6">
      <c r="A371" s="696">
        <v>305</v>
      </c>
      <c r="B371" s="726">
        <v>200</v>
      </c>
      <c r="C371" s="706">
        <v>100</v>
      </c>
      <c r="D371" s="714">
        <v>600</v>
      </c>
      <c r="E371" s="714">
        <v>10</v>
      </c>
      <c r="F371" s="714"/>
      <c r="G371" s="652" t="s">
        <v>992</v>
      </c>
      <c r="H371" s="606">
        <v>441339.3</v>
      </c>
      <c r="I371" s="606">
        <v>474990</v>
      </c>
      <c r="J371" s="606" t="s">
        <v>993</v>
      </c>
    </row>
    <row r="372" spans="1:10" s="285" customFormat="1">
      <c r="A372" s="696">
        <v>305</v>
      </c>
      <c r="B372" s="726">
        <v>200</v>
      </c>
      <c r="C372" s="706">
        <v>100</v>
      </c>
      <c r="D372" s="714">
        <v>600</v>
      </c>
      <c r="E372" s="714">
        <v>20</v>
      </c>
      <c r="F372" s="714"/>
      <c r="G372" s="638" t="s">
        <v>994</v>
      </c>
      <c r="H372" s="607">
        <v>0</v>
      </c>
      <c r="I372" s="607">
        <v>0</v>
      </c>
      <c r="J372" s="607" t="s">
        <v>995</v>
      </c>
    </row>
    <row r="373" spans="1:10" s="285" customFormat="1">
      <c r="A373" s="696">
        <v>305</v>
      </c>
      <c r="B373" s="726">
        <v>200</v>
      </c>
      <c r="C373" s="706">
        <v>100</v>
      </c>
      <c r="D373" s="714">
        <v>600</v>
      </c>
      <c r="E373" s="714">
        <v>20</v>
      </c>
      <c r="F373" s="714">
        <v>5</v>
      </c>
      <c r="G373" s="203" t="s">
        <v>996</v>
      </c>
      <c r="H373" s="504">
        <v>10934.32</v>
      </c>
      <c r="I373" s="504">
        <v>30744</v>
      </c>
      <c r="J373" s="504"/>
    </row>
    <row r="374" spans="1:10" s="285" customFormat="1">
      <c r="A374" s="696">
        <v>305</v>
      </c>
      <c r="B374" s="726">
        <v>200</v>
      </c>
      <c r="C374" s="706">
        <v>100</v>
      </c>
      <c r="D374" s="714">
        <v>600</v>
      </c>
      <c r="E374" s="714">
        <v>20</v>
      </c>
      <c r="F374" s="714">
        <v>10</v>
      </c>
      <c r="G374" s="203" t="s">
        <v>997</v>
      </c>
      <c r="H374" s="606">
        <v>0</v>
      </c>
      <c r="I374" s="606">
        <v>0</v>
      </c>
      <c r="J374" s="606"/>
    </row>
    <row r="375" spans="1:10" s="285" customFormat="1">
      <c r="A375" s="696">
        <v>305</v>
      </c>
      <c r="B375" s="726">
        <v>200</v>
      </c>
      <c r="C375" s="706">
        <v>100</v>
      </c>
      <c r="D375" s="714">
        <v>600</v>
      </c>
      <c r="E375" s="714">
        <v>30</v>
      </c>
      <c r="F375" s="714"/>
      <c r="G375" s="638" t="s">
        <v>998</v>
      </c>
      <c r="H375" s="607">
        <v>0</v>
      </c>
      <c r="I375" s="607">
        <v>0</v>
      </c>
      <c r="J375" s="607" t="s">
        <v>999</v>
      </c>
    </row>
    <row r="376" spans="1:10" s="285" customFormat="1">
      <c r="A376" s="696">
        <v>305</v>
      </c>
      <c r="B376" s="726">
        <v>200</v>
      </c>
      <c r="C376" s="706">
        <v>100</v>
      </c>
      <c r="D376" s="714">
        <v>600</v>
      </c>
      <c r="E376" s="714">
        <v>30</v>
      </c>
      <c r="F376" s="714">
        <v>5</v>
      </c>
      <c r="G376" s="203" t="s">
        <v>1000</v>
      </c>
      <c r="H376" s="504">
        <v>418813.16</v>
      </c>
      <c r="I376" s="504">
        <v>361479</v>
      </c>
      <c r="J376" s="504"/>
    </row>
    <row r="377" spans="1:10" s="285" customFormat="1">
      <c r="A377" s="696">
        <v>305</v>
      </c>
      <c r="B377" s="726">
        <v>200</v>
      </c>
      <c r="C377" s="706">
        <v>100</v>
      </c>
      <c r="D377" s="714">
        <v>600</v>
      </c>
      <c r="E377" s="714">
        <v>30</v>
      </c>
      <c r="F377" s="714">
        <v>10</v>
      </c>
      <c r="G377" s="203" t="s">
        <v>1001</v>
      </c>
      <c r="H377" s="504">
        <v>28105.15</v>
      </c>
      <c r="I377" s="504">
        <v>28141</v>
      </c>
      <c r="J377" s="504"/>
    </row>
    <row r="378" spans="1:10" s="285" customFormat="1">
      <c r="A378" s="696">
        <v>305</v>
      </c>
      <c r="B378" s="726">
        <v>200</v>
      </c>
      <c r="C378" s="706">
        <v>100</v>
      </c>
      <c r="D378" s="714">
        <v>600</v>
      </c>
      <c r="E378" s="714">
        <v>30</v>
      </c>
      <c r="F378" s="714">
        <v>15</v>
      </c>
      <c r="G378" s="656" t="s">
        <v>1002</v>
      </c>
      <c r="H378" s="611">
        <v>40</v>
      </c>
      <c r="I378" s="611">
        <v>6476</v>
      </c>
      <c r="J378" s="611"/>
    </row>
    <row r="379" spans="1:10" s="285" customFormat="1">
      <c r="A379" s="696">
        <v>305</v>
      </c>
      <c r="B379" s="726">
        <v>200</v>
      </c>
      <c r="C379" s="706">
        <v>100</v>
      </c>
      <c r="D379" s="714">
        <v>600</v>
      </c>
      <c r="E379" s="714">
        <v>30</v>
      </c>
      <c r="F379" s="714">
        <v>20</v>
      </c>
      <c r="G379" s="656" t="s">
        <v>1003</v>
      </c>
      <c r="H379" s="611">
        <v>0</v>
      </c>
      <c r="I379" s="611">
        <v>0</v>
      </c>
      <c r="J379" s="611"/>
    </row>
    <row r="380" spans="1:10" s="285" customFormat="1">
      <c r="A380" s="696">
        <v>305</v>
      </c>
      <c r="B380" s="726">
        <v>200</v>
      </c>
      <c r="C380" s="706">
        <v>100</v>
      </c>
      <c r="D380" s="714">
        <v>600</v>
      </c>
      <c r="E380" s="714">
        <v>30</v>
      </c>
      <c r="F380" s="714">
        <v>25</v>
      </c>
      <c r="G380" s="203" t="s">
        <v>1004</v>
      </c>
      <c r="H380" s="504">
        <v>0</v>
      </c>
      <c r="I380" s="504">
        <v>0</v>
      </c>
      <c r="J380" s="504"/>
    </row>
    <row r="381" spans="1:10" s="285" customFormat="1">
      <c r="A381" s="696">
        <v>305</v>
      </c>
      <c r="B381" s="726">
        <v>200</v>
      </c>
      <c r="C381" s="706">
        <v>100</v>
      </c>
      <c r="D381" s="714">
        <v>600</v>
      </c>
      <c r="E381" s="714">
        <v>30</v>
      </c>
      <c r="F381" s="714">
        <v>30</v>
      </c>
      <c r="G381" s="203" t="s">
        <v>1005</v>
      </c>
      <c r="H381" s="504">
        <v>1586</v>
      </c>
      <c r="I381" s="504">
        <v>4207</v>
      </c>
      <c r="J381" s="504"/>
    </row>
    <row r="382" spans="1:10" s="285" customFormat="1">
      <c r="A382" s="696">
        <v>305</v>
      </c>
      <c r="B382" s="726">
        <v>200</v>
      </c>
      <c r="C382" s="706">
        <v>100</v>
      </c>
      <c r="D382" s="714">
        <v>600</v>
      </c>
      <c r="E382" s="714">
        <v>30</v>
      </c>
      <c r="F382" s="714">
        <v>35</v>
      </c>
      <c r="G382" s="203" t="s">
        <v>1006</v>
      </c>
      <c r="H382" s="504">
        <v>25127.119999999999</v>
      </c>
      <c r="I382" s="504">
        <v>5715</v>
      </c>
      <c r="J382" s="504"/>
    </row>
    <row r="383" spans="1:10" s="285" customFormat="1">
      <c r="A383" s="696">
        <v>305</v>
      </c>
      <c r="B383" s="726">
        <v>200</v>
      </c>
      <c r="C383" s="706">
        <v>100</v>
      </c>
      <c r="D383" s="714">
        <v>600</v>
      </c>
      <c r="E383" s="714">
        <v>30</v>
      </c>
      <c r="F383" s="714">
        <v>40</v>
      </c>
      <c r="G383" s="203" t="s">
        <v>1007</v>
      </c>
      <c r="H383" s="504">
        <v>21044.66</v>
      </c>
      <c r="I383" s="504">
        <v>25587</v>
      </c>
      <c r="J383" s="504"/>
    </row>
    <row r="384" spans="1:10" s="285" customFormat="1">
      <c r="A384" s="696">
        <v>305</v>
      </c>
      <c r="B384" s="726">
        <v>200</v>
      </c>
      <c r="C384" s="706">
        <v>100</v>
      </c>
      <c r="D384" s="714">
        <v>600</v>
      </c>
      <c r="E384" s="714">
        <v>30</v>
      </c>
      <c r="F384" s="714">
        <v>45</v>
      </c>
      <c r="G384" s="203" t="s">
        <v>1008</v>
      </c>
      <c r="H384" s="504">
        <v>542</v>
      </c>
      <c r="I384" s="504">
        <v>518</v>
      </c>
      <c r="J384" s="504"/>
    </row>
    <row r="385" spans="1:10" s="285" customFormat="1">
      <c r="A385" s="696">
        <v>305</v>
      </c>
      <c r="B385" s="726">
        <v>200</v>
      </c>
      <c r="C385" s="706">
        <v>100</v>
      </c>
      <c r="D385" s="714">
        <v>600</v>
      </c>
      <c r="E385" s="714">
        <v>30</v>
      </c>
      <c r="F385" s="714">
        <v>50</v>
      </c>
      <c r="G385" s="203" t="s">
        <v>1009</v>
      </c>
      <c r="H385" s="504">
        <v>343441.26</v>
      </c>
      <c r="I385" s="504">
        <v>315113</v>
      </c>
      <c r="J385" s="504"/>
    </row>
    <row r="386" spans="1:10" s="285" customFormat="1">
      <c r="A386" s="696">
        <v>305</v>
      </c>
      <c r="B386" s="726">
        <v>200</v>
      </c>
      <c r="C386" s="706">
        <v>100</v>
      </c>
      <c r="D386" s="714">
        <v>600</v>
      </c>
      <c r="E386" s="714">
        <v>30</v>
      </c>
      <c r="F386" s="714">
        <v>55</v>
      </c>
      <c r="G386" s="203" t="s">
        <v>1010</v>
      </c>
      <c r="H386" s="504">
        <v>17357.29</v>
      </c>
      <c r="I386" s="504">
        <v>21692</v>
      </c>
      <c r="J386" s="504"/>
    </row>
    <row r="387" spans="1:10" s="285" customFormat="1">
      <c r="A387" s="696">
        <v>305</v>
      </c>
      <c r="B387" s="726">
        <v>200</v>
      </c>
      <c r="C387" s="706">
        <v>100</v>
      </c>
      <c r="D387" s="714">
        <v>600</v>
      </c>
      <c r="E387" s="714">
        <v>30</v>
      </c>
      <c r="F387" s="714">
        <v>60</v>
      </c>
      <c r="G387" s="203" t="s">
        <v>1011</v>
      </c>
      <c r="H387" s="504">
        <v>0</v>
      </c>
      <c r="I387" s="504">
        <v>0</v>
      </c>
      <c r="J387" s="504"/>
    </row>
    <row r="388" spans="1:10" s="285" customFormat="1">
      <c r="A388" s="696">
        <v>305</v>
      </c>
      <c r="B388" s="726">
        <v>200</v>
      </c>
      <c r="C388" s="706">
        <v>100</v>
      </c>
      <c r="D388" s="714">
        <v>600</v>
      </c>
      <c r="E388" s="714">
        <v>30</v>
      </c>
      <c r="F388" s="714">
        <v>65</v>
      </c>
      <c r="G388" s="203" t="s">
        <v>1012</v>
      </c>
      <c r="H388" s="504">
        <v>24377.39</v>
      </c>
      <c r="I388" s="504">
        <v>109920</v>
      </c>
      <c r="J388" s="504"/>
    </row>
    <row r="389" spans="1:10" s="285" customFormat="1">
      <c r="A389" s="696">
        <v>305</v>
      </c>
      <c r="B389" s="726">
        <v>200</v>
      </c>
      <c r="C389" s="706">
        <v>100</v>
      </c>
      <c r="D389" s="714">
        <v>600</v>
      </c>
      <c r="E389" s="714">
        <v>30</v>
      </c>
      <c r="F389" s="714">
        <v>80</v>
      </c>
      <c r="G389" s="203" t="s">
        <v>1013</v>
      </c>
      <c r="H389" s="606">
        <v>0</v>
      </c>
      <c r="I389" s="606">
        <v>0</v>
      </c>
      <c r="J389" s="606"/>
    </row>
    <row r="390" spans="1:10" s="285" customFormat="1">
      <c r="A390" s="696">
        <v>305</v>
      </c>
      <c r="B390" s="726">
        <v>200</v>
      </c>
      <c r="C390" s="706">
        <v>100</v>
      </c>
      <c r="D390" s="714">
        <v>600</v>
      </c>
      <c r="E390" s="714">
        <v>30</v>
      </c>
      <c r="F390" s="714">
        <v>90</v>
      </c>
      <c r="G390" s="203" t="s">
        <v>998</v>
      </c>
      <c r="H390" s="504">
        <v>1193204.03</v>
      </c>
      <c r="I390" s="504">
        <v>1075559</v>
      </c>
      <c r="J390" s="504"/>
    </row>
    <row r="391" spans="1:10" s="285" customFormat="1" ht="27.6">
      <c r="A391" s="696">
        <v>305</v>
      </c>
      <c r="B391" s="726">
        <v>200</v>
      </c>
      <c r="C391" s="706">
        <v>200</v>
      </c>
      <c r="D391" s="714"/>
      <c r="E391" s="714"/>
      <c r="F391" s="714"/>
      <c r="G391" s="638" t="s">
        <v>1014</v>
      </c>
      <c r="H391" s="607">
        <v>0</v>
      </c>
      <c r="I391" s="607">
        <v>0</v>
      </c>
      <c r="J391" s="607" t="s">
        <v>1015</v>
      </c>
    </row>
    <row r="392" spans="1:10" s="285" customFormat="1" ht="27.6">
      <c r="A392" s="696">
        <v>305</v>
      </c>
      <c r="B392" s="726">
        <v>200</v>
      </c>
      <c r="C392" s="706">
        <v>200</v>
      </c>
      <c r="D392" s="714">
        <v>100</v>
      </c>
      <c r="E392" s="714"/>
      <c r="F392" s="714"/>
      <c r="G392" s="652" t="s">
        <v>1016</v>
      </c>
      <c r="H392" s="606">
        <v>0</v>
      </c>
      <c r="I392" s="606">
        <v>1980</v>
      </c>
      <c r="J392" s="606" t="s">
        <v>1017</v>
      </c>
    </row>
    <row r="393" spans="1:10" s="285" customFormat="1">
      <c r="A393" s="696">
        <v>305</v>
      </c>
      <c r="B393" s="726">
        <v>200</v>
      </c>
      <c r="C393" s="706">
        <v>200</v>
      </c>
      <c r="D393" s="714">
        <v>200</v>
      </c>
      <c r="E393" s="714"/>
      <c r="F393" s="714"/>
      <c r="G393" s="203" t="s">
        <v>1018</v>
      </c>
      <c r="H393" s="606">
        <v>0</v>
      </c>
      <c r="I393" s="606">
        <v>0</v>
      </c>
      <c r="J393" s="606" t="s">
        <v>1019</v>
      </c>
    </row>
    <row r="394" spans="1:10" s="285" customFormat="1" ht="27.6">
      <c r="A394" s="696">
        <v>305</v>
      </c>
      <c r="B394" s="726">
        <v>200</v>
      </c>
      <c r="C394" s="706">
        <v>200</v>
      </c>
      <c r="D394" s="714">
        <v>300</v>
      </c>
      <c r="E394" s="714"/>
      <c r="F394" s="714"/>
      <c r="G394" s="638" t="s">
        <v>1020</v>
      </c>
      <c r="H394" s="607">
        <v>0</v>
      </c>
      <c r="I394" s="607">
        <v>0</v>
      </c>
      <c r="J394" s="607" t="s">
        <v>1021</v>
      </c>
    </row>
    <row r="395" spans="1:10" s="285" customFormat="1">
      <c r="A395" s="696">
        <v>305</v>
      </c>
      <c r="B395" s="726">
        <v>200</v>
      </c>
      <c r="C395" s="706">
        <v>200</v>
      </c>
      <c r="D395" s="714">
        <v>300</v>
      </c>
      <c r="E395" s="714">
        <v>10</v>
      </c>
      <c r="F395" s="714"/>
      <c r="G395" s="638" t="s">
        <v>1022</v>
      </c>
      <c r="H395" s="607">
        <v>0</v>
      </c>
      <c r="I395" s="607">
        <v>0</v>
      </c>
      <c r="J395" s="607" t="s">
        <v>1023</v>
      </c>
    </row>
    <row r="396" spans="1:10" s="285" customFormat="1">
      <c r="A396" s="696">
        <v>305</v>
      </c>
      <c r="B396" s="726">
        <v>200</v>
      </c>
      <c r="C396" s="706">
        <v>200</v>
      </c>
      <c r="D396" s="714">
        <v>300</v>
      </c>
      <c r="E396" s="714">
        <v>10</v>
      </c>
      <c r="F396" s="714">
        <v>5</v>
      </c>
      <c r="G396" s="203" t="s">
        <v>1024</v>
      </c>
      <c r="H396" s="504">
        <v>7779.4</v>
      </c>
      <c r="I396" s="504">
        <v>8540</v>
      </c>
      <c r="J396" s="504"/>
    </row>
    <row r="397" spans="1:10" s="285" customFormat="1">
      <c r="A397" s="696">
        <v>305</v>
      </c>
      <c r="B397" s="726">
        <v>200</v>
      </c>
      <c r="C397" s="706">
        <v>200</v>
      </c>
      <c r="D397" s="714">
        <v>300</v>
      </c>
      <c r="E397" s="714">
        <v>10</v>
      </c>
      <c r="F397" s="714">
        <v>10</v>
      </c>
      <c r="G397" s="203" t="s">
        <v>1025</v>
      </c>
      <c r="H397" s="504">
        <v>0</v>
      </c>
      <c r="I397" s="504">
        <v>0</v>
      </c>
      <c r="J397" s="504"/>
    </row>
    <row r="398" spans="1:10" s="285" customFormat="1">
      <c r="A398" s="696">
        <v>305</v>
      </c>
      <c r="B398" s="726">
        <v>200</v>
      </c>
      <c r="C398" s="706">
        <v>200</v>
      </c>
      <c r="D398" s="714">
        <v>300</v>
      </c>
      <c r="E398" s="714">
        <v>10</v>
      </c>
      <c r="F398" s="714">
        <v>15</v>
      </c>
      <c r="G398" s="203" t="s">
        <v>1026</v>
      </c>
      <c r="H398" s="504">
        <v>9310.84</v>
      </c>
      <c r="I398" s="504">
        <v>10839</v>
      </c>
      <c r="J398" s="504"/>
    </row>
    <row r="399" spans="1:10" s="285" customFormat="1">
      <c r="A399" s="696">
        <v>305</v>
      </c>
      <c r="B399" s="726">
        <v>200</v>
      </c>
      <c r="C399" s="706">
        <v>200</v>
      </c>
      <c r="D399" s="714">
        <v>300</v>
      </c>
      <c r="E399" s="714">
        <v>10</v>
      </c>
      <c r="F399" s="714">
        <v>20</v>
      </c>
      <c r="G399" s="203" t="s">
        <v>1027</v>
      </c>
      <c r="H399" s="504">
        <v>0</v>
      </c>
      <c r="I399" s="504">
        <v>0</v>
      </c>
      <c r="J399" s="504"/>
    </row>
    <row r="400" spans="1:10" s="285" customFormat="1">
      <c r="A400" s="696">
        <v>305</v>
      </c>
      <c r="B400" s="726">
        <v>200</v>
      </c>
      <c r="C400" s="706">
        <v>200</v>
      </c>
      <c r="D400" s="714">
        <v>300</v>
      </c>
      <c r="E400" s="714">
        <v>10</v>
      </c>
      <c r="F400" s="714">
        <v>90</v>
      </c>
      <c r="G400" s="203" t="s">
        <v>1028</v>
      </c>
      <c r="H400" s="504">
        <v>0</v>
      </c>
      <c r="I400" s="504">
        <v>0</v>
      </c>
      <c r="J400" s="504"/>
    </row>
    <row r="401" spans="1:10" s="285" customFormat="1" ht="27.6">
      <c r="A401" s="696">
        <v>305</v>
      </c>
      <c r="B401" s="726">
        <v>200</v>
      </c>
      <c r="C401" s="706">
        <v>200</v>
      </c>
      <c r="D401" s="714">
        <v>300</v>
      </c>
      <c r="E401" s="714">
        <v>20</v>
      </c>
      <c r="F401" s="714"/>
      <c r="G401" s="203" t="s">
        <v>1029</v>
      </c>
      <c r="H401" s="606">
        <v>0</v>
      </c>
      <c r="I401" s="606">
        <v>0</v>
      </c>
      <c r="J401" s="606" t="s">
        <v>1030</v>
      </c>
    </row>
    <row r="402" spans="1:10" s="285" customFormat="1">
      <c r="A402" s="696">
        <v>305</v>
      </c>
      <c r="B402" s="726">
        <v>200</v>
      </c>
      <c r="C402" s="706">
        <v>200</v>
      </c>
      <c r="D402" s="714">
        <v>300</v>
      </c>
      <c r="E402" s="714">
        <v>30</v>
      </c>
      <c r="F402" s="714"/>
      <c r="G402" s="203" t="s">
        <v>1031</v>
      </c>
      <c r="H402" s="606">
        <v>0</v>
      </c>
      <c r="I402" s="606">
        <v>0</v>
      </c>
      <c r="J402" s="606" t="s">
        <v>1032</v>
      </c>
    </row>
    <row r="403" spans="1:10" s="681" customFormat="1">
      <c r="A403" s="696">
        <v>305</v>
      </c>
      <c r="B403" s="726">
        <v>200</v>
      </c>
      <c r="C403" s="706">
        <v>200</v>
      </c>
      <c r="D403" s="714">
        <v>300</v>
      </c>
      <c r="E403" s="714">
        <v>40</v>
      </c>
      <c r="F403" s="714"/>
      <c r="G403" s="203" t="s">
        <v>1033</v>
      </c>
      <c r="H403" s="606">
        <v>467925.25</v>
      </c>
      <c r="I403" s="606">
        <v>435367</v>
      </c>
      <c r="J403" s="606" t="s">
        <v>1034</v>
      </c>
    </row>
    <row r="404" spans="1:10" s="285" customFormat="1" ht="27.6">
      <c r="A404" s="696">
        <v>305</v>
      </c>
      <c r="B404" s="726">
        <v>200</v>
      </c>
      <c r="C404" s="706">
        <v>200</v>
      </c>
      <c r="D404" s="714">
        <v>300</v>
      </c>
      <c r="E404" s="714">
        <v>50</v>
      </c>
      <c r="F404" s="714"/>
      <c r="G404" s="638" t="s">
        <v>1035</v>
      </c>
      <c r="H404" s="607">
        <v>0</v>
      </c>
      <c r="I404" s="607">
        <v>0</v>
      </c>
      <c r="J404" s="607" t="s">
        <v>1036</v>
      </c>
    </row>
    <row r="405" spans="1:10" s="285" customFormat="1">
      <c r="A405" s="696">
        <v>305</v>
      </c>
      <c r="B405" s="726">
        <v>200</v>
      </c>
      <c r="C405" s="706">
        <v>200</v>
      </c>
      <c r="D405" s="714">
        <v>300</v>
      </c>
      <c r="E405" s="714">
        <v>50</v>
      </c>
      <c r="F405" s="714">
        <v>10</v>
      </c>
      <c r="G405" s="203" t="s">
        <v>1037</v>
      </c>
      <c r="H405" s="504">
        <v>0</v>
      </c>
      <c r="I405" s="504">
        <v>0</v>
      </c>
      <c r="J405" s="504"/>
    </row>
    <row r="406" spans="1:10" s="285" customFormat="1" ht="27.6">
      <c r="A406" s="696">
        <v>305</v>
      </c>
      <c r="B406" s="726">
        <v>200</v>
      </c>
      <c r="C406" s="706">
        <v>200</v>
      </c>
      <c r="D406" s="714">
        <v>300</v>
      </c>
      <c r="E406" s="714">
        <v>50</v>
      </c>
      <c r="F406" s="714">
        <v>20</v>
      </c>
      <c r="G406" s="203" t="s">
        <v>1038</v>
      </c>
      <c r="H406" s="504">
        <v>26066.01</v>
      </c>
      <c r="I406" s="504">
        <v>20983</v>
      </c>
      <c r="J406" s="504"/>
    </row>
    <row r="407" spans="1:10" s="285" customFormat="1">
      <c r="A407" s="696">
        <v>305</v>
      </c>
      <c r="B407" s="726">
        <v>200</v>
      </c>
      <c r="C407" s="706">
        <v>200</v>
      </c>
      <c r="D407" s="714">
        <v>300</v>
      </c>
      <c r="E407" s="714">
        <v>50</v>
      </c>
      <c r="F407" s="714">
        <v>30</v>
      </c>
      <c r="G407" s="203" t="s">
        <v>1039</v>
      </c>
      <c r="H407" s="504">
        <v>0</v>
      </c>
      <c r="I407" s="504">
        <v>0</v>
      </c>
      <c r="J407" s="504"/>
    </row>
    <row r="408" spans="1:10" s="285" customFormat="1">
      <c r="A408" s="696">
        <v>305</v>
      </c>
      <c r="B408" s="726">
        <v>200</v>
      </c>
      <c r="C408" s="706">
        <v>200</v>
      </c>
      <c r="D408" s="714">
        <v>300</v>
      </c>
      <c r="E408" s="714">
        <v>50</v>
      </c>
      <c r="F408" s="714">
        <v>40</v>
      </c>
      <c r="G408" s="203" t="s">
        <v>1040</v>
      </c>
      <c r="H408" s="504">
        <v>2485</v>
      </c>
      <c r="I408" s="504">
        <v>8932</v>
      </c>
      <c r="J408" s="504"/>
    </row>
    <row r="409" spans="1:10" s="285" customFormat="1" ht="27.6">
      <c r="A409" s="696">
        <v>305</v>
      </c>
      <c r="B409" s="726">
        <v>200</v>
      </c>
      <c r="C409" s="706">
        <v>200</v>
      </c>
      <c r="D409" s="714">
        <v>300</v>
      </c>
      <c r="E409" s="714">
        <v>50</v>
      </c>
      <c r="F409" s="714">
        <v>90</v>
      </c>
      <c r="G409" s="203" t="s">
        <v>1035</v>
      </c>
      <c r="H409" s="504">
        <v>0</v>
      </c>
      <c r="I409" s="504">
        <v>0</v>
      </c>
      <c r="J409" s="504"/>
    </row>
    <row r="410" spans="1:10" s="285" customFormat="1" ht="55.2">
      <c r="A410" s="696">
        <v>305</v>
      </c>
      <c r="B410" s="726">
        <v>200</v>
      </c>
      <c r="C410" s="706">
        <v>200</v>
      </c>
      <c r="D410" s="714">
        <v>300</v>
      </c>
      <c r="E410" s="714">
        <v>60</v>
      </c>
      <c r="F410" s="714"/>
      <c r="G410" s="203" t="s">
        <v>1041</v>
      </c>
      <c r="H410" s="504">
        <v>0</v>
      </c>
      <c r="I410" s="504">
        <v>0</v>
      </c>
      <c r="J410" s="504" t="s">
        <v>1042</v>
      </c>
    </row>
    <row r="411" spans="1:10" s="285" customFormat="1" ht="27.6">
      <c r="A411" s="696">
        <v>305</v>
      </c>
      <c r="B411" s="726">
        <v>200</v>
      </c>
      <c r="C411" s="706">
        <v>200</v>
      </c>
      <c r="D411" s="714">
        <v>400</v>
      </c>
      <c r="E411" s="714"/>
      <c r="F411" s="714"/>
      <c r="G411" s="638" t="s">
        <v>1043</v>
      </c>
      <c r="H411" s="607">
        <v>0</v>
      </c>
      <c r="I411" s="607">
        <v>0</v>
      </c>
      <c r="J411" s="607" t="s">
        <v>1044</v>
      </c>
    </row>
    <row r="412" spans="1:10" s="285" customFormat="1" ht="27.6">
      <c r="A412" s="696">
        <v>305</v>
      </c>
      <c r="B412" s="726">
        <v>200</v>
      </c>
      <c r="C412" s="706">
        <v>200</v>
      </c>
      <c r="D412" s="714">
        <v>400</v>
      </c>
      <c r="E412" s="714">
        <v>10</v>
      </c>
      <c r="F412" s="714"/>
      <c r="G412" s="652" t="s">
        <v>1045</v>
      </c>
      <c r="H412" s="606">
        <v>0</v>
      </c>
      <c r="I412" s="606">
        <v>0</v>
      </c>
      <c r="J412" s="606" t="s">
        <v>1046</v>
      </c>
    </row>
    <row r="413" spans="1:10" s="285" customFormat="1" ht="27.6">
      <c r="A413" s="696">
        <v>305</v>
      </c>
      <c r="B413" s="726">
        <v>200</v>
      </c>
      <c r="C413" s="706">
        <v>200</v>
      </c>
      <c r="D413" s="714">
        <v>400</v>
      </c>
      <c r="E413" s="714">
        <v>20</v>
      </c>
      <c r="F413" s="714"/>
      <c r="G413" s="203" t="s">
        <v>1047</v>
      </c>
      <c r="H413" s="606">
        <v>0</v>
      </c>
      <c r="I413" s="606">
        <v>1626</v>
      </c>
      <c r="J413" s="606" t="s">
        <v>1048</v>
      </c>
    </row>
    <row r="414" spans="1:10" s="285" customFormat="1" ht="27.6">
      <c r="A414" s="696">
        <v>305</v>
      </c>
      <c r="B414" s="726">
        <v>200</v>
      </c>
      <c r="C414" s="706">
        <v>200</v>
      </c>
      <c r="D414" s="714">
        <v>400</v>
      </c>
      <c r="E414" s="714">
        <v>30</v>
      </c>
      <c r="F414" s="714"/>
      <c r="G414" s="203" t="s">
        <v>1049</v>
      </c>
      <c r="H414" s="606">
        <v>0</v>
      </c>
      <c r="I414" s="606">
        <v>0</v>
      </c>
      <c r="J414" s="606" t="s">
        <v>1050</v>
      </c>
    </row>
    <row r="415" spans="1:10" s="285" customFormat="1">
      <c r="A415" s="696">
        <v>305</v>
      </c>
      <c r="B415" s="726">
        <v>200</v>
      </c>
      <c r="C415" s="706">
        <v>300</v>
      </c>
      <c r="D415" s="714"/>
      <c r="E415" s="714"/>
      <c r="F415" s="714"/>
      <c r="G415" s="638" t="s">
        <v>1051</v>
      </c>
      <c r="H415" s="607">
        <v>0</v>
      </c>
      <c r="I415" s="607">
        <v>0</v>
      </c>
      <c r="J415" s="607" t="s">
        <v>1052</v>
      </c>
    </row>
    <row r="416" spans="1:10" s="285" customFormat="1">
      <c r="A416" s="696">
        <v>305</v>
      </c>
      <c r="B416" s="726">
        <v>200</v>
      </c>
      <c r="C416" s="706">
        <v>300</v>
      </c>
      <c r="D416" s="714">
        <v>100</v>
      </c>
      <c r="E416" s="714"/>
      <c r="F416" s="714"/>
      <c r="G416" s="203" t="s">
        <v>1053</v>
      </c>
      <c r="H416" s="606">
        <v>0</v>
      </c>
      <c r="I416" s="606">
        <v>2723</v>
      </c>
      <c r="J416" s="606" t="s">
        <v>1054</v>
      </c>
    </row>
    <row r="417" spans="1:10" s="285" customFormat="1">
      <c r="A417" s="696">
        <v>305</v>
      </c>
      <c r="B417" s="726">
        <v>200</v>
      </c>
      <c r="C417" s="706">
        <v>300</v>
      </c>
      <c r="D417" s="714">
        <v>200</v>
      </c>
      <c r="E417" s="714"/>
      <c r="F417" s="714"/>
      <c r="G417" s="203" t="s">
        <v>1055</v>
      </c>
      <c r="H417" s="606">
        <v>34898.89</v>
      </c>
      <c r="I417" s="606">
        <v>118990</v>
      </c>
      <c r="J417" s="606" t="s">
        <v>1056</v>
      </c>
    </row>
    <row r="418" spans="1:10" s="681" customFormat="1">
      <c r="A418" s="697">
        <v>310</v>
      </c>
      <c r="B418" s="727">
        <v>0</v>
      </c>
      <c r="C418" s="707">
        <v>0</v>
      </c>
      <c r="D418" s="715">
        <v>0</v>
      </c>
      <c r="E418" s="715">
        <v>0</v>
      </c>
      <c r="F418" s="715">
        <v>0</v>
      </c>
      <c r="G418" s="682" t="s">
        <v>1057</v>
      </c>
      <c r="H418" s="607">
        <v>0</v>
      </c>
      <c r="I418" s="607">
        <v>0</v>
      </c>
      <c r="J418" s="608"/>
    </row>
    <row r="419" spans="1:10" s="285" customFormat="1">
      <c r="A419" s="696">
        <v>310</v>
      </c>
      <c r="B419" s="726">
        <v>100</v>
      </c>
      <c r="C419" s="706"/>
      <c r="D419" s="714"/>
      <c r="E419" s="714"/>
      <c r="F419" s="714"/>
      <c r="G419" s="203" t="s">
        <v>1058</v>
      </c>
      <c r="H419" s="606">
        <v>50423.57</v>
      </c>
      <c r="I419" s="606">
        <v>30000</v>
      </c>
      <c r="J419" s="606" t="s">
        <v>1059</v>
      </c>
    </row>
    <row r="420" spans="1:10" s="285" customFormat="1">
      <c r="A420" s="696">
        <v>310</v>
      </c>
      <c r="B420" s="726">
        <v>200</v>
      </c>
      <c r="C420" s="706"/>
      <c r="D420" s="714"/>
      <c r="E420" s="714"/>
      <c r="F420" s="714"/>
      <c r="G420" s="638" t="s">
        <v>1060</v>
      </c>
      <c r="H420" s="607">
        <v>0</v>
      </c>
      <c r="I420" s="607">
        <v>0</v>
      </c>
      <c r="J420" s="607" t="s">
        <v>1061</v>
      </c>
    </row>
    <row r="421" spans="1:10" s="285" customFormat="1">
      <c r="A421" s="696">
        <v>310</v>
      </c>
      <c r="B421" s="726">
        <v>200</v>
      </c>
      <c r="C421" s="706">
        <v>100</v>
      </c>
      <c r="D421" s="714"/>
      <c r="E421" s="714"/>
      <c r="F421" s="714"/>
      <c r="G421" s="203" t="s">
        <v>1062</v>
      </c>
      <c r="H421" s="504">
        <v>32208</v>
      </c>
      <c r="I421" s="504">
        <v>25892</v>
      </c>
      <c r="J421" s="504"/>
    </row>
    <row r="422" spans="1:10" s="285" customFormat="1">
      <c r="A422" s="696">
        <v>310</v>
      </c>
      <c r="B422" s="726">
        <v>200</v>
      </c>
      <c r="C422" s="706">
        <v>200</v>
      </c>
      <c r="D422" s="714"/>
      <c r="E422" s="714"/>
      <c r="F422" s="714"/>
      <c r="G422" s="203" t="s">
        <v>1063</v>
      </c>
      <c r="H422" s="504">
        <v>282407.84000000003</v>
      </c>
      <c r="I422" s="504">
        <v>207656</v>
      </c>
      <c r="J422" s="504"/>
    </row>
    <row r="423" spans="1:10" s="285" customFormat="1">
      <c r="A423" s="696">
        <v>310</v>
      </c>
      <c r="B423" s="726">
        <v>200</v>
      </c>
      <c r="C423" s="706">
        <v>300</v>
      </c>
      <c r="D423" s="714"/>
      <c r="E423" s="714"/>
      <c r="F423" s="714"/>
      <c r="G423" s="203" t="s">
        <v>1064</v>
      </c>
      <c r="H423" s="504">
        <v>0</v>
      </c>
      <c r="I423" s="504">
        <v>0</v>
      </c>
      <c r="J423" s="504"/>
    </row>
    <row r="424" spans="1:10" s="285" customFormat="1" ht="27.6">
      <c r="A424" s="696">
        <v>310</v>
      </c>
      <c r="B424" s="726">
        <v>300</v>
      </c>
      <c r="C424" s="706"/>
      <c r="D424" s="714"/>
      <c r="E424" s="714"/>
      <c r="F424" s="714"/>
      <c r="G424" s="203" t="s">
        <v>1065</v>
      </c>
      <c r="H424" s="606">
        <v>1377636.86</v>
      </c>
      <c r="I424" s="606">
        <v>1228128</v>
      </c>
      <c r="J424" s="606" t="s">
        <v>1066</v>
      </c>
    </row>
    <row r="425" spans="1:10" s="285" customFormat="1">
      <c r="A425" s="696">
        <v>310</v>
      </c>
      <c r="B425" s="726">
        <v>400</v>
      </c>
      <c r="C425" s="706"/>
      <c r="D425" s="714"/>
      <c r="E425" s="714"/>
      <c r="F425" s="714"/>
      <c r="G425" s="203" t="s">
        <v>1067</v>
      </c>
      <c r="H425" s="606">
        <v>0</v>
      </c>
      <c r="I425" s="606">
        <v>0</v>
      </c>
      <c r="J425" s="606" t="s">
        <v>1068</v>
      </c>
    </row>
    <row r="426" spans="1:10" s="285" customFormat="1">
      <c r="A426" s="696">
        <v>310</v>
      </c>
      <c r="B426" s="726">
        <v>500</v>
      </c>
      <c r="C426" s="706"/>
      <c r="D426" s="714"/>
      <c r="E426" s="714"/>
      <c r="F426" s="714"/>
      <c r="G426" s="203" t="s">
        <v>1069</v>
      </c>
      <c r="H426" s="606">
        <v>1894.3</v>
      </c>
      <c r="I426" s="606">
        <v>5492</v>
      </c>
      <c r="J426" s="606" t="s">
        <v>1070</v>
      </c>
    </row>
    <row r="427" spans="1:10" s="285" customFormat="1">
      <c r="A427" s="696">
        <v>310</v>
      </c>
      <c r="B427" s="726">
        <v>600</v>
      </c>
      <c r="C427" s="706"/>
      <c r="D427" s="714"/>
      <c r="E427" s="714"/>
      <c r="F427" s="714"/>
      <c r="G427" s="638" t="s">
        <v>1071</v>
      </c>
      <c r="H427" s="607">
        <v>0</v>
      </c>
      <c r="I427" s="607">
        <v>0</v>
      </c>
      <c r="J427" s="607" t="s">
        <v>1072</v>
      </c>
    </row>
    <row r="428" spans="1:10" s="285" customFormat="1">
      <c r="A428" s="696">
        <v>310</v>
      </c>
      <c r="B428" s="726">
        <v>600</v>
      </c>
      <c r="C428" s="706">
        <v>100</v>
      </c>
      <c r="D428" s="714"/>
      <c r="E428" s="714"/>
      <c r="F428" s="714"/>
      <c r="G428" s="203" t="s">
        <v>1073</v>
      </c>
      <c r="H428" s="504">
        <v>53148.08</v>
      </c>
      <c r="I428" s="504">
        <v>150971</v>
      </c>
      <c r="J428" s="504"/>
    </row>
    <row r="429" spans="1:10" s="285" customFormat="1">
      <c r="A429" s="696">
        <v>310</v>
      </c>
      <c r="B429" s="726">
        <v>600</v>
      </c>
      <c r="C429" s="706">
        <v>200</v>
      </c>
      <c r="D429" s="714"/>
      <c r="E429" s="714"/>
      <c r="F429" s="714"/>
      <c r="G429" s="203" t="s">
        <v>1074</v>
      </c>
      <c r="H429" s="504">
        <v>75320.3</v>
      </c>
      <c r="I429" s="504">
        <v>1291</v>
      </c>
      <c r="J429" s="504"/>
    </row>
    <row r="430" spans="1:10" s="285" customFormat="1">
      <c r="A430" s="696">
        <v>310</v>
      </c>
      <c r="B430" s="726">
        <v>600</v>
      </c>
      <c r="C430" s="706">
        <v>300</v>
      </c>
      <c r="D430" s="714"/>
      <c r="E430" s="714"/>
      <c r="F430" s="714"/>
      <c r="G430" s="203" t="s">
        <v>1071</v>
      </c>
      <c r="H430" s="504">
        <v>16374.96</v>
      </c>
      <c r="I430" s="504">
        <v>34330</v>
      </c>
      <c r="J430" s="504"/>
    </row>
    <row r="431" spans="1:10" s="285" customFormat="1" ht="27.6">
      <c r="A431" s="696">
        <v>310</v>
      </c>
      <c r="B431" s="726">
        <v>700</v>
      </c>
      <c r="C431" s="706"/>
      <c r="D431" s="714"/>
      <c r="E431" s="714"/>
      <c r="F431" s="714"/>
      <c r="G431" s="652" t="s">
        <v>1075</v>
      </c>
      <c r="H431" s="606">
        <v>0</v>
      </c>
      <c r="I431" s="606">
        <v>0</v>
      </c>
      <c r="J431" s="606" t="s">
        <v>1076</v>
      </c>
    </row>
    <row r="432" spans="1:10" s="285" customFormat="1">
      <c r="A432" s="694">
        <v>315</v>
      </c>
      <c r="B432" s="724">
        <v>0</v>
      </c>
      <c r="C432" s="647">
        <v>0</v>
      </c>
      <c r="D432" s="683">
        <v>0</v>
      </c>
      <c r="E432" s="683">
        <v>0</v>
      </c>
      <c r="F432" s="683">
        <v>0</v>
      </c>
      <c r="G432" s="675" t="s">
        <v>61</v>
      </c>
      <c r="H432" s="612">
        <v>0</v>
      </c>
      <c r="I432" s="612">
        <v>0</v>
      </c>
      <c r="J432" s="612" t="s">
        <v>1077</v>
      </c>
    </row>
    <row r="433" spans="1:10" s="285" customFormat="1">
      <c r="A433" s="696">
        <v>315</v>
      </c>
      <c r="B433" s="726">
        <v>100</v>
      </c>
      <c r="C433" s="706"/>
      <c r="D433" s="714"/>
      <c r="E433" s="714"/>
      <c r="F433" s="714"/>
      <c r="G433" s="638" t="s">
        <v>1078</v>
      </c>
      <c r="H433" s="607">
        <v>0</v>
      </c>
      <c r="I433" s="607">
        <v>0</v>
      </c>
      <c r="J433" s="607" t="s">
        <v>1079</v>
      </c>
    </row>
    <row r="434" spans="1:10" s="285" customFormat="1">
      <c r="A434" s="696">
        <v>315</v>
      </c>
      <c r="B434" s="726">
        <v>100</v>
      </c>
      <c r="C434" s="706">
        <v>100</v>
      </c>
      <c r="D434" s="714"/>
      <c r="E434" s="714"/>
      <c r="F434" s="714"/>
      <c r="G434" s="203" t="s">
        <v>1080</v>
      </c>
      <c r="H434" s="504">
        <v>25228.16</v>
      </c>
      <c r="I434" s="504">
        <v>25786</v>
      </c>
      <c r="J434" s="504"/>
    </row>
    <row r="435" spans="1:10" s="285" customFormat="1">
      <c r="A435" s="696">
        <v>315</v>
      </c>
      <c r="B435" s="726">
        <v>100</v>
      </c>
      <c r="C435" s="706">
        <v>200</v>
      </c>
      <c r="D435" s="714"/>
      <c r="E435" s="714"/>
      <c r="F435" s="714"/>
      <c r="G435" s="203" t="s">
        <v>1081</v>
      </c>
      <c r="H435" s="504">
        <v>5518</v>
      </c>
      <c r="I435" s="504">
        <v>4731</v>
      </c>
      <c r="J435" s="504"/>
    </row>
    <row r="436" spans="1:10" s="285" customFormat="1">
      <c r="A436" s="696">
        <v>315</v>
      </c>
      <c r="B436" s="726">
        <v>200</v>
      </c>
      <c r="C436" s="706"/>
      <c r="D436" s="714"/>
      <c r="E436" s="714"/>
      <c r="F436" s="714"/>
      <c r="G436" s="638" t="s">
        <v>1082</v>
      </c>
      <c r="H436" s="607">
        <v>0</v>
      </c>
      <c r="I436" s="607">
        <v>0</v>
      </c>
      <c r="J436" s="607" t="s">
        <v>1083</v>
      </c>
    </row>
    <row r="437" spans="1:10" s="285" customFormat="1">
      <c r="A437" s="696">
        <v>315</v>
      </c>
      <c r="B437" s="726">
        <v>200</v>
      </c>
      <c r="C437" s="706">
        <v>100</v>
      </c>
      <c r="D437" s="714"/>
      <c r="E437" s="714"/>
      <c r="F437" s="714"/>
      <c r="G437" s="203" t="s">
        <v>1084</v>
      </c>
      <c r="H437" s="606">
        <v>430798.09</v>
      </c>
      <c r="I437" s="606">
        <v>244316</v>
      </c>
      <c r="J437" s="606" t="s">
        <v>1085</v>
      </c>
    </row>
    <row r="438" spans="1:10" s="285" customFormat="1">
      <c r="A438" s="696">
        <v>315</v>
      </c>
      <c r="B438" s="726">
        <v>200</v>
      </c>
      <c r="C438" s="706">
        <v>200</v>
      </c>
      <c r="D438" s="714"/>
      <c r="E438" s="714"/>
      <c r="F438" s="714"/>
      <c r="G438" s="638" t="s">
        <v>1086</v>
      </c>
      <c r="H438" s="607">
        <v>0</v>
      </c>
      <c r="I438" s="607">
        <v>0</v>
      </c>
      <c r="J438" s="607" t="s">
        <v>1087</v>
      </c>
    </row>
    <row r="439" spans="1:10" s="285" customFormat="1">
      <c r="A439" s="696">
        <v>315</v>
      </c>
      <c r="B439" s="726">
        <v>200</v>
      </c>
      <c r="C439" s="706">
        <v>200</v>
      </c>
      <c r="D439" s="714">
        <v>100</v>
      </c>
      <c r="E439" s="714"/>
      <c r="F439" s="714"/>
      <c r="G439" s="203" t="s">
        <v>1088</v>
      </c>
      <c r="H439" s="504">
        <v>141251.32</v>
      </c>
      <c r="I439" s="504">
        <v>9760</v>
      </c>
      <c r="J439" s="504"/>
    </row>
    <row r="440" spans="1:10" s="285" customFormat="1">
      <c r="A440" s="696">
        <v>315</v>
      </c>
      <c r="B440" s="726">
        <v>200</v>
      </c>
      <c r="C440" s="706">
        <v>200</v>
      </c>
      <c r="D440" s="714">
        <v>200</v>
      </c>
      <c r="E440" s="714"/>
      <c r="F440" s="714"/>
      <c r="G440" s="203" t="s">
        <v>1089</v>
      </c>
      <c r="H440" s="504">
        <v>11964.6</v>
      </c>
      <c r="I440" s="504">
        <v>11965</v>
      </c>
      <c r="J440" s="504"/>
    </row>
    <row r="441" spans="1:10" s="285" customFormat="1">
      <c r="A441" s="696">
        <v>315</v>
      </c>
      <c r="B441" s="726">
        <v>200</v>
      </c>
      <c r="C441" s="706">
        <v>200</v>
      </c>
      <c r="D441" s="714">
        <v>300</v>
      </c>
      <c r="E441" s="714"/>
      <c r="F441" s="714"/>
      <c r="G441" s="203" t="s">
        <v>1090</v>
      </c>
      <c r="H441" s="504">
        <v>6124.44</v>
      </c>
      <c r="I441" s="504">
        <v>4412</v>
      </c>
      <c r="J441" s="504"/>
    </row>
    <row r="442" spans="1:10" s="285" customFormat="1">
      <c r="A442" s="696">
        <v>315</v>
      </c>
      <c r="B442" s="726">
        <v>200</v>
      </c>
      <c r="C442" s="706">
        <v>200</v>
      </c>
      <c r="D442" s="714">
        <v>900</v>
      </c>
      <c r="E442" s="714"/>
      <c r="F442" s="714"/>
      <c r="G442" s="203" t="s">
        <v>1091</v>
      </c>
      <c r="H442" s="504">
        <v>30085.22</v>
      </c>
      <c r="I442" s="504">
        <v>0</v>
      </c>
      <c r="J442" s="504"/>
    </row>
    <row r="443" spans="1:10" s="285" customFormat="1">
      <c r="A443" s="696">
        <v>315</v>
      </c>
      <c r="B443" s="726">
        <v>300</v>
      </c>
      <c r="C443" s="706"/>
      <c r="D443" s="714"/>
      <c r="E443" s="714"/>
      <c r="F443" s="714"/>
      <c r="G443" s="638" t="s">
        <v>1092</v>
      </c>
      <c r="H443" s="607">
        <v>0</v>
      </c>
      <c r="I443" s="607">
        <v>0</v>
      </c>
      <c r="J443" s="607" t="s">
        <v>1093</v>
      </c>
    </row>
    <row r="444" spans="1:10" s="285" customFormat="1">
      <c r="A444" s="696">
        <v>315</v>
      </c>
      <c r="B444" s="726">
        <v>300</v>
      </c>
      <c r="C444" s="706">
        <v>100</v>
      </c>
      <c r="D444" s="714"/>
      <c r="E444" s="714"/>
      <c r="F444" s="714"/>
      <c r="G444" s="638" t="s">
        <v>1094</v>
      </c>
      <c r="H444" s="607">
        <v>0</v>
      </c>
      <c r="I444" s="607">
        <v>0</v>
      </c>
      <c r="J444" s="607" t="s">
        <v>1095</v>
      </c>
    </row>
    <row r="445" spans="1:10" s="285" customFormat="1">
      <c r="A445" s="696">
        <v>315</v>
      </c>
      <c r="B445" s="726">
        <v>300</v>
      </c>
      <c r="C445" s="706">
        <v>100</v>
      </c>
      <c r="D445" s="714">
        <v>100</v>
      </c>
      <c r="E445" s="714"/>
      <c r="F445" s="714"/>
      <c r="G445" s="203" t="s">
        <v>1096</v>
      </c>
      <c r="H445" s="504">
        <v>0</v>
      </c>
      <c r="I445" s="504">
        <v>0</v>
      </c>
      <c r="J445" s="504"/>
    </row>
    <row r="446" spans="1:10" s="285" customFormat="1">
      <c r="A446" s="696">
        <v>315</v>
      </c>
      <c r="B446" s="726">
        <v>300</v>
      </c>
      <c r="C446" s="706">
        <v>100</v>
      </c>
      <c r="D446" s="714">
        <v>200</v>
      </c>
      <c r="E446" s="714"/>
      <c r="F446" s="714"/>
      <c r="G446" s="203" t="s">
        <v>1097</v>
      </c>
      <c r="H446" s="504">
        <v>2383.7600000000002</v>
      </c>
      <c r="I446" s="504">
        <v>0</v>
      </c>
      <c r="J446" s="504"/>
    </row>
    <row r="447" spans="1:10" s="285" customFormat="1">
      <c r="A447" s="696">
        <v>315</v>
      </c>
      <c r="B447" s="726">
        <v>300</v>
      </c>
      <c r="C447" s="706">
        <v>200</v>
      </c>
      <c r="D447" s="714"/>
      <c r="E447" s="714"/>
      <c r="F447" s="714"/>
      <c r="G447" s="638" t="s">
        <v>1098</v>
      </c>
      <c r="H447" s="607">
        <v>0</v>
      </c>
      <c r="I447" s="607">
        <v>0</v>
      </c>
      <c r="J447" s="607" t="s">
        <v>1099</v>
      </c>
    </row>
    <row r="448" spans="1:10" s="285" customFormat="1">
      <c r="A448" s="696">
        <v>315</v>
      </c>
      <c r="B448" s="726">
        <v>300</v>
      </c>
      <c r="C448" s="706">
        <v>200</v>
      </c>
      <c r="D448" s="714">
        <v>100</v>
      </c>
      <c r="E448" s="714"/>
      <c r="F448" s="714"/>
      <c r="G448" s="203" t="s">
        <v>1096</v>
      </c>
      <c r="H448" s="504">
        <v>0</v>
      </c>
      <c r="I448" s="504">
        <v>0</v>
      </c>
      <c r="J448" s="504"/>
    </row>
    <row r="449" spans="1:10" s="285" customFormat="1">
      <c r="A449" s="696">
        <v>315</v>
      </c>
      <c r="B449" s="726">
        <v>300</v>
      </c>
      <c r="C449" s="706">
        <v>200</v>
      </c>
      <c r="D449" s="714">
        <v>200</v>
      </c>
      <c r="E449" s="714"/>
      <c r="F449" s="714"/>
      <c r="G449" s="203" t="s">
        <v>1097</v>
      </c>
      <c r="H449" s="504">
        <v>0</v>
      </c>
      <c r="I449" s="504">
        <v>0</v>
      </c>
      <c r="J449" s="504"/>
    </row>
    <row r="450" spans="1:10" s="285" customFormat="1">
      <c r="A450" s="696">
        <v>315</v>
      </c>
      <c r="B450" s="726">
        <v>350</v>
      </c>
      <c r="C450" s="706"/>
      <c r="D450" s="714"/>
      <c r="E450" s="714"/>
      <c r="F450" s="714"/>
      <c r="G450" s="652" t="s">
        <v>1100</v>
      </c>
      <c r="H450" s="606">
        <v>0</v>
      </c>
      <c r="I450" s="606">
        <v>0</v>
      </c>
      <c r="J450" s="606" t="s">
        <v>1101</v>
      </c>
    </row>
    <row r="451" spans="1:10" s="285" customFormat="1" ht="27.6">
      <c r="A451" s="696">
        <v>315</v>
      </c>
      <c r="B451" s="726">
        <v>400</v>
      </c>
      <c r="C451" s="706"/>
      <c r="D451" s="714"/>
      <c r="E451" s="714"/>
      <c r="F451" s="714"/>
      <c r="G451" s="652" t="s">
        <v>1102</v>
      </c>
      <c r="H451" s="606">
        <v>0</v>
      </c>
      <c r="I451" s="606">
        <v>0</v>
      </c>
      <c r="J451" s="606" t="s">
        <v>1103</v>
      </c>
    </row>
    <row r="452" spans="1:10" s="285" customFormat="1">
      <c r="A452" s="694">
        <v>320</v>
      </c>
      <c r="B452" s="724">
        <v>0</v>
      </c>
      <c r="C452" s="647">
        <v>0</v>
      </c>
      <c r="D452" s="683">
        <v>0</v>
      </c>
      <c r="E452" s="683">
        <v>0</v>
      </c>
      <c r="F452" s="683">
        <v>0</v>
      </c>
      <c r="G452" s="675" t="s">
        <v>1104</v>
      </c>
      <c r="H452" s="612">
        <v>0</v>
      </c>
      <c r="I452" s="612">
        <v>0</v>
      </c>
      <c r="J452" s="612" t="s">
        <v>1105</v>
      </c>
    </row>
    <row r="453" spans="1:10" s="285" customFormat="1">
      <c r="A453" s="696">
        <v>320</v>
      </c>
      <c r="B453" s="726">
        <v>100</v>
      </c>
      <c r="C453" s="706"/>
      <c r="D453" s="714"/>
      <c r="E453" s="714"/>
      <c r="F453" s="714"/>
      <c r="G453" s="638" t="s">
        <v>1106</v>
      </c>
      <c r="H453" s="607">
        <v>0</v>
      </c>
      <c r="I453" s="607">
        <v>0</v>
      </c>
      <c r="J453" s="607" t="s">
        <v>1107</v>
      </c>
    </row>
    <row r="454" spans="1:10" s="285" customFormat="1">
      <c r="A454" s="696">
        <v>320</v>
      </c>
      <c r="B454" s="726">
        <v>100</v>
      </c>
      <c r="C454" s="706">
        <v>100</v>
      </c>
      <c r="D454" s="714"/>
      <c r="E454" s="714"/>
      <c r="F454" s="714"/>
      <c r="G454" s="638" t="s">
        <v>1108</v>
      </c>
      <c r="H454" s="607">
        <v>0</v>
      </c>
      <c r="I454" s="607">
        <v>0</v>
      </c>
      <c r="J454" s="607" t="s">
        <v>1109</v>
      </c>
    </row>
    <row r="455" spans="1:10" s="285" customFormat="1">
      <c r="A455" s="696">
        <v>320</v>
      </c>
      <c r="B455" s="726">
        <v>100</v>
      </c>
      <c r="C455" s="706">
        <v>100</v>
      </c>
      <c r="D455" s="714">
        <v>100</v>
      </c>
      <c r="E455" s="714"/>
      <c r="F455" s="714"/>
      <c r="G455" s="638" t="s">
        <v>1110</v>
      </c>
      <c r="H455" s="607">
        <v>0</v>
      </c>
      <c r="I455" s="607">
        <v>0</v>
      </c>
      <c r="J455" s="607" t="s">
        <v>1111</v>
      </c>
    </row>
    <row r="456" spans="1:10" s="285" customFormat="1">
      <c r="A456" s="696">
        <v>320</v>
      </c>
      <c r="B456" s="726">
        <v>100</v>
      </c>
      <c r="C456" s="706">
        <v>100</v>
      </c>
      <c r="D456" s="714">
        <v>100</v>
      </c>
      <c r="E456" s="714">
        <v>10</v>
      </c>
      <c r="F456" s="714"/>
      <c r="G456" s="684" t="s">
        <v>1112</v>
      </c>
      <c r="H456" s="606">
        <v>6842201.9100000001</v>
      </c>
      <c r="I456" s="606">
        <v>6581915</v>
      </c>
      <c r="J456" s="606"/>
    </row>
    <row r="457" spans="1:10" s="285" customFormat="1">
      <c r="A457" s="696">
        <v>320</v>
      </c>
      <c r="B457" s="726">
        <v>100</v>
      </c>
      <c r="C457" s="706">
        <v>100</v>
      </c>
      <c r="D457" s="714">
        <v>100</v>
      </c>
      <c r="E457" s="714">
        <v>20</v>
      </c>
      <c r="F457" s="714"/>
      <c r="G457" s="684" t="s">
        <v>1113</v>
      </c>
      <c r="H457" s="606">
        <v>2362708.4300000002</v>
      </c>
      <c r="I457" s="606">
        <v>2275155</v>
      </c>
      <c r="J457" s="606"/>
    </row>
    <row r="458" spans="1:10" s="285" customFormat="1">
      <c r="A458" s="696">
        <v>320</v>
      </c>
      <c r="B458" s="726">
        <v>100</v>
      </c>
      <c r="C458" s="706">
        <v>100</v>
      </c>
      <c r="D458" s="714">
        <v>100</v>
      </c>
      <c r="E458" s="714">
        <v>30</v>
      </c>
      <c r="F458" s="714"/>
      <c r="G458" s="685" t="s">
        <v>1114</v>
      </c>
      <c r="H458" s="607">
        <v>0</v>
      </c>
      <c r="I458" s="607">
        <v>0</v>
      </c>
      <c r="J458" s="607"/>
    </row>
    <row r="459" spans="1:10" s="285" customFormat="1">
      <c r="A459" s="696">
        <v>320</v>
      </c>
      <c r="B459" s="726">
        <v>100</v>
      </c>
      <c r="C459" s="706">
        <v>100</v>
      </c>
      <c r="D459" s="714">
        <v>100</v>
      </c>
      <c r="E459" s="714">
        <v>30</v>
      </c>
      <c r="F459" s="714">
        <v>5</v>
      </c>
      <c r="G459" s="684" t="s">
        <v>1115</v>
      </c>
      <c r="H459" s="606">
        <v>509565.57</v>
      </c>
      <c r="I459" s="606">
        <v>345251</v>
      </c>
      <c r="J459" s="606"/>
    </row>
    <row r="460" spans="1:10" s="285" customFormat="1">
      <c r="A460" s="696">
        <v>320</v>
      </c>
      <c r="B460" s="726">
        <v>100</v>
      </c>
      <c r="C460" s="706">
        <v>100</v>
      </c>
      <c r="D460" s="714">
        <v>100</v>
      </c>
      <c r="E460" s="714">
        <v>30</v>
      </c>
      <c r="F460" s="714">
        <v>10</v>
      </c>
      <c r="G460" s="684" t="s">
        <v>1116</v>
      </c>
      <c r="H460" s="606">
        <v>0</v>
      </c>
      <c r="I460" s="606">
        <v>0</v>
      </c>
      <c r="J460" s="606"/>
    </row>
    <row r="461" spans="1:10" s="285" customFormat="1">
      <c r="A461" s="696">
        <v>320</v>
      </c>
      <c r="B461" s="726">
        <v>100</v>
      </c>
      <c r="C461" s="706">
        <v>100</v>
      </c>
      <c r="D461" s="714">
        <v>100</v>
      </c>
      <c r="E461" s="714">
        <v>40</v>
      </c>
      <c r="F461" s="714"/>
      <c r="G461" s="685" t="s">
        <v>1117</v>
      </c>
      <c r="H461" s="607">
        <v>0</v>
      </c>
      <c r="I461" s="607">
        <v>0</v>
      </c>
      <c r="J461" s="607"/>
    </row>
    <row r="462" spans="1:10" s="285" customFormat="1">
      <c r="A462" s="696">
        <v>320</v>
      </c>
      <c r="B462" s="726">
        <v>100</v>
      </c>
      <c r="C462" s="706">
        <v>100</v>
      </c>
      <c r="D462" s="714">
        <v>100</v>
      </c>
      <c r="E462" s="714">
        <v>40</v>
      </c>
      <c r="F462" s="714">
        <v>5</v>
      </c>
      <c r="G462" s="684" t="s">
        <v>1118</v>
      </c>
      <c r="H462" s="606">
        <v>512062.2</v>
      </c>
      <c r="I462" s="606">
        <v>405417</v>
      </c>
      <c r="J462" s="606"/>
    </row>
    <row r="463" spans="1:10" s="285" customFormat="1">
      <c r="A463" s="696">
        <v>320</v>
      </c>
      <c r="B463" s="726">
        <v>100</v>
      </c>
      <c r="C463" s="706">
        <v>100</v>
      </c>
      <c r="D463" s="714">
        <v>100</v>
      </c>
      <c r="E463" s="714">
        <v>40</v>
      </c>
      <c r="F463" s="714">
        <v>10</v>
      </c>
      <c r="G463" s="684" t="s">
        <v>1119</v>
      </c>
      <c r="H463" s="606">
        <v>0</v>
      </c>
      <c r="I463" s="606">
        <v>0</v>
      </c>
      <c r="J463" s="606"/>
    </row>
    <row r="464" spans="1:10" s="285" customFormat="1">
      <c r="A464" s="696">
        <v>320</v>
      </c>
      <c r="B464" s="726">
        <v>100</v>
      </c>
      <c r="C464" s="706">
        <v>100</v>
      </c>
      <c r="D464" s="714">
        <v>100</v>
      </c>
      <c r="E464" s="714">
        <v>50</v>
      </c>
      <c r="F464" s="714"/>
      <c r="G464" s="685" t="s">
        <v>1120</v>
      </c>
      <c r="H464" s="607">
        <v>0</v>
      </c>
      <c r="I464" s="607">
        <v>0</v>
      </c>
      <c r="J464" s="607"/>
    </row>
    <row r="465" spans="1:10" s="285" customFormat="1">
      <c r="A465" s="696">
        <v>320</v>
      </c>
      <c r="B465" s="726">
        <v>100</v>
      </c>
      <c r="C465" s="706">
        <v>100</v>
      </c>
      <c r="D465" s="714">
        <v>100</v>
      </c>
      <c r="E465" s="714">
        <v>50</v>
      </c>
      <c r="F465" s="714">
        <v>5</v>
      </c>
      <c r="G465" s="684" t="s">
        <v>1121</v>
      </c>
      <c r="H465" s="606">
        <v>0</v>
      </c>
      <c r="I465" s="606">
        <v>0</v>
      </c>
      <c r="J465" s="606"/>
    </row>
    <row r="466" spans="1:10" s="285" customFormat="1">
      <c r="A466" s="696">
        <v>320</v>
      </c>
      <c r="B466" s="726">
        <v>100</v>
      </c>
      <c r="C466" s="706">
        <v>100</v>
      </c>
      <c r="D466" s="714">
        <v>100</v>
      </c>
      <c r="E466" s="714">
        <v>50</v>
      </c>
      <c r="F466" s="714">
        <v>10</v>
      </c>
      <c r="G466" s="684" t="s">
        <v>1122</v>
      </c>
      <c r="H466" s="606">
        <v>0</v>
      </c>
      <c r="I466" s="606">
        <v>0</v>
      </c>
      <c r="J466" s="606"/>
    </row>
    <row r="467" spans="1:10" s="285" customFormat="1">
      <c r="A467" s="696">
        <v>320</v>
      </c>
      <c r="B467" s="726">
        <v>100</v>
      </c>
      <c r="C467" s="706">
        <v>100</v>
      </c>
      <c r="D467" s="714">
        <v>100</v>
      </c>
      <c r="E467" s="714">
        <v>50</v>
      </c>
      <c r="F467" s="714">
        <v>15</v>
      </c>
      <c r="G467" s="684" t="s">
        <v>1123</v>
      </c>
      <c r="H467" s="606">
        <v>12802.46</v>
      </c>
      <c r="I467" s="606">
        <v>22481</v>
      </c>
      <c r="J467" s="606"/>
    </row>
    <row r="468" spans="1:10" s="285" customFormat="1">
      <c r="A468" s="696">
        <v>320</v>
      </c>
      <c r="B468" s="726">
        <v>100</v>
      </c>
      <c r="C468" s="706">
        <v>100</v>
      </c>
      <c r="D468" s="714">
        <v>100</v>
      </c>
      <c r="E468" s="714">
        <v>50</v>
      </c>
      <c r="F468" s="714">
        <v>20</v>
      </c>
      <c r="G468" s="684" t="s">
        <v>1124</v>
      </c>
      <c r="H468" s="606">
        <v>0</v>
      </c>
      <c r="I468" s="606">
        <v>0</v>
      </c>
      <c r="J468" s="606"/>
    </row>
    <row r="469" spans="1:10" s="285" customFormat="1">
      <c r="A469" s="696">
        <v>320</v>
      </c>
      <c r="B469" s="726">
        <v>100</v>
      </c>
      <c r="C469" s="706">
        <v>100</v>
      </c>
      <c r="D469" s="714">
        <v>100</v>
      </c>
      <c r="E469" s="714">
        <v>90</v>
      </c>
      <c r="F469" s="714"/>
      <c r="G469" s="685" t="s">
        <v>1125</v>
      </c>
      <c r="H469" s="607">
        <v>0</v>
      </c>
      <c r="I469" s="607">
        <v>0</v>
      </c>
      <c r="J469" s="607"/>
    </row>
    <row r="470" spans="1:10" s="285" customFormat="1">
      <c r="A470" s="696">
        <v>320</v>
      </c>
      <c r="B470" s="726">
        <v>100</v>
      </c>
      <c r="C470" s="706">
        <v>100</v>
      </c>
      <c r="D470" s="714">
        <v>100</v>
      </c>
      <c r="E470" s="714">
        <v>90</v>
      </c>
      <c r="F470" s="714">
        <v>5</v>
      </c>
      <c r="G470" s="684" t="s">
        <v>1126</v>
      </c>
      <c r="H470" s="606">
        <v>2898978.58</v>
      </c>
      <c r="I470" s="606">
        <v>2721475</v>
      </c>
      <c r="J470" s="606"/>
    </row>
    <row r="471" spans="1:10" s="285" customFormat="1">
      <c r="A471" s="696">
        <v>320</v>
      </c>
      <c r="B471" s="726">
        <v>100</v>
      </c>
      <c r="C471" s="706">
        <v>100</v>
      </c>
      <c r="D471" s="714">
        <v>100</v>
      </c>
      <c r="E471" s="714">
        <v>90</v>
      </c>
      <c r="F471" s="714">
        <v>10</v>
      </c>
      <c r="G471" s="684" t="s">
        <v>1127</v>
      </c>
      <c r="H471" s="606">
        <v>0</v>
      </c>
      <c r="I471" s="606">
        <v>0</v>
      </c>
      <c r="J471" s="606"/>
    </row>
    <row r="472" spans="1:10" s="285" customFormat="1">
      <c r="A472" s="696">
        <v>320</v>
      </c>
      <c r="B472" s="726">
        <v>100</v>
      </c>
      <c r="C472" s="706">
        <v>100</v>
      </c>
      <c r="D472" s="714">
        <v>200</v>
      </c>
      <c r="E472" s="714"/>
      <c r="F472" s="714"/>
      <c r="G472" s="638" t="s">
        <v>1128</v>
      </c>
      <c r="H472" s="607">
        <v>0</v>
      </c>
      <c r="I472" s="607">
        <v>0</v>
      </c>
      <c r="J472" s="607" t="s">
        <v>1129</v>
      </c>
    </row>
    <row r="473" spans="1:10" s="285" customFormat="1">
      <c r="A473" s="696">
        <v>320</v>
      </c>
      <c r="B473" s="726">
        <v>100</v>
      </c>
      <c r="C473" s="706">
        <v>100</v>
      </c>
      <c r="D473" s="714">
        <v>200</v>
      </c>
      <c r="E473" s="714">
        <v>10</v>
      </c>
      <c r="F473" s="714"/>
      <c r="G473" s="684" t="s">
        <v>1112</v>
      </c>
      <c r="H473" s="606">
        <v>412121.75</v>
      </c>
      <c r="I473" s="606">
        <v>640783</v>
      </c>
      <c r="J473" s="606"/>
    </row>
    <row r="474" spans="1:10" s="285" customFormat="1">
      <c r="A474" s="696">
        <v>320</v>
      </c>
      <c r="B474" s="726">
        <v>100</v>
      </c>
      <c r="C474" s="706">
        <v>100</v>
      </c>
      <c r="D474" s="714">
        <v>200</v>
      </c>
      <c r="E474" s="714">
        <v>20</v>
      </c>
      <c r="F474" s="714"/>
      <c r="G474" s="684" t="s">
        <v>1113</v>
      </c>
      <c r="H474" s="606">
        <v>127389.95</v>
      </c>
      <c r="I474" s="606">
        <v>153103</v>
      </c>
      <c r="J474" s="606"/>
    </row>
    <row r="475" spans="1:10" s="285" customFormat="1">
      <c r="A475" s="696">
        <v>320</v>
      </c>
      <c r="B475" s="726">
        <v>100</v>
      </c>
      <c r="C475" s="706">
        <v>100</v>
      </c>
      <c r="D475" s="714">
        <v>200</v>
      </c>
      <c r="E475" s="714">
        <v>30</v>
      </c>
      <c r="F475" s="714"/>
      <c r="G475" s="685" t="s">
        <v>1114</v>
      </c>
      <c r="H475" s="607">
        <v>0</v>
      </c>
      <c r="I475" s="607">
        <v>0</v>
      </c>
      <c r="J475" s="607"/>
    </row>
    <row r="476" spans="1:10" s="285" customFormat="1">
      <c r="A476" s="696">
        <v>320</v>
      </c>
      <c r="B476" s="726">
        <v>100</v>
      </c>
      <c r="C476" s="706">
        <v>100</v>
      </c>
      <c r="D476" s="714">
        <v>200</v>
      </c>
      <c r="E476" s="714">
        <v>30</v>
      </c>
      <c r="F476" s="714">
        <v>5</v>
      </c>
      <c r="G476" s="684" t="s">
        <v>1115</v>
      </c>
      <c r="H476" s="606">
        <v>72921.710000000006</v>
      </c>
      <c r="I476" s="606">
        <v>63716</v>
      </c>
      <c r="J476" s="606"/>
    </row>
    <row r="477" spans="1:10" s="285" customFormat="1">
      <c r="A477" s="696">
        <v>320</v>
      </c>
      <c r="B477" s="726">
        <v>100</v>
      </c>
      <c r="C477" s="706">
        <v>100</v>
      </c>
      <c r="D477" s="714">
        <v>200</v>
      </c>
      <c r="E477" s="714">
        <v>30</v>
      </c>
      <c r="F477" s="714">
        <v>10</v>
      </c>
      <c r="G477" s="684" t="s">
        <v>1116</v>
      </c>
      <c r="H477" s="606">
        <v>22417.55</v>
      </c>
      <c r="I477" s="606">
        <v>20754</v>
      </c>
      <c r="J477" s="606"/>
    </row>
    <row r="478" spans="1:10" s="285" customFormat="1">
      <c r="A478" s="696">
        <v>320</v>
      </c>
      <c r="B478" s="726">
        <v>100</v>
      </c>
      <c r="C478" s="706">
        <v>100</v>
      </c>
      <c r="D478" s="714">
        <v>200</v>
      </c>
      <c r="E478" s="714">
        <v>40</v>
      </c>
      <c r="F478" s="714"/>
      <c r="G478" s="685" t="s">
        <v>1117</v>
      </c>
      <c r="H478" s="607">
        <v>0</v>
      </c>
      <c r="I478" s="607">
        <v>0</v>
      </c>
      <c r="J478" s="607"/>
    </row>
    <row r="479" spans="1:10" s="285" customFormat="1">
      <c r="A479" s="696">
        <v>320</v>
      </c>
      <c r="B479" s="726">
        <v>100</v>
      </c>
      <c r="C479" s="706">
        <v>100</v>
      </c>
      <c r="D479" s="714">
        <v>200</v>
      </c>
      <c r="E479" s="714">
        <v>40</v>
      </c>
      <c r="F479" s="714">
        <v>5</v>
      </c>
      <c r="G479" s="684" t="s">
        <v>1118</v>
      </c>
      <c r="H479" s="606">
        <v>40938.39</v>
      </c>
      <c r="I479" s="606">
        <v>39328</v>
      </c>
      <c r="J479" s="606"/>
    </row>
    <row r="480" spans="1:10" s="285" customFormat="1">
      <c r="A480" s="696">
        <v>320</v>
      </c>
      <c r="B480" s="726">
        <v>100</v>
      </c>
      <c r="C480" s="706">
        <v>100</v>
      </c>
      <c r="D480" s="714">
        <v>200</v>
      </c>
      <c r="E480" s="714">
        <v>40</v>
      </c>
      <c r="F480" s="714">
        <v>10</v>
      </c>
      <c r="G480" s="684" t="s">
        <v>1119</v>
      </c>
      <c r="H480" s="606">
        <v>0</v>
      </c>
      <c r="I480" s="606">
        <v>0</v>
      </c>
      <c r="J480" s="606"/>
    </row>
    <row r="481" spans="1:10" s="285" customFormat="1">
      <c r="A481" s="696">
        <v>320</v>
      </c>
      <c r="B481" s="726">
        <v>100</v>
      </c>
      <c r="C481" s="706">
        <v>100</v>
      </c>
      <c r="D481" s="714">
        <v>200</v>
      </c>
      <c r="E481" s="714">
        <v>50</v>
      </c>
      <c r="F481" s="714"/>
      <c r="G481" s="685" t="s">
        <v>1120</v>
      </c>
      <c r="H481" s="607">
        <v>0</v>
      </c>
      <c r="I481" s="607">
        <v>0</v>
      </c>
      <c r="J481" s="607"/>
    </row>
    <row r="482" spans="1:10" s="285" customFormat="1">
      <c r="A482" s="696">
        <v>320</v>
      </c>
      <c r="B482" s="726">
        <v>100</v>
      </c>
      <c r="C482" s="706">
        <v>100</v>
      </c>
      <c r="D482" s="714">
        <v>200</v>
      </c>
      <c r="E482" s="714">
        <v>50</v>
      </c>
      <c r="F482" s="714">
        <v>5</v>
      </c>
      <c r="G482" s="684" t="s">
        <v>1121</v>
      </c>
      <c r="H482" s="606">
        <v>0</v>
      </c>
      <c r="I482" s="606">
        <v>0</v>
      </c>
      <c r="J482" s="606"/>
    </row>
    <row r="483" spans="1:10" s="285" customFormat="1">
      <c r="A483" s="696">
        <v>320</v>
      </c>
      <c r="B483" s="726">
        <v>100</v>
      </c>
      <c r="C483" s="706">
        <v>100</v>
      </c>
      <c r="D483" s="714">
        <v>200</v>
      </c>
      <c r="E483" s="714">
        <v>50</v>
      </c>
      <c r="F483" s="714">
        <v>10</v>
      </c>
      <c r="G483" s="684" t="s">
        <v>1122</v>
      </c>
      <c r="H483" s="606">
        <v>0</v>
      </c>
      <c r="I483" s="606">
        <v>0</v>
      </c>
      <c r="J483" s="606"/>
    </row>
    <row r="484" spans="1:10" s="285" customFormat="1">
      <c r="A484" s="696">
        <v>320</v>
      </c>
      <c r="B484" s="726">
        <v>100</v>
      </c>
      <c r="C484" s="706">
        <v>100</v>
      </c>
      <c r="D484" s="714">
        <v>200</v>
      </c>
      <c r="E484" s="714">
        <v>50</v>
      </c>
      <c r="F484" s="714">
        <v>15</v>
      </c>
      <c r="G484" s="684" t="s">
        <v>1123</v>
      </c>
      <c r="H484" s="606">
        <v>1793.84</v>
      </c>
      <c r="I484" s="606">
        <v>5631</v>
      </c>
      <c r="J484" s="606"/>
    </row>
    <row r="485" spans="1:10" s="285" customFormat="1">
      <c r="A485" s="696">
        <v>320</v>
      </c>
      <c r="B485" s="726">
        <v>100</v>
      </c>
      <c r="C485" s="706">
        <v>100</v>
      </c>
      <c r="D485" s="714">
        <v>200</v>
      </c>
      <c r="E485" s="714">
        <v>50</v>
      </c>
      <c r="F485" s="714">
        <v>20</v>
      </c>
      <c r="G485" s="684" t="s">
        <v>1124</v>
      </c>
      <c r="H485" s="606">
        <v>0</v>
      </c>
      <c r="I485" s="606">
        <v>194</v>
      </c>
      <c r="J485" s="606"/>
    </row>
    <row r="486" spans="1:10" s="285" customFormat="1">
      <c r="A486" s="696">
        <v>320</v>
      </c>
      <c r="B486" s="726">
        <v>100</v>
      </c>
      <c r="C486" s="706">
        <v>100</v>
      </c>
      <c r="D486" s="714">
        <v>200</v>
      </c>
      <c r="E486" s="714">
        <v>90</v>
      </c>
      <c r="F486" s="714"/>
      <c r="G486" s="685" t="s">
        <v>1125</v>
      </c>
      <c r="H486" s="607">
        <v>0</v>
      </c>
      <c r="I486" s="607">
        <v>0</v>
      </c>
      <c r="J486" s="607"/>
    </row>
    <row r="487" spans="1:10" s="285" customFormat="1">
      <c r="A487" s="696">
        <v>320</v>
      </c>
      <c r="B487" s="726">
        <v>100</v>
      </c>
      <c r="C487" s="706">
        <v>100</v>
      </c>
      <c r="D487" s="714">
        <v>200</v>
      </c>
      <c r="E487" s="714">
        <v>90</v>
      </c>
      <c r="F487" s="714">
        <v>5</v>
      </c>
      <c r="G487" s="684" t="s">
        <v>1126</v>
      </c>
      <c r="H487" s="606">
        <v>190383.6</v>
      </c>
      <c r="I487" s="606">
        <v>272147</v>
      </c>
      <c r="J487" s="606"/>
    </row>
    <row r="488" spans="1:10" s="285" customFormat="1">
      <c r="A488" s="696">
        <v>320</v>
      </c>
      <c r="B488" s="726">
        <v>100</v>
      </c>
      <c r="C488" s="706">
        <v>100</v>
      </c>
      <c r="D488" s="714">
        <v>200</v>
      </c>
      <c r="E488" s="714">
        <v>90</v>
      </c>
      <c r="F488" s="714">
        <v>10</v>
      </c>
      <c r="G488" s="684" t="s">
        <v>1127</v>
      </c>
      <c r="H488" s="606">
        <v>7025.1</v>
      </c>
      <c r="I488" s="606">
        <v>8512</v>
      </c>
      <c r="J488" s="606"/>
    </row>
    <row r="489" spans="1:10" s="285" customFormat="1">
      <c r="A489" s="696">
        <v>320</v>
      </c>
      <c r="B489" s="726">
        <v>100</v>
      </c>
      <c r="C489" s="706">
        <v>100</v>
      </c>
      <c r="D489" s="714">
        <v>300</v>
      </c>
      <c r="E489" s="714"/>
      <c r="F489" s="714"/>
      <c r="G489" s="203" t="s">
        <v>1130</v>
      </c>
      <c r="H489" s="606">
        <v>0</v>
      </c>
      <c r="I489" s="606">
        <v>0</v>
      </c>
      <c r="J489" s="606" t="s">
        <v>1131</v>
      </c>
    </row>
    <row r="490" spans="1:10" s="285" customFormat="1">
      <c r="A490" s="696">
        <v>320</v>
      </c>
      <c r="B490" s="726">
        <v>100</v>
      </c>
      <c r="C490" s="706">
        <v>200</v>
      </c>
      <c r="D490" s="714"/>
      <c r="E490" s="714"/>
      <c r="F490" s="714"/>
      <c r="G490" s="638" t="s">
        <v>1132</v>
      </c>
      <c r="H490" s="607">
        <v>0</v>
      </c>
      <c r="I490" s="607">
        <v>0</v>
      </c>
      <c r="J490" s="607" t="s">
        <v>1133</v>
      </c>
    </row>
    <row r="491" spans="1:10" s="285" customFormat="1" ht="27.6">
      <c r="A491" s="696">
        <v>320</v>
      </c>
      <c r="B491" s="726">
        <v>100</v>
      </c>
      <c r="C491" s="706">
        <v>200</v>
      </c>
      <c r="D491" s="714">
        <v>100</v>
      </c>
      <c r="E491" s="714"/>
      <c r="F491" s="714"/>
      <c r="G491" s="638" t="s">
        <v>1134</v>
      </c>
      <c r="H491" s="607">
        <v>0</v>
      </c>
      <c r="I491" s="607">
        <v>0</v>
      </c>
      <c r="J491" s="607" t="s">
        <v>1135</v>
      </c>
    </row>
    <row r="492" spans="1:10" s="285" customFormat="1">
      <c r="A492" s="696">
        <v>320</v>
      </c>
      <c r="B492" s="726">
        <v>100</v>
      </c>
      <c r="C492" s="706">
        <v>200</v>
      </c>
      <c r="D492" s="714">
        <v>100</v>
      </c>
      <c r="E492" s="714">
        <v>10</v>
      </c>
      <c r="F492" s="714"/>
      <c r="G492" s="684" t="s">
        <v>1112</v>
      </c>
      <c r="H492" s="606">
        <v>899703.36</v>
      </c>
      <c r="I492" s="606">
        <v>793327</v>
      </c>
      <c r="J492" s="606"/>
    </row>
    <row r="493" spans="1:10" s="285" customFormat="1">
      <c r="A493" s="696">
        <v>320</v>
      </c>
      <c r="B493" s="726">
        <v>100</v>
      </c>
      <c r="C493" s="706">
        <v>200</v>
      </c>
      <c r="D493" s="714">
        <v>100</v>
      </c>
      <c r="E493" s="714">
        <v>20</v>
      </c>
      <c r="F493" s="714"/>
      <c r="G493" s="684" t="s">
        <v>1113</v>
      </c>
      <c r="H493" s="606">
        <v>159273.06</v>
      </c>
      <c r="I493" s="606">
        <v>146356</v>
      </c>
      <c r="J493" s="606"/>
    </row>
    <row r="494" spans="1:10" s="285" customFormat="1">
      <c r="A494" s="696">
        <v>320</v>
      </c>
      <c r="B494" s="726">
        <v>100</v>
      </c>
      <c r="C494" s="706">
        <v>200</v>
      </c>
      <c r="D494" s="714">
        <v>100</v>
      </c>
      <c r="E494" s="714">
        <v>30</v>
      </c>
      <c r="F494" s="714"/>
      <c r="G494" s="684" t="s">
        <v>1136</v>
      </c>
      <c r="H494" s="606">
        <v>71835.41</v>
      </c>
      <c r="I494" s="606">
        <v>62528</v>
      </c>
      <c r="J494" s="606"/>
    </row>
    <row r="495" spans="1:10" s="285" customFormat="1">
      <c r="A495" s="696">
        <v>320</v>
      </c>
      <c r="B495" s="726">
        <v>100</v>
      </c>
      <c r="C495" s="706">
        <v>200</v>
      </c>
      <c r="D495" s="714">
        <v>100</v>
      </c>
      <c r="E495" s="714">
        <v>40</v>
      </c>
      <c r="F495" s="714"/>
      <c r="G495" s="684" t="s">
        <v>1137</v>
      </c>
      <c r="H495" s="606">
        <v>21758.59</v>
      </c>
      <c r="I495" s="606">
        <v>18019</v>
      </c>
      <c r="J495" s="606"/>
    </row>
    <row r="496" spans="1:10" s="285" customFormat="1">
      <c r="A496" s="696">
        <v>320</v>
      </c>
      <c r="B496" s="726">
        <v>100</v>
      </c>
      <c r="C496" s="706">
        <v>200</v>
      </c>
      <c r="D496" s="714">
        <v>100</v>
      </c>
      <c r="E496" s="714">
        <v>50</v>
      </c>
      <c r="F496" s="714"/>
      <c r="G496" s="685" t="s">
        <v>1138</v>
      </c>
      <c r="H496" s="607">
        <v>0</v>
      </c>
      <c r="I496" s="607">
        <v>0</v>
      </c>
      <c r="J496" s="607"/>
    </row>
    <row r="497" spans="1:10" s="285" customFormat="1">
      <c r="A497" s="696">
        <v>320</v>
      </c>
      <c r="B497" s="726">
        <v>100</v>
      </c>
      <c r="C497" s="706">
        <v>200</v>
      </c>
      <c r="D497" s="714">
        <v>100</v>
      </c>
      <c r="E497" s="714">
        <v>50</v>
      </c>
      <c r="F497" s="714">
        <v>5</v>
      </c>
      <c r="G497" s="684" t="s">
        <v>1121</v>
      </c>
      <c r="H497" s="606">
        <v>0</v>
      </c>
      <c r="I497" s="606">
        <v>0</v>
      </c>
      <c r="J497" s="606"/>
    </row>
    <row r="498" spans="1:10" s="285" customFormat="1">
      <c r="A498" s="696">
        <v>320</v>
      </c>
      <c r="B498" s="726">
        <v>100</v>
      </c>
      <c r="C498" s="706">
        <v>200</v>
      </c>
      <c r="D498" s="714">
        <v>100</v>
      </c>
      <c r="E498" s="714">
        <v>50</v>
      </c>
      <c r="F498" s="714">
        <v>10</v>
      </c>
      <c r="G498" s="684" t="s">
        <v>1122</v>
      </c>
      <c r="H498" s="606">
        <v>0</v>
      </c>
      <c r="I498" s="606">
        <v>0</v>
      </c>
      <c r="J498" s="606"/>
    </row>
    <row r="499" spans="1:10" s="285" customFormat="1">
      <c r="A499" s="696">
        <v>320</v>
      </c>
      <c r="B499" s="726">
        <v>100</v>
      </c>
      <c r="C499" s="706">
        <v>200</v>
      </c>
      <c r="D499" s="714">
        <v>100</v>
      </c>
      <c r="E499" s="714">
        <v>50</v>
      </c>
      <c r="F499" s="714">
        <v>15</v>
      </c>
      <c r="G499" s="684" t="s">
        <v>1139</v>
      </c>
      <c r="H499" s="606">
        <v>3179.1</v>
      </c>
      <c r="I499" s="606">
        <v>3771</v>
      </c>
      <c r="J499" s="606"/>
    </row>
    <row r="500" spans="1:10" s="285" customFormat="1">
      <c r="A500" s="696">
        <v>320</v>
      </c>
      <c r="B500" s="726">
        <v>100</v>
      </c>
      <c r="C500" s="706">
        <v>200</v>
      </c>
      <c r="D500" s="714">
        <v>100</v>
      </c>
      <c r="E500" s="714">
        <v>90</v>
      </c>
      <c r="F500" s="714"/>
      <c r="G500" s="684" t="s">
        <v>1140</v>
      </c>
      <c r="H500" s="606">
        <v>335853.43</v>
      </c>
      <c r="I500" s="606">
        <v>293857</v>
      </c>
      <c r="J500" s="606"/>
    </row>
    <row r="501" spans="1:10" s="285" customFormat="1" ht="27.6">
      <c r="A501" s="696">
        <v>320</v>
      </c>
      <c r="B501" s="726">
        <v>100</v>
      </c>
      <c r="C501" s="706">
        <v>200</v>
      </c>
      <c r="D501" s="714">
        <v>200</v>
      </c>
      <c r="E501" s="714"/>
      <c r="F501" s="714"/>
      <c r="G501" s="638" t="s">
        <v>1141</v>
      </c>
      <c r="H501" s="607">
        <v>0</v>
      </c>
      <c r="I501" s="607">
        <v>0</v>
      </c>
      <c r="J501" s="607" t="s">
        <v>1142</v>
      </c>
    </row>
    <row r="502" spans="1:10" s="285" customFormat="1">
      <c r="A502" s="696">
        <v>320</v>
      </c>
      <c r="B502" s="726">
        <v>100</v>
      </c>
      <c r="C502" s="706">
        <v>200</v>
      </c>
      <c r="D502" s="714">
        <v>200</v>
      </c>
      <c r="E502" s="714">
        <v>10</v>
      </c>
      <c r="F502" s="714"/>
      <c r="G502" s="684" t="s">
        <v>1112</v>
      </c>
      <c r="H502" s="606">
        <v>111296.93</v>
      </c>
      <c r="I502" s="606">
        <v>167333</v>
      </c>
      <c r="J502" s="606"/>
    </row>
    <row r="503" spans="1:10" s="285" customFormat="1">
      <c r="A503" s="696">
        <v>320</v>
      </c>
      <c r="B503" s="726">
        <v>100</v>
      </c>
      <c r="C503" s="706">
        <v>200</v>
      </c>
      <c r="D503" s="714">
        <v>200</v>
      </c>
      <c r="E503" s="714">
        <v>20</v>
      </c>
      <c r="F503" s="714"/>
      <c r="G503" s="684" t="s">
        <v>1113</v>
      </c>
      <c r="H503" s="606">
        <v>14656.09</v>
      </c>
      <c r="I503" s="606">
        <v>6273</v>
      </c>
      <c r="J503" s="606"/>
    </row>
    <row r="504" spans="1:10" s="285" customFormat="1">
      <c r="A504" s="696">
        <v>320</v>
      </c>
      <c r="B504" s="726">
        <v>100</v>
      </c>
      <c r="C504" s="706">
        <v>200</v>
      </c>
      <c r="D504" s="714">
        <v>200</v>
      </c>
      <c r="E504" s="714">
        <v>30</v>
      </c>
      <c r="F504" s="714"/>
      <c r="G504" s="684" t="s">
        <v>1136</v>
      </c>
      <c r="H504" s="606">
        <v>12901.4</v>
      </c>
      <c r="I504" s="606">
        <v>16355</v>
      </c>
      <c r="J504" s="606"/>
    </row>
    <row r="505" spans="1:10" s="285" customFormat="1">
      <c r="A505" s="696">
        <v>320</v>
      </c>
      <c r="B505" s="726">
        <v>100</v>
      </c>
      <c r="C505" s="706">
        <v>200</v>
      </c>
      <c r="D505" s="714">
        <v>200</v>
      </c>
      <c r="E505" s="714">
        <v>40</v>
      </c>
      <c r="F505" s="714"/>
      <c r="G505" s="684" t="s">
        <v>1137</v>
      </c>
      <c r="H505" s="606">
        <v>4920.28</v>
      </c>
      <c r="I505" s="606">
        <v>5278</v>
      </c>
      <c r="J505" s="606"/>
    </row>
    <row r="506" spans="1:10" s="285" customFormat="1">
      <c r="A506" s="696">
        <v>320</v>
      </c>
      <c r="B506" s="726">
        <v>100</v>
      </c>
      <c r="C506" s="706">
        <v>200</v>
      </c>
      <c r="D506" s="714">
        <v>200</v>
      </c>
      <c r="E506" s="714">
        <v>50</v>
      </c>
      <c r="F506" s="714"/>
      <c r="G506" s="685" t="s">
        <v>1138</v>
      </c>
      <c r="H506" s="607">
        <v>0</v>
      </c>
      <c r="I506" s="607">
        <v>0</v>
      </c>
      <c r="J506" s="607"/>
    </row>
    <row r="507" spans="1:10" s="285" customFormat="1">
      <c r="A507" s="696">
        <v>320</v>
      </c>
      <c r="B507" s="726">
        <v>100</v>
      </c>
      <c r="C507" s="706">
        <v>200</v>
      </c>
      <c r="D507" s="714">
        <v>200</v>
      </c>
      <c r="E507" s="714">
        <v>50</v>
      </c>
      <c r="F507" s="714">
        <v>5</v>
      </c>
      <c r="G507" s="684" t="s">
        <v>1121</v>
      </c>
      <c r="H507" s="606">
        <v>0</v>
      </c>
      <c r="I507" s="606">
        <v>0</v>
      </c>
      <c r="J507" s="606"/>
    </row>
    <row r="508" spans="1:10" s="285" customFormat="1">
      <c r="A508" s="696">
        <v>320</v>
      </c>
      <c r="B508" s="726">
        <v>100</v>
      </c>
      <c r="C508" s="706">
        <v>200</v>
      </c>
      <c r="D508" s="714">
        <v>200</v>
      </c>
      <c r="E508" s="714">
        <v>50</v>
      </c>
      <c r="F508" s="714">
        <v>10</v>
      </c>
      <c r="G508" s="684" t="s">
        <v>1122</v>
      </c>
      <c r="H508" s="606">
        <v>0</v>
      </c>
      <c r="I508" s="606">
        <v>0</v>
      </c>
      <c r="J508" s="606"/>
    </row>
    <row r="509" spans="1:10" s="285" customFormat="1">
      <c r="A509" s="696">
        <v>320</v>
      </c>
      <c r="B509" s="726">
        <v>100</v>
      </c>
      <c r="C509" s="706">
        <v>200</v>
      </c>
      <c r="D509" s="714">
        <v>200</v>
      </c>
      <c r="E509" s="714">
        <v>50</v>
      </c>
      <c r="F509" s="714">
        <v>15</v>
      </c>
      <c r="G509" s="684" t="s">
        <v>1139</v>
      </c>
      <c r="H509" s="606">
        <v>0</v>
      </c>
      <c r="I509" s="606">
        <v>862</v>
      </c>
      <c r="J509" s="606"/>
    </row>
    <row r="510" spans="1:10" s="285" customFormat="1">
      <c r="A510" s="696">
        <v>320</v>
      </c>
      <c r="B510" s="726">
        <v>100</v>
      </c>
      <c r="C510" s="706">
        <v>200</v>
      </c>
      <c r="D510" s="714">
        <v>200</v>
      </c>
      <c r="E510" s="714">
        <v>90</v>
      </c>
      <c r="F510" s="714"/>
      <c r="G510" s="684" t="s">
        <v>1140</v>
      </c>
      <c r="H510" s="606">
        <v>43820.15</v>
      </c>
      <c r="I510" s="606">
        <v>61967</v>
      </c>
      <c r="J510" s="606"/>
    </row>
    <row r="511" spans="1:10" s="285" customFormat="1">
      <c r="A511" s="696">
        <v>320</v>
      </c>
      <c r="B511" s="726">
        <v>100</v>
      </c>
      <c r="C511" s="706">
        <v>200</v>
      </c>
      <c r="D511" s="714">
        <v>300</v>
      </c>
      <c r="E511" s="714"/>
      <c r="F511" s="714"/>
      <c r="G511" s="203" t="s">
        <v>1130</v>
      </c>
      <c r="H511" s="606">
        <v>0</v>
      </c>
      <c r="I511" s="606">
        <v>0</v>
      </c>
      <c r="J511" s="606" t="s">
        <v>1143</v>
      </c>
    </row>
    <row r="512" spans="1:10" s="285" customFormat="1">
      <c r="A512" s="696">
        <v>320</v>
      </c>
      <c r="B512" s="726">
        <v>200</v>
      </c>
      <c r="C512" s="706"/>
      <c r="D512" s="714"/>
      <c r="E512" s="714"/>
      <c r="F512" s="714"/>
      <c r="G512" s="676" t="s">
        <v>1144</v>
      </c>
      <c r="H512" s="607">
        <v>0</v>
      </c>
      <c r="I512" s="607">
        <v>0</v>
      </c>
      <c r="J512" s="607" t="s">
        <v>1145</v>
      </c>
    </row>
    <row r="513" spans="1:10" s="285" customFormat="1" ht="27.6">
      <c r="A513" s="696">
        <v>320</v>
      </c>
      <c r="B513" s="726">
        <v>200</v>
      </c>
      <c r="C513" s="706">
        <v>100</v>
      </c>
      <c r="D513" s="714"/>
      <c r="E513" s="714"/>
      <c r="F513" s="714"/>
      <c r="G513" s="638" t="s">
        <v>1146</v>
      </c>
      <c r="H513" s="607">
        <v>0</v>
      </c>
      <c r="I513" s="607">
        <v>0</v>
      </c>
      <c r="J513" s="607" t="s">
        <v>1147</v>
      </c>
    </row>
    <row r="514" spans="1:10" s="285" customFormat="1">
      <c r="A514" s="696">
        <v>320</v>
      </c>
      <c r="B514" s="726">
        <v>200</v>
      </c>
      <c r="C514" s="706">
        <v>100</v>
      </c>
      <c r="D514" s="714">
        <v>100</v>
      </c>
      <c r="E514" s="714"/>
      <c r="F514" s="714"/>
      <c r="G514" s="684" t="s">
        <v>1112</v>
      </c>
      <c r="H514" s="606">
        <v>8013844.8200000003</v>
      </c>
      <c r="I514" s="606">
        <v>7698039</v>
      </c>
      <c r="J514" s="606"/>
    </row>
    <row r="515" spans="1:10" s="285" customFormat="1">
      <c r="A515" s="696">
        <v>320</v>
      </c>
      <c r="B515" s="726">
        <v>200</v>
      </c>
      <c r="C515" s="706">
        <v>100</v>
      </c>
      <c r="D515" s="714">
        <v>200</v>
      </c>
      <c r="E515" s="714"/>
      <c r="F515" s="714"/>
      <c r="G515" s="684" t="s">
        <v>1148</v>
      </c>
      <c r="H515" s="606">
        <v>108101.6</v>
      </c>
      <c r="I515" s="606">
        <v>98369</v>
      </c>
      <c r="J515" s="606"/>
    </row>
    <row r="516" spans="1:10" s="285" customFormat="1">
      <c r="A516" s="696"/>
      <c r="B516" s="726"/>
      <c r="C516" s="706"/>
      <c r="D516" s="714">
        <v>300</v>
      </c>
      <c r="E516" s="714"/>
      <c r="F516" s="714"/>
      <c r="G516" s="684" t="s">
        <v>1149</v>
      </c>
      <c r="H516" s="606">
        <v>551661.18000000005</v>
      </c>
      <c r="I516" s="606">
        <v>549092</v>
      </c>
      <c r="J516" s="606"/>
    </row>
    <row r="517" spans="1:10" s="285" customFormat="1">
      <c r="A517" s="696">
        <v>320</v>
      </c>
      <c r="B517" s="726">
        <v>200</v>
      </c>
      <c r="C517" s="706">
        <v>100</v>
      </c>
      <c r="D517" s="714">
        <v>400</v>
      </c>
      <c r="E517" s="714"/>
      <c r="F517" s="714"/>
      <c r="G517" s="684" t="s">
        <v>1150</v>
      </c>
      <c r="H517" s="606">
        <v>1857028.13</v>
      </c>
      <c r="I517" s="606">
        <v>1655818</v>
      </c>
      <c r="J517" s="606"/>
    </row>
    <row r="518" spans="1:10" s="285" customFormat="1">
      <c r="A518" s="696">
        <v>320</v>
      </c>
      <c r="B518" s="726">
        <v>200</v>
      </c>
      <c r="C518" s="706">
        <v>100</v>
      </c>
      <c r="D518" s="714">
        <v>500</v>
      </c>
      <c r="E518" s="714"/>
      <c r="F518" s="714"/>
      <c r="G518" s="684" t="s">
        <v>1137</v>
      </c>
      <c r="H518" s="606">
        <v>715032.52</v>
      </c>
      <c r="I518" s="606">
        <v>621350</v>
      </c>
      <c r="J518" s="606"/>
    </row>
    <row r="519" spans="1:10" s="285" customFormat="1">
      <c r="A519" s="696">
        <v>320</v>
      </c>
      <c r="B519" s="726">
        <v>200</v>
      </c>
      <c r="C519" s="706">
        <v>100</v>
      </c>
      <c r="D519" s="714">
        <v>600</v>
      </c>
      <c r="E519" s="714"/>
      <c r="F519" s="714"/>
      <c r="G519" s="685" t="s">
        <v>1120</v>
      </c>
      <c r="H519" s="606">
        <v>0</v>
      </c>
      <c r="I519" s="606">
        <v>0</v>
      </c>
      <c r="J519" s="606"/>
    </row>
    <row r="520" spans="1:10" s="285" customFormat="1">
      <c r="A520" s="696">
        <v>320</v>
      </c>
      <c r="B520" s="726">
        <v>200</v>
      </c>
      <c r="C520" s="706">
        <v>100</v>
      </c>
      <c r="D520" s="714"/>
      <c r="E520" s="714">
        <v>5</v>
      </c>
      <c r="F520" s="714"/>
      <c r="G520" s="684" t="s">
        <v>1121</v>
      </c>
      <c r="H520" s="606">
        <v>0</v>
      </c>
      <c r="I520" s="606">
        <v>0</v>
      </c>
      <c r="J520" s="606"/>
    </row>
    <row r="521" spans="1:10" s="285" customFormat="1">
      <c r="A521" s="696">
        <v>320</v>
      </c>
      <c r="B521" s="726">
        <v>200</v>
      </c>
      <c r="C521" s="706">
        <v>100</v>
      </c>
      <c r="D521" s="714"/>
      <c r="E521" s="714">
        <v>10</v>
      </c>
      <c r="F521" s="714"/>
      <c r="G521" s="684" t="s">
        <v>1122</v>
      </c>
      <c r="H521" s="606">
        <v>0</v>
      </c>
      <c r="I521" s="606">
        <v>0</v>
      </c>
      <c r="J521" s="606"/>
    </row>
    <row r="522" spans="1:10" s="285" customFormat="1">
      <c r="A522" s="696"/>
      <c r="B522" s="726"/>
      <c r="C522" s="706"/>
      <c r="D522" s="714"/>
      <c r="E522" s="714">
        <v>15</v>
      </c>
      <c r="F522" s="714"/>
      <c r="G522" s="684" t="s">
        <v>1151</v>
      </c>
      <c r="H522" s="606">
        <v>198.87</v>
      </c>
      <c r="I522" s="606">
        <v>2176</v>
      </c>
      <c r="J522" s="606"/>
    </row>
    <row r="523" spans="1:10" s="285" customFormat="1">
      <c r="A523" s="696">
        <v>320</v>
      </c>
      <c r="B523" s="726">
        <v>200</v>
      </c>
      <c r="C523" s="706">
        <v>100</v>
      </c>
      <c r="D523" s="714">
        <v>700</v>
      </c>
      <c r="E523" s="714"/>
      <c r="F523" s="714"/>
      <c r="G523" s="684" t="s">
        <v>1140</v>
      </c>
      <c r="H523" s="606">
        <v>3229611.97</v>
      </c>
      <c r="I523" s="606">
        <v>3059792</v>
      </c>
      <c r="J523" s="606"/>
    </row>
    <row r="524" spans="1:10" s="285" customFormat="1" ht="27.6">
      <c r="A524" s="696">
        <v>320</v>
      </c>
      <c r="B524" s="726">
        <v>200</v>
      </c>
      <c r="C524" s="706">
        <v>200</v>
      </c>
      <c r="D524" s="714"/>
      <c r="E524" s="714"/>
      <c r="F524" s="714"/>
      <c r="G524" s="638" t="s">
        <v>1152</v>
      </c>
      <c r="H524" s="607">
        <v>0</v>
      </c>
      <c r="I524" s="607">
        <v>0</v>
      </c>
      <c r="J524" s="607" t="s">
        <v>1153</v>
      </c>
    </row>
    <row r="525" spans="1:10" s="285" customFormat="1">
      <c r="A525" s="696">
        <v>320</v>
      </c>
      <c r="B525" s="726">
        <v>200</v>
      </c>
      <c r="C525" s="706">
        <v>200</v>
      </c>
      <c r="D525" s="714">
        <v>100</v>
      </c>
      <c r="E525" s="714"/>
      <c r="F525" s="714"/>
      <c r="G525" s="684" t="s">
        <v>1112</v>
      </c>
      <c r="H525" s="606">
        <v>972441.75</v>
      </c>
      <c r="I525" s="606">
        <v>421898</v>
      </c>
      <c r="J525" s="606"/>
    </row>
    <row r="526" spans="1:10" s="285" customFormat="1">
      <c r="A526" s="696">
        <v>320</v>
      </c>
      <c r="B526" s="726">
        <v>200</v>
      </c>
      <c r="C526" s="706">
        <v>200</v>
      </c>
      <c r="D526" s="714">
        <v>200</v>
      </c>
      <c r="E526" s="714"/>
      <c r="F526" s="714"/>
      <c r="G526" s="684" t="s">
        <v>1148</v>
      </c>
      <c r="H526" s="606">
        <v>8393.18</v>
      </c>
      <c r="I526" s="606">
        <v>4663</v>
      </c>
      <c r="J526" s="606"/>
    </row>
    <row r="527" spans="1:10" s="285" customFormat="1">
      <c r="A527" s="696">
        <v>320</v>
      </c>
      <c r="B527" s="726">
        <v>200</v>
      </c>
      <c r="C527" s="706">
        <v>200</v>
      </c>
      <c r="D527" s="714">
        <v>300</v>
      </c>
      <c r="E527" s="714"/>
      <c r="F527" s="714"/>
      <c r="G527" s="684" t="s">
        <v>1149</v>
      </c>
      <c r="H527" s="606">
        <v>12372.26</v>
      </c>
      <c r="I527" s="606">
        <v>21389</v>
      </c>
      <c r="J527" s="606"/>
    </row>
    <row r="528" spans="1:10" s="285" customFormat="1">
      <c r="A528" s="696">
        <v>320</v>
      </c>
      <c r="B528" s="726">
        <v>200</v>
      </c>
      <c r="C528" s="706">
        <v>200</v>
      </c>
      <c r="D528" s="714">
        <v>400</v>
      </c>
      <c r="E528" s="714"/>
      <c r="F528" s="714"/>
      <c r="G528" s="684" t="s">
        <v>1150</v>
      </c>
      <c r="H528" s="606">
        <v>74126.27</v>
      </c>
      <c r="I528" s="606">
        <v>63696</v>
      </c>
      <c r="J528" s="606"/>
    </row>
    <row r="529" spans="1:10" s="285" customFormat="1">
      <c r="A529" s="696">
        <v>320</v>
      </c>
      <c r="B529" s="726">
        <v>200</v>
      </c>
      <c r="C529" s="706">
        <v>200</v>
      </c>
      <c r="D529" s="714">
        <v>500</v>
      </c>
      <c r="E529" s="714"/>
      <c r="F529" s="714"/>
      <c r="G529" s="684" t="s">
        <v>1137</v>
      </c>
      <c r="H529" s="606">
        <v>49469.82</v>
      </c>
      <c r="I529" s="606">
        <v>47500</v>
      </c>
      <c r="J529" s="606"/>
    </row>
    <row r="530" spans="1:10" s="285" customFormat="1">
      <c r="A530" s="696">
        <v>320</v>
      </c>
      <c r="B530" s="726">
        <v>200</v>
      </c>
      <c r="C530" s="706">
        <v>200</v>
      </c>
      <c r="D530" s="714">
        <v>600</v>
      </c>
      <c r="E530" s="714"/>
      <c r="F530" s="714"/>
      <c r="G530" s="685" t="s">
        <v>1120</v>
      </c>
      <c r="H530" s="607">
        <v>0</v>
      </c>
      <c r="I530" s="607">
        <v>0</v>
      </c>
      <c r="J530" s="607"/>
    </row>
    <row r="531" spans="1:10" s="285" customFormat="1">
      <c r="A531" s="696">
        <v>320</v>
      </c>
      <c r="B531" s="726">
        <v>200</v>
      </c>
      <c r="C531" s="706">
        <v>200</v>
      </c>
      <c r="D531" s="714"/>
      <c r="E531" s="714">
        <v>5</v>
      </c>
      <c r="F531" s="714"/>
      <c r="G531" s="684" t="s">
        <v>1121</v>
      </c>
      <c r="H531" s="606">
        <v>0</v>
      </c>
      <c r="I531" s="606">
        <v>0</v>
      </c>
      <c r="J531" s="606"/>
    </row>
    <row r="532" spans="1:10" s="285" customFormat="1">
      <c r="A532" s="696">
        <v>320</v>
      </c>
      <c r="B532" s="726">
        <v>200</v>
      </c>
      <c r="C532" s="706">
        <v>200</v>
      </c>
      <c r="D532" s="714"/>
      <c r="E532" s="714">
        <v>10</v>
      </c>
      <c r="F532" s="714"/>
      <c r="G532" s="684" t="s">
        <v>1122</v>
      </c>
      <c r="H532" s="606">
        <v>0</v>
      </c>
      <c r="I532" s="606">
        <v>0</v>
      </c>
      <c r="J532" s="606"/>
    </row>
    <row r="533" spans="1:10" s="285" customFormat="1">
      <c r="A533" s="696">
        <v>320</v>
      </c>
      <c r="B533" s="726">
        <v>200</v>
      </c>
      <c r="C533" s="706">
        <v>200</v>
      </c>
      <c r="D533" s="714"/>
      <c r="E533" s="714">
        <v>15</v>
      </c>
      <c r="F533" s="714"/>
      <c r="G533" s="684" t="s">
        <v>1151</v>
      </c>
      <c r="H533" s="606">
        <v>8.1</v>
      </c>
      <c r="I533" s="606">
        <v>114</v>
      </c>
      <c r="J533" s="606"/>
    </row>
    <row r="534" spans="1:10" s="285" customFormat="1">
      <c r="A534" s="696">
        <v>320</v>
      </c>
      <c r="B534" s="726">
        <v>200</v>
      </c>
      <c r="C534" s="706">
        <v>200</v>
      </c>
      <c r="D534" s="714">
        <v>700</v>
      </c>
      <c r="E534" s="714"/>
      <c r="F534" s="714"/>
      <c r="G534" s="684" t="s">
        <v>1140</v>
      </c>
      <c r="H534" s="606">
        <v>352347.75</v>
      </c>
      <c r="I534" s="606">
        <v>174653</v>
      </c>
      <c r="J534" s="606"/>
    </row>
    <row r="535" spans="1:10" s="285" customFormat="1">
      <c r="A535" s="696">
        <v>320</v>
      </c>
      <c r="B535" s="726">
        <v>200</v>
      </c>
      <c r="C535" s="706">
        <v>300</v>
      </c>
      <c r="D535" s="714"/>
      <c r="E535" s="714"/>
      <c r="F535" s="714"/>
      <c r="G535" s="203" t="s">
        <v>1154</v>
      </c>
      <c r="H535" s="606">
        <v>0</v>
      </c>
      <c r="I535" s="606">
        <v>0</v>
      </c>
      <c r="J535" s="606" t="s">
        <v>1155</v>
      </c>
    </row>
    <row r="536" spans="1:10" s="285" customFormat="1">
      <c r="A536" s="694">
        <v>325</v>
      </c>
      <c r="B536" s="724">
        <v>0</v>
      </c>
      <c r="C536" s="647">
        <v>0</v>
      </c>
      <c r="D536" s="683">
        <v>0</v>
      </c>
      <c r="E536" s="683">
        <v>0</v>
      </c>
      <c r="F536" s="683">
        <v>0</v>
      </c>
      <c r="G536" s="675" t="s">
        <v>1156</v>
      </c>
      <c r="H536" s="607">
        <v>0</v>
      </c>
      <c r="I536" s="607">
        <v>0</v>
      </c>
      <c r="J536" s="607" t="s">
        <v>1157</v>
      </c>
    </row>
    <row r="537" spans="1:10" s="285" customFormat="1">
      <c r="A537" s="696">
        <v>325</v>
      </c>
      <c r="B537" s="726">
        <v>100</v>
      </c>
      <c r="C537" s="706"/>
      <c r="D537" s="714"/>
      <c r="E537" s="714"/>
      <c r="F537" s="714"/>
      <c r="G537" s="638" t="s">
        <v>1158</v>
      </c>
      <c r="H537" s="607">
        <v>0</v>
      </c>
      <c r="I537" s="607">
        <v>0</v>
      </c>
      <c r="J537" s="607" t="s">
        <v>1159</v>
      </c>
    </row>
    <row r="538" spans="1:10" s="285" customFormat="1" ht="27.6">
      <c r="A538" s="696">
        <v>325</v>
      </c>
      <c r="B538" s="726">
        <v>100</v>
      </c>
      <c r="C538" s="706">
        <v>100</v>
      </c>
      <c r="D538" s="714"/>
      <c r="E538" s="714"/>
      <c r="F538" s="714"/>
      <c r="G538" s="638" t="s">
        <v>1160</v>
      </c>
      <c r="H538" s="607">
        <v>0</v>
      </c>
      <c r="I538" s="607">
        <v>0</v>
      </c>
      <c r="J538" s="607" t="s">
        <v>1161</v>
      </c>
    </row>
    <row r="539" spans="1:10" s="285" customFormat="1">
      <c r="A539" s="696">
        <v>325</v>
      </c>
      <c r="B539" s="726">
        <v>100</v>
      </c>
      <c r="C539" s="706">
        <v>100</v>
      </c>
      <c r="D539" s="714">
        <v>100</v>
      </c>
      <c r="E539" s="714"/>
      <c r="F539" s="714"/>
      <c r="G539" s="684" t="s">
        <v>1112</v>
      </c>
      <c r="H539" s="606">
        <v>77722.789999999994</v>
      </c>
      <c r="I539" s="606">
        <v>43135</v>
      </c>
      <c r="J539" s="606"/>
    </row>
    <row r="540" spans="1:10" s="285" customFormat="1">
      <c r="A540" s="696">
        <v>325</v>
      </c>
      <c r="B540" s="726">
        <v>100</v>
      </c>
      <c r="C540" s="706">
        <v>100</v>
      </c>
      <c r="D540" s="714">
        <v>200</v>
      </c>
      <c r="E540" s="714"/>
      <c r="F540" s="714"/>
      <c r="G540" s="684" t="s">
        <v>1113</v>
      </c>
      <c r="H540" s="606">
        <v>34289.599999999999</v>
      </c>
      <c r="I540" s="606">
        <v>11408</v>
      </c>
      <c r="J540" s="606"/>
    </row>
    <row r="541" spans="1:10" s="285" customFormat="1">
      <c r="A541" s="696">
        <v>325</v>
      </c>
      <c r="B541" s="726">
        <v>100</v>
      </c>
      <c r="C541" s="706">
        <v>100</v>
      </c>
      <c r="D541" s="714">
        <v>300</v>
      </c>
      <c r="E541" s="714"/>
      <c r="F541" s="714"/>
      <c r="G541" s="684" t="s">
        <v>1136</v>
      </c>
      <c r="H541" s="606">
        <v>10689.02</v>
      </c>
      <c r="I541" s="606">
        <v>6421</v>
      </c>
      <c r="J541" s="606"/>
    </row>
    <row r="542" spans="1:10" s="285" customFormat="1">
      <c r="A542" s="696">
        <v>325</v>
      </c>
      <c r="B542" s="726">
        <v>100</v>
      </c>
      <c r="C542" s="706">
        <v>100</v>
      </c>
      <c r="D542" s="714">
        <v>400</v>
      </c>
      <c r="E542" s="714"/>
      <c r="F542" s="714"/>
      <c r="G542" s="684" t="s">
        <v>1137</v>
      </c>
      <c r="H542" s="606">
        <v>860.7</v>
      </c>
      <c r="I542" s="606">
        <v>58</v>
      </c>
      <c r="J542" s="606"/>
    </row>
    <row r="543" spans="1:10" s="285" customFormat="1">
      <c r="A543" s="696">
        <v>325</v>
      </c>
      <c r="B543" s="726">
        <v>100</v>
      </c>
      <c r="C543" s="706">
        <v>100</v>
      </c>
      <c r="D543" s="714">
        <v>500</v>
      </c>
      <c r="E543" s="714"/>
      <c r="F543" s="714"/>
      <c r="G543" s="685" t="s">
        <v>1120</v>
      </c>
      <c r="H543" s="607">
        <v>0</v>
      </c>
      <c r="I543" s="607">
        <v>0</v>
      </c>
      <c r="J543" s="607"/>
    </row>
    <row r="544" spans="1:10" s="285" customFormat="1">
      <c r="A544" s="696">
        <v>325</v>
      </c>
      <c r="B544" s="726">
        <v>100</v>
      </c>
      <c r="C544" s="706">
        <v>100</v>
      </c>
      <c r="D544" s="714">
        <v>500</v>
      </c>
      <c r="E544" s="714">
        <v>5</v>
      </c>
      <c r="F544" s="714"/>
      <c r="G544" s="684" t="s">
        <v>1121</v>
      </c>
      <c r="H544" s="606">
        <v>0</v>
      </c>
      <c r="I544" s="606">
        <v>0</v>
      </c>
      <c r="J544" s="606"/>
    </row>
    <row r="545" spans="1:10" s="285" customFormat="1">
      <c r="A545" s="696">
        <v>325</v>
      </c>
      <c r="B545" s="726">
        <v>100</v>
      </c>
      <c r="C545" s="706">
        <v>100</v>
      </c>
      <c r="D545" s="714">
        <v>500</v>
      </c>
      <c r="E545" s="714">
        <v>10</v>
      </c>
      <c r="F545" s="714"/>
      <c r="G545" s="684" t="s">
        <v>1122</v>
      </c>
      <c r="H545" s="606">
        <v>0</v>
      </c>
      <c r="I545" s="606">
        <v>0</v>
      </c>
      <c r="J545" s="606"/>
    </row>
    <row r="546" spans="1:10" s="285" customFormat="1">
      <c r="A546" s="696">
        <v>325</v>
      </c>
      <c r="B546" s="726">
        <v>100</v>
      </c>
      <c r="C546" s="706">
        <v>100</v>
      </c>
      <c r="D546" s="714">
        <v>500</v>
      </c>
      <c r="E546" s="714">
        <v>15</v>
      </c>
      <c r="F546" s="714"/>
      <c r="G546" s="684" t="s">
        <v>1162</v>
      </c>
      <c r="H546" s="606">
        <v>45.9</v>
      </c>
      <c r="I546" s="606">
        <v>9370</v>
      </c>
      <c r="J546" s="606"/>
    </row>
    <row r="547" spans="1:10" s="285" customFormat="1">
      <c r="A547" s="696">
        <v>325</v>
      </c>
      <c r="B547" s="726">
        <v>100</v>
      </c>
      <c r="C547" s="706">
        <v>100</v>
      </c>
      <c r="D547" s="714">
        <v>900</v>
      </c>
      <c r="E547" s="714"/>
      <c r="F547" s="714"/>
      <c r="G547" s="684" t="s">
        <v>1140</v>
      </c>
      <c r="H547" s="606">
        <v>31350.15</v>
      </c>
      <c r="I547" s="606">
        <v>14970</v>
      </c>
      <c r="J547" s="606"/>
    </row>
    <row r="548" spans="1:10" s="285" customFormat="1" ht="27.6">
      <c r="A548" s="696">
        <v>325</v>
      </c>
      <c r="B548" s="726">
        <v>100</v>
      </c>
      <c r="C548" s="706">
        <v>200</v>
      </c>
      <c r="D548" s="714"/>
      <c r="E548" s="714"/>
      <c r="F548" s="714"/>
      <c r="G548" s="638" t="s">
        <v>1163</v>
      </c>
      <c r="H548" s="607">
        <v>0</v>
      </c>
      <c r="I548" s="607">
        <v>0</v>
      </c>
      <c r="J548" s="607" t="s">
        <v>1164</v>
      </c>
    </row>
    <row r="549" spans="1:10" s="285" customFormat="1">
      <c r="A549" s="696">
        <v>325</v>
      </c>
      <c r="B549" s="726">
        <v>100</v>
      </c>
      <c r="C549" s="706">
        <v>200</v>
      </c>
      <c r="D549" s="714">
        <v>100</v>
      </c>
      <c r="E549" s="714"/>
      <c r="F549" s="714"/>
      <c r="G549" s="684" t="s">
        <v>1112</v>
      </c>
      <c r="H549" s="606">
        <v>5837.87</v>
      </c>
      <c r="I549" s="606">
        <v>42941</v>
      </c>
      <c r="J549" s="606"/>
    </row>
    <row r="550" spans="1:10" s="285" customFormat="1">
      <c r="A550" s="696">
        <v>325</v>
      </c>
      <c r="B550" s="726">
        <v>100</v>
      </c>
      <c r="C550" s="706">
        <v>200</v>
      </c>
      <c r="D550" s="714">
        <v>200</v>
      </c>
      <c r="E550" s="714"/>
      <c r="F550" s="714"/>
      <c r="G550" s="684" t="s">
        <v>1113</v>
      </c>
      <c r="H550" s="606">
        <v>89.3</v>
      </c>
      <c r="I550" s="606">
        <v>654</v>
      </c>
      <c r="J550" s="606"/>
    </row>
    <row r="551" spans="1:10" s="285" customFormat="1">
      <c r="A551" s="696">
        <v>325</v>
      </c>
      <c r="B551" s="726">
        <v>100</v>
      </c>
      <c r="C551" s="706">
        <v>200</v>
      </c>
      <c r="D551" s="714">
        <v>300</v>
      </c>
      <c r="E551" s="714"/>
      <c r="F551" s="714"/>
      <c r="G551" s="684" t="s">
        <v>1136</v>
      </c>
      <c r="H551" s="606">
        <v>22.8</v>
      </c>
      <c r="I551" s="606">
        <v>299</v>
      </c>
      <c r="J551" s="606"/>
    </row>
    <row r="552" spans="1:10" s="285" customFormat="1">
      <c r="A552" s="696">
        <v>325</v>
      </c>
      <c r="B552" s="726">
        <v>100</v>
      </c>
      <c r="C552" s="706">
        <v>200</v>
      </c>
      <c r="D552" s="714">
        <v>400</v>
      </c>
      <c r="E552" s="714"/>
      <c r="F552" s="714"/>
      <c r="G552" s="684" t="s">
        <v>1137</v>
      </c>
      <c r="H552" s="606">
        <v>0</v>
      </c>
      <c r="I552" s="606">
        <v>749</v>
      </c>
      <c r="J552" s="606"/>
    </row>
    <row r="553" spans="1:10" s="285" customFormat="1">
      <c r="A553" s="696">
        <v>325</v>
      </c>
      <c r="B553" s="726">
        <v>100</v>
      </c>
      <c r="C553" s="706">
        <v>200</v>
      </c>
      <c r="D553" s="714">
        <v>500</v>
      </c>
      <c r="E553" s="714"/>
      <c r="F553" s="714"/>
      <c r="G553" s="685" t="s">
        <v>1120</v>
      </c>
      <c r="H553" s="607">
        <v>0</v>
      </c>
      <c r="I553" s="607">
        <v>0</v>
      </c>
      <c r="J553" s="607"/>
    </row>
    <row r="554" spans="1:10" s="285" customFormat="1">
      <c r="A554" s="696">
        <v>325</v>
      </c>
      <c r="B554" s="726">
        <v>100</v>
      </c>
      <c r="C554" s="706">
        <v>200</v>
      </c>
      <c r="D554" s="714">
        <v>500</v>
      </c>
      <c r="E554" s="714">
        <v>5</v>
      </c>
      <c r="F554" s="714"/>
      <c r="G554" s="684" t="s">
        <v>1121</v>
      </c>
      <c r="H554" s="606">
        <v>0</v>
      </c>
      <c r="I554" s="606">
        <v>0</v>
      </c>
      <c r="J554" s="606"/>
    </row>
    <row r="555" spans="1:10" s="285" customFormat="1">
      <c r="A555" s="696">
        <v>325</v>
      </c>
      <c r="B555" s="726">
        <v>100</v>
      </c>
      <c r="C555" s="706">
        <v>200</v>
      </c>
      <c r="D555" s="714">
        <v>500</v>
      </c>
      <c r="E555" s="714">
        <v>10</v>
      </c>
      <c r="F555" s="714"/>
      <c r="G555" s="684" t="s">
        <v>1122</v>
      </c>
      <c r="H555" s="606">
        <v>0</v>
      </c>
      <c r="I555" s="606">
        <v>0</v>
      </c>
      <c r="J555" s="606"/>
    </row>
    <row r="556" spans="1:10" s="285" customFormat="1">
      <c r="A556" s="696">
        <v>325</v>
      </c>
      <c r="B556" s="726">
        <v>100</v>
      </c>
      <c r="C556" s="706">
        <v>200</v>
      </c>
      <c r="D556" s="714">
        <v>500</v>
      </c>
      <c r="E556" s="714">
        <v>15</v>
      </c>
      <c r="F556" s="714"/>
      <c r="G556" s="684" t="s">
        <v>1162</v>
      </c>
      <c r="H556" s="606">
        <v>0</v>
      </c>
      <c r="I556" s="606">
        <v>19</v>
      </c>
      <c r="J556" s="606"/>
    </row>
    <row r="557" spans="1:10" s="285" customFormat="1">
      <c r="A557" s="696">
        <v>325</v>
      </c>
      <c r="B557" s="726">
        <v>100</v>
      </c>
      <c r="C557" s="706">
        <v>200</v>
      </c>
      <c r="D557" s="714">
        <v>900</v>
      </c>
      <c r="E557" s="714"/>
      <c r="F557" s="714"/>
      <c r="G557" s="684" t="s">
        <v>1140</v>
      </c>
      <c r="H557" s="606">
        <v>1862.76</v>
      </c>
      <c r="I557" s="606">
        <v>14844</v>
      </c>
      <c r="J557" s="606"/>
    </row>
    <row r="558" spans="1:10" s="285" customFormat="1">
      <c r="A558" s="696">
        <v>325</v>
      </c>
      <c r="B558" s="726">
        <v>100</v>
      </c>
      <c r="C558" s="706">
        <v>300</v>
      </c>
      <c r="D558" s="714"/>
      <c r="E558" s="714"/>
      <c r="F558" s="714"/>
      <c r="G558" s="638" t="s">
        <v>1165</v>
      </c>
      <c r="H558" s="606">
        <v>0</v>
      </c>
      <c r="I558" s="606">
        <v>0</v>
      </c>
      <c r="J558" s="606" t="s">
        <v>1166</v>
      </c>
    </row>
    <row r="559" spans="1:10" s="285" customFormat="1">
      <c r="A559" s="696">
        <v>325</v>
      </c>
      <c r="B559" s="726">
        <v>200</v>
      </c>
      <c r="C559" s="706"/>
      <c r="D559" s="714"/>
      <c r="E559" s="714"/>
      <c r="F559" s="714"/>
      <c r="G559" s="638" t="s">
        <v>1167</v>
      </c>
      <c r="H559" s="607">
        <v>0</v>
      </c>
      <c r="I559" s="607">
        <v>0</v>
      </c>
      <c r="J559" s="607" t="s">
        <v>1168</v>
      </c>
    </row>
    <row r="560" spans="1:10" s="285" customFormat="1" ht="27.6">
      <c r="A560" s="696">
        <v>325</v>
      </c>
      <c r="B560" s="726">
        <v>200</v>
      </c>
      <c r="C560" s="706">
        <v>100</v>
      </c>
      <c r="D560" s="714"/>
      <c r="E560" s="714"/>
      <c r="F560" s="714"/>
      <c r="G560" s="638" t="s">
        <v>1169</v>
      </c>
      <c r="H560" s="607">
        <v>0</v>
      </c>
      <c r="I560" s="607">
        <v>0</v>
      </c>
      <c r="J560" s="607" t="s">
        <v>1170</v>
      </c>
    </row>
    <row r="561" spans="1:10" s="285" customFormat="1">
      <c r="A561" s="696">
        <v>325</v>
      </c>
      <c r="B561" s="726">
        <v>200</v>
      </c>
      <c r="C561" s="706">
        <v>100</v>
      </c>
      <c r="D561" s="714">
        <v>100</v>
      </c>
      <c r="E561" s="714"/>
      <c r="F561" s="714"/>
      <c r="G561" s="684" t="s">
        <v>1112</v>
      </c>
      <c r="H561" s="606">
        <v>0</v>
      </c>
      <c r="I561" s="606">
        <v>0</v>
      </c>
      <c r="J561" s="606"/>
    </row>
    <row r="562" spans="1:10" s="285" customFormat="1">
      <c r="A562" s="696">
        <v>325</v>
      </c>
      <c r="B562" s="726">
        <v>200</v>
      </c>
      <c r="C562" s="706">
        <v>100</v>
      </c>
      <c r="D562" s="714">
        <v>200</v>
      </c>
      <c r="E562" s="714"/>
      <c r="F562" s="714"/>
      <c r="G562" s="684" t="s">
        <v>1148</v>
      </c>
      <c r="H562" s="606">
        <v>0</v>
      </c>
      <c r="I562" s="606">
        <v>0</v>
      </c>
      <c r="J562" s="606"/>
    </row>
    <row r="563" spans="1:10" s="285" customFormat="1">
      <c r="A563" s="696">
        <v>325</v>
      </c>
      <c r="B563" s="726">
        <v>200</v>
      </c>
      <c r="C563" s="706">
        <v>100</v>
      </c>
      <c r="D563" s="714">
        <v>300</v>
      </c>
      <c r="E563" s="714"/>
      <c r="F563" s="714"/>
      <c r="G563" s="684" t="s">
        <v>1149</v>
      </c>
      <c r="H563" s="606">
        <v>0</v>
      </c>
      <c r="I563" s="606">
        <v>0</v>
      </c>
      <c r="J563" s="606"/>
    </row>
    <row r="564" spans="1:10" s="285" customFormat="1">
      <c r="A564" s="696">
        <v>325</v>
      </c>
      <c r="B564" s="726">
        <v>200</v>
      </c>
      <c r="C564" s="706">
        <v>100</v>
      </c>
      <c r="D564" s="714">
        <v>400</v>
      </c>
      <c r="E564" s="714"/>
      <c r="F564" s="714"/>
      <c r="G564" s="684" t="s">
        <v>1150</v>
      </c>
      <c r="H564" s="606">
        <v>0</v>
      </c>
      <c r="I564" s="606">
        <v>0</v>
      </c>
      <c r="J564" s="606"/>
    </row>
    <row r="565" spans="1:10" s="285" customFormat="1">
      <c r="A565" s="696">
        <v>325</v>
      </c>
      <c r="B565" s="726">
        <v>200</v>
      </c>
      <c r="C565" s="706">
        <v>100</v>
      </c>
      <c r="D565" s="714">
        <v>500</v>
      </c>
      <c r="E565" s="714"/>
      <c r="F565" s="714"/>
      <c r="G565" s="684" t="s">
        <v>1137</v>
      </c>
      <c r="H565" s="606">
        <v>0</v>
      </c>
      <c r="I565" s="606">
        <v>0</v>
      </c>
      <c r="J565" s="606"/>
    </row>
    <row r="566" spans="1:10" s="285" customFormat="1">
      <c r="A566" s="696">
        <v>325</v>
      </c>
      <c r="B566" s="726">
        <v>200</v>
      </c>
      <c r="C566" s="706">
        <v>100</v>
      </c>
      <c r="D566" s="714">
        <v>600</v>
      </c>
      <c r="E566" s="714"/>
      <c r="F566" s="714"/>
      <c r="G566" s="685" t="s">
        <v>1120</v>
      </c>
      <c r="H566" s="607">
        <v>0</v>
      </c>
      <c r="I566" s="607">
        <v>0</v>
      </c>
      <c r="J566" s="607"/>
    </row>
    <row r="567" spans="1:10" s="285" customFormat="1">
      <c r="A567" s="696">
        <v>325</v>
      </c>
      <c r="B567" s="726">
        <v>200</v>
      </c>
      <c r="C567" s="706">
        <v>100</v>
      </c>
      <c r="D567" s="714">
        <v>600</v>
      </c>
      <c r="E567" s="714">
        <v>5</v>
      </c>
      <c r="F567" s="714"/>
      <c r="G567" s="684" t="s">
        <v>1121</v>
      </c>
      <c r="H567" s="606">
        <v>0</v>
      </c>
      <c r="I567" s="606">
        <v>0</v>
      </c>
      <c r="J567" s="606"/>
    </row>
    <row r="568" spans="1:10" s="285" customFormat="1">
      <c r="A568" s="696">
        <v>325</v>
      </c>
      <c r="B568" s="726">
        <v>200</v>
      </c>
      <c r="C568" s="706">
        <v>100</v>
      </c>
      <c r="D568" s="714">
        <v>600</v>
      </c>
      <c r="E568" s="714">
        <v>10</v>
      </c>
      <c r="F568" s="714"/>
      <c r="G568" s="684" t="s">
        <v>1122</v>
      </c>
      <c r="H568" s="606">
        <v>0</v>
      </c>
      <c r="I568" s="606">
        <v>0</v>
      </c>
      <c r="J568" s="606"/>
    </row>
    <row r="569" spans="1:10" s="285" customFormat="1">
      <c r="A569" s="696">
        <v>325</v>
      </c>
      <c r="B569" s="726">
        <v>200</v>
      </c>
      <c r="C569" s="706">
        <v>100</v>
      </c>
      <c r="D569" s="714">
        <v>600</v>
      </c>
      <c r="E569" s="714">
        <v>15</v>
      </c>
      <c r="F569" s="714"/>
      <c r="G569" s="684" t="s">
        <v>1151</v>
      </c>
      <c r="H569" s="606">
        <v>0</v>
      </c>
      <c r="I569" s="606">
        <v>0</v>
      </c>
      <c r="J569" s="606"/>
    </row>
    <row r="570" spans="1:10" s="285" customFormat="1">
      <c r="A570" s="696">
        <v>325</v>
      </c>
      <c r="B570" s="726">
        <v>200</v>
      </c>
      <c r="C570" s="706">
        <v>100</v>
      </c>
      <c r="D570" s="714">
        <v>900</v>
      </c>
      <c r="E570" s="714"/>
      <c r="F570" s="714"/>
      <c r="G570" s="684" t="s">
        <v>1140</v>
      </c>
      <c r="H570" s="606">
        <v>0</v>
      </c>
      <c r="I570" s="606">
        <v>0</v>
      </c>
      <c r="J570" s="606"/>
    </row>
    <row r="571" spans="1:10" s="285" customFormat="1" ht="27.6">
      <c r="A571" s="696">
        <v>325</v>
      </c>
      <c r="B571" s="726">
        <v>200</v>
      </c>
      <c r="C571" s="706">
        <v>200</v>
      </c>
      <c r="D571" s="714"/>
      <c r="E571" s="714"/>
      <c r="F571" s="714"/>
      <c r="G571" s="676" t="s">
        <v>1171</v>
      </c>
      <c r="H571" s="607">
        <v>0</v>
      </c>
      <c r="I571" s="607">
        <v>0</v>
      </c>
      <c r="J571" s="607" t="s">
        <v>1172</v>
      </c>
    </row>
    <row r="572" spans="1:10" s="285" customFormat="1">
      <c r="A572" s="696">
        <v>325</v>
      </c>
      <c r="B572" s="726">
        <v>200</v>
      </c>
      <c r="C572" s="706">
        <v>200</v>
      </c>
      <c r="D572" s="714">
        <v>100</v>
      </c>
      <c r="E572" s="714"/>
      <c r="F572" s="714"/>
      <c r="G572" s="684" t="s">
        <v>1112</v>
      </c>
      <c r="H572" s="606">
        <v>0</v>
      </c>
      <c r="I572" s="606">
        <v>0</v>
      </c>
      <c r="J572" s="606"/>
    </row>
    <row r="573" spans="1:10" s="285" customFormat="1">
      <c r="A573" s="696">
        <v>325</v>
      </c>
      <c r="B573" s="726">
        <v>200</v>
      </c>
      <c r="C573" s="706">
        <v>200</v>
      </c>
      <c r="D573" s="714">
        <v>200</v>
      </c>
      <c r="E573" s="714"/>
      <c r="F573" s="714"/>
      <c r="G573" s="684" t="s">
        <v>1148</v>
      </c>
      <c r="H573" s="606">
        <v>0</v>
      </c>
      <c r="I573" s="606">
        <v>0</v>
      </c>
      <c r="J573" s="606"/>
    </row>
    <row r="574" spans="1:10" s="285" customFormat="1">
      <c r="A574" s="696">
        <v>325</v>
      </c>
      <c r="B574" s="726">
        <v>200</v>
      </c>
      <c r="C574" s="706">
        <v>200</v>
      </c>
      <c r="D574" s="714">
        <v>300</v>
      </c>
      <c r="E574" s="714"/>
      <c r="F574" s="714"/>
      <c r="G574" s="684" t="s">
        <v>1149</v>
      </c>
      <c r="H574" s="606">
        <v>0</v>
      </c>
      <c r="I574" s="606">
        <v>0</v>
      </c>
      <c r="J574" s="606"/>
    </row>
    <row r="575" spans="1:10" s="285" customFormat="1">
      <c r="A575" s="696">
        <v>325</v>
      </c>
      <c r="B575" s="726">
        <v>200</v>
      </c>
      <c r="C575" s="706">
        <v>200</v>
      </c>
      <c r="D575" s="714">
        <v>400</v>
      </c>
      <c r="E575" s="714"/>
      <c r="F575" s="714"/>
      <c r="G575" s="684" t="s">
        <v>1150</v>
      </c>
      <c r="H575" s="606">
        <v>0</v>
      </c>
      <c r="I575" s="606">
        <v>0</v>
      </c>
      <c r="J575" s="606"/>
    </row>
    <row r="576" spans="1:10" s="285" customFormat="1">
      <c r="A576" s="696">
        <v>325</v>
      </c>
      <c r="B576" s="726">
        <v>200</v>
      </c>
      <c r="C576" s="706">
        <v>200</v>
      </c>
      <c r="D576" s="714">
        <v>500</v>
      </c>
      <c r="E576" s="714"/>
      <c r="F576" s="714"/>
      <c r="G576" s="684" t="s">
        <v>1137</v>
      </c>
      <c r="H576" s="606">
        <v>0</v>
      </c>
      <c r="I576" s="606">
        <v>0</v>
      </c>
      <c r="J576" s="606"/>
    </row>
    <row r="577" spans="1:10" s="285" customFormat="1">
      <c r="A577" s="696">
        <v>325</v>
      </c>
      <c r="B577" s="726">
        <v>200</v>
      </c>
      <c r="C577" s="706">
        <v>200</v>
      </c>
      <c r="D577" s="714">
        <v>600</v>
      </c>
      <c r="E577" s="714"/>
      <c r="F577" s="714"/>
      <c r="G577" s="685" t="s">
        <v>1120</v>
      </c>
      <c r="H577" s="607">
        <v>0</v>
      </c>
      <c r="I577" s="607">
        <v>0</v>
      </c>
      <c r="J577" s="607"/>
    </row>
    <row r="578" spans="1:10" s="285" customFormat="1">
      <c r="A578" s="696">
        <v>325</v>
      </c>
      <c r="B578" s="726">
        <v>200</v>
      </c>
      <c r="C578" s="706">
        <v>200</v>
      </c>
      <c r="D578" s="714">
        <v>600</v>
      </c>
      <c r="E578" s="714">
        <v>5</v>
      </c>
      <c r="F578" s="714"/>
      <c r="G578" s="684" t="s">
        <v>1121</v>
      </c>
      <c r="H578" s="606">
        <v>0</v>
      </c>
      <c r="I578" s="606">
        <v>0</v>
      </c>
      <c r="J578" s="606"/>
    </row>
    <row r="579" spans="1:10" s="285" customFormat="1">
      <c r="A579" s="696">
        <v>325</v>
      </c>
      <c r="B579" s="726">
        <v>200</v>
      </c>
      <c r="C579" s="706">
        <v>200</v>
      </c>
      <c r="D579" s="714">
        <v>600</v>
      </c>
      <c r="E579" s="714">
        <v>10</v>
      </c>
      <c r="F579" s="714"/>
      <c r="G579" s="684" t="s">
        <v>1122</v>
      </c>
      <c r="H579" s="606">
        <v>0</v>
      </c>
      <c r="I579" s="606">
        <v>0</v>
      </c>
      <c r="J579" s="606"/>
    </row>
    <row r="580" spans="1:10" s="285" customFormat="1">
      <c r="A580" s="696">
        <v>325</v>
      </c>
      <c r="B580" s="726">
        <v>200</v>
      </c>
      <c r="C580" s="706">
        <v>200</v>
      </c>
      <c r="D580" s="714">
        <v>600</v>
      </c>
      <c r="E580" s="714">
        <v>15</v>
      </c>
      <c r="F580" s="714"/>
      <c r="G580" s="684" t="s">
        <v>1151</v>
      </c>
      <c r="H580" s="606">
        <v>0</v>
      </c>
      <c r="I580" s="606">
        <v>0</v>
      </c>
      <c r="J580" s="606"/>
    </row>
    <row r="581" spans="1:10" s="285" customFormat="1">
      <c r="A581" s="696">
        <v>325</v>
      </c>
      <c r="B581" s="726">
        <v>200</v>
      </c>
      <c r="C581" s="706">
        <v>200</v>
      </c>
      <c r="D581" s="714">
        <v>900</v>
      </c>
      <c r="E581" s="714"/>
      <c r="F581" s="714"/>
      <c r="G581" s="684" t="s">
        <v>1140</v>
      </c>
      <c r="H581" s="606">
        <v>0</v>
      </c>
      <c r="I581" s="606">
        <v>0</v>
      </c>
      <c r="J581" s="606"/>
    </row>
    <row r="582" spans="1:10" s="285" customFormat="1">
      <c r="A582" s="696">
        <v>325</v>
      </c>
      <c r="B582" s="726">
        <v>200</v>
      </c>
      <c r="C582" s="706">
        <v>300</v>
      </c>
      <c r="D582" s="714"/>
      <c r="E582" s="714"/>
      <c r="F582" s="714"/>
      <c r="G582" s="638" t="s">
        <v>1173</v>
      </c>
      <c r="H582" s="606">
        <v>0</v>
      </c>
      <c r="I582" s="606">
        <v>0</v>
      </c>
      <c r="J582" s="606" t="s">
        <v>1174</v>
      </c>
    </row>
    <row r="583" spans="1:10" s="285" customFormat="1">
      <c r="A583" s="694">
        <v>330</v>
      </c>
      <c r="B583" s="724">
        <v>0</v>
      </c>
      <c r="C583" s="647">
        <v>0</v>
      </c>
      <c r="D583" s="683">
        <v>0</v>
      </c>
      <c r="E583" s="683">
        <v>0</v>
      </c>
      <c r="F583" s="683">
        <v>0</v>
      </c>
      <c r="G583" s="675" t="s">
        <v>1175</v>
      </c>
      <c r="H583" s="607">
        <v>0</v>
      </c>
      <c r="I583" s="607">
        <v>0</v>
      </c>
      <c r="J583" s="607" t="s">
        <v>1176</v>
      </c>
    </row>
    <row r="584" spans="1:10" s="285" customFormat="1">
      <c r="A584" s="696">
        <v>330</v>
      </c>
      <c r="B584" s="726">
        <v>100</v>
      </c>
      <c r="C584" s="706"/>
      <c r="D584" s="714"/>
      <c r="E584" s="714"/>
      <c r="F584" s="714"/>
      <c r="G584" s="638" t="s">
        <v>1177</v>
      </c>
      <c r="H584" s="607">
        <v>0</v>
      </c>
      <c r="I584" s="607">
        <v>0</v>
      </c>
      <c r="J584" s="607" t="s">
        <v>1178</v>
      </c>
    </row>
    <row r="585" spans="1:10" s="285" customFormat="1" ht="27.6">
      <c r="A585" s="696">
        <v>330</v>
      </c>
      <c r="B585" s="726">
        <v>100</v>
      </c>
      <c r="C585" s="706">
        <v>100</v>
      </c>
      <c r="D585" s="714"/>
      <c r="E585" s="714"/>
      <c r="F585" s="714"/>
      <c r="G585" s="638" t="s">
        <v>1179</v>
      </c>
      <c r="H585" s="607">
        <v>0</v>
      </c>
      <c r="I585" s="607">
        <v>0</v>
      </c>
      <c r="J585" s="607" t="s">
        <v>1180</v>
      </c>
    </row>
    <row r="586" spans="1:10" s="285" customFormat="1">
      <c r="A586" s="696">
        <v>330</v>
      </c>
      <c r="B586" s="726">
        <v>100</v>
      </c>
      <c r="C586" s="706">
        <v>100</v>
      </c>
      <c r="D586" s="714">
        <v>100</v>
      </c>
      <c r="E586" s="714"/>
      <c r="F586" s="714"/>
      <c r="G586" s="684" t="s">
        <v>1112</v>
      </c>
      <c r="H586" s="606">
        <v>44833.67</v>
      </c>
      <c r="I586" s="606">
        <v>43124</v>
      </c>
      <c r="J586" s="606"/>
    </row>
    <row r="587" spans="1:10" s="285" customFormat="1">
      <c r="A587" s="696">
        <v>330</v>
      </c>
      <c r="B587" s="726">
        <v>100</v>
      </c>
      <c r="C587" s="706">
        <v>100</v>
      </c>
      <c r="D587" s="714">
        <v>200</v>
      </c>
      <c r="E587" s="714"/>
      <c r="F587" s="714"/>
      <c r="G587" s="684" t="s">
        <v>1113</v>
      </c>
      <c r="H587" s="606">
        <v>13423.25</v>
      </c>
      <c r="I587" s="606">
        <v>13377</v>
      </c>
      <c r="J587" s="606"/>
    </row>
    <row r="588" spans="1:10" s="285" customFormat="1">
      <c r="A588" s="696">
        <v>330</v>
      </c>
      <c r="B588" s="726">
        <v>100</v>
      </c>
      <c r="C588" s="706">
        <v>100</v>
      </c>
      <c r="D588" s="714">
        <v>300</v>
      </c>
      <c r="E588" s="714"/>
      <c r="F588" s="714"/>
      <c r="G588" s="684" t="s">
        <v>1136</v>
      </c>
      <c r="H588" s="606">
        <v>4611.6000000000004</v>
      </c>
      <c r="I588" s="606">
        <v>3374</v>
      </c>
      <c r="J588" s="606"/>
    </row>
    <row r="589" spans="1:10" s="285" customFormat="1">
      <c r="A589" s="696">
        <v>330</v>
      </c>
      <c r="B589" s="726">
        <v>100</v>
      </c>
      <c r="C589" s="706">
        <v>100</v>
      </c>
      <c r="D589" s="714">
        <v>400</v>
      </c>
      <c r="E589" s="714"/>
      <c r="F589" s="714"/>
      <c r="G589" s="684" t="s">
        <v>1137</v>
      </c>
      <c r="H589" s="606">
        <v>430.35</v>
      </c>
      <c r="I589" s="606">
        <v>129</v>
      </c>
      <c r="J589" s="606"/>
    </row>
    <row r="590" spans="1:10" s="285" customFormat="1">
      <c r="A590" s="696">
        <v>330</v>
      </c>
      <c r="B590" s="726">
        <v>100</v>
      </c>
      <c r="C590" s="706">
        <v>100</v>
      </c>
      <c r="D590" s="714">
        <v>500</v>
      </c>
      <c r="E590" s="714"/>
      <c r="F590" s="714"/>
      <c r="G590" s="685" t="s">
        <v>1120</v>
      </c>
      <c r="H590" s="607">
        <v>0</v>
      </c>
      <c r="I590" s="607">
        <v>0</v>
      </c>
      <c r="J590" s="607"/>
    </row>
    <row r="591" spans="1:10" s="285" customFormat="1">
      <c r="A591" s="696">
        <v>330</v>
      </c>
      <c r="B591" s="726">
        <v>100</v>
      </c>
      <c r="C591" s="706">
        <v>100</v>
      </c>
      <c r="D591" s="714">
        <v>500</v>
      </c>
      <c r="E591" s="714">
        <v>5</v>
      </c>
      <c r="F591" s="714"/>
      <c r="G591" s="684" t="s">
        <v>1121</v>
      </c>
      <c r="H591" s="606">
        <v>0</v>
      </c>
      <c r="I591" s="606">
        <v>0</v>
      </c>
      <c r="J591" s="606"/>
    </row>
    <row r="592" spans="1:10" s="285" customFormat="1">
      <c r="A592" s="696">
        <v>330</v>
      </c>
      <c r="B592" s="726">
        <v>100</v>
      </c>
      <c r="C592" s="706">
        <v>100</v>
      </c>
      <c r="D592" s="714">
        <v>500</v>
      </c>
      <c r="E592" s="714">
        <v>10</v>
      </c>
      <c r="F592" s="714"/>
      <c r="G592" s="684" t="s">
        <v>1122</v>
      </c>
      <c r="H592" s="606">
        <v>0</v>
      </c>
      <c r="I592" s="606">
        <v>0</v>
      </c>
      <c r="J592" s="606"/>
    </row>
    <row r="593" spans="1:10" s="285" customFormat="1">
      <c r="A593" s="696">
        <v>330</v>
      </c>
      <c r="B593" s="726">
        <v>100</v>
      </c>
      <c r="C593" s="706">
        <v>100</v>
      </c>
      <c r="D593" s="714">
        <v>500</v>
      </c>
      <c r="E593" s="714">
        <v>15</v>
      </c>
      <c r="F593" s="714"/>
      <c r="G593" s="684" t="s">
        <v>1181</v>
      </c>
      <c r="H593" s="606">
        <v>0</v>
      </c>
      <c r="I593" s="606">
        <v>0</v>
      </c>
      <c r="J593" s="606"/>
    </row>
    <row r="594" spans="1:10" s="285" customFormat="1">
      <c r="A594" s="696">
        <v>330</v>
      </c>
      <c r="B594" s="726">
        <v>100</v>
      </c>
      <c r="C594" s="706">
        <v>100</v>
      </c>
      <c r="D594" s="714">
        <v>900</v>
      </c>
      <c r="E594" s="714"/>
      <c r="F594" s="714"/>
      <c r="G594" s="684" t="s">
        <v>1140</v>
      </c>
      <c r="H594" s="606">
        <v>17969.400000000001</v>
      </c>
      <c r="I594" s="606">
        <v>19472</v>
      </c>
      <c r="J594" s="606"/>
    </row>
    <row r="595" spans="1:10" s="285" customFormat="1" ht="27.6">
      <c r="A595" s="696">
        <v>330</v>
      </c>
      <c r="B595" s="726">
        <v>100</v>
      </c>
      <c r="C595" s="706">
        <v>200</v>
      </c>
      <c r="D595" s="714"/>
      <c r="E595" s="714"/>
      <c r="F595" s="714"/>
      <c r="G595" s="638" t="s">
        <v>1182</v>
      </c>
      <c r="H595" s="607">
        <v>0</v>
      </c>
      <c r="I595" s="607">
        <v>0</v>
      </c>
      <c r="J595" s="607" t="s">
        <v>1183</v>
      </c>
    </row>
    <row r="596" spans="1:10" s="285" customFormat="1">
      <c r="A596" s="696">
        <v>330</v>
      </c>
      <c r="B596" s="726">
        <v>100</v>
      </c>
      <c r="C596" s="706">
        <v>200</v>
      </c>
      <c r="D596" s="714">
        <v>100</v>
      </c>
      <c r="E596" s="714"/>
      <c r="F596" s="714"/>
      <c r="G596" s="684" t="s">
        <v>1112</v>
      </c>
      <c r="H596" s="606">
        <v>89285.02</v>
      </c>
      <c r="I596" s="606">
        <v>85619</v>
      </c>
      <c r="J596" s="606"/>
    </row>
    <row r="597" spans="1:10" s="285" customFormat="1">
      <c r="A597" s="696">
        <v>330</v>
      </c>
      <c r="B597" s="726">
        <v>100</v>
      </c>
      <c r="C597" s="706">
        <v>200</v>
      </c>
      <c r="D597" s="714">
        <v>200</v>
      </c>
      <c r="E597" s="714"/>
      <c r="F597" s="714"/>
      <c r="G597" s="684" t="s">
        <v>1113</v>
      </c>
      <c r="H597" s="606">
        <v>1365.78</v>
      </c>
      <c r="I597" s="606">
        <v>1309</v>
      </c>
      <c r="J597" s="606"/>
    </row>
    <row r="598" spans="1:10" s="285" customFormat="1">
      <c r="A598" s="696">
        <v>330</v>
      </c>
      <c r="B598" s="726">
        <v>100</v>
      </c>
      <c r="C598" s="706">
        <v>200</v>
      </c>
      <c r="D598" s="714">
        <v>300</v>
      </c>
      <c r="E598" s="714"/>
      <c r="F598" s="714"/>
      <c r="G598" s="684" t="s">
        <v>1136</v>
      </c>
      <c r="H598" s="606">
        <v>6083.56</v>
      </c>
      <c r="I598" s="606">
        <v>763</v>
      </c>
      <c r="J598" s="606"/>
    </row>
    <row r="599" spans="1:10" s="285" customFormat="1">
      <c r="A599" s="696">
        <v>330</v>
      </c>
      <c r="B599" s="726">
        <v>100</v>
      </c>
      <c r="C599" s="706">
        <v>200</v>
      </c>
      <c r="D599" s="714">
        <v>400</v>
      </c>
      <c r="E599" s="714"/>
      <c r="F599" s="714"/>
      <c r="G599" s="684" t="s">
        <v>1137</v>
      </c>
      <c r="H599" s="606">
        <v>430.35</v>
      </c>
      <c r="I599" s="606">
        <v>0</v>
      </c>
      <c r="J599" s="606"/>
    </row>
    <row r="600" spans="1:10" s="285" customFormat="1">
      <c r="A600" s="696">
        <v>330</v>
      </c>
      <c r="B600" s="726">
        <v>100</v>
      </c>
      <c r="C600" s="706">
        <v>200</v>
      </c>
      <c r="D600" s="714">
        <v>500</v>
      </c>
      <c r="E600" s="714"/>
      <c r="F600" s="714"/>
      <c r="G600" s="685" t="s">
        <v>1120</v>
      </c>
      <c r="H600" s="607">
        <v>0</v>
      </c>
      <c r="I600" s="607">
        <v>0</v>
      </c>
      <c r="J600" s="607"/>
    </row>
    <row r="601" spans="1:10" s="285" customFormat="1">
      <c r="A601" s="696">
        <v>330</v>
      </c>
      <c r="B601" s="726">
        <v>100</v>
      </c>
      <c r="C601" s="706">
        <v>200</v>
      </c>
      <c r="D601" s="714">
        <v>500</v>
      </c>
      <c r="E601" s="714">
        <v>5</v>
      </c>
      <c r="F601" s="714"/>
      <c r="G601" s="684" t="s">
        <v>1121</v>
      </c>
      <c r="H601" s="606">
        <v>0</v>
      </c>
      <c r="I601" s="606">
        <v>0</v>
      </c>
      <c r="J601" s="606"/>
    </row>
    <row r="602" spans="1:10" s="285" customFormat="1">
      <c r="A602" s="696">
        <v>330</v>
      </c>
      <c r="B602" s="726">
        <v>100</v>
      </c>
      <c r="C602" s="706">
        <v>200</v>
      </c>
      <c r="D602" s="714">
        <v>500</v>
      </c>
      <c r="E602" s="714">
        <v>10</v>
      </c>
      <c r="F602" s="714"/>
      <c r="G602" s="684" t="s">
        <v>1122</v>
      </c>
      <c r="H602" s="606">
        <v>0</v>
      </c>
      <c r="I602" s="606">
        <v>0</v>
      </c>
      <c r="J602" s="606"/>
    </row>
    <row r="603" spans="1:10" s="285" customFormat="1">
      <c r="A603" s="696">
        <v>330</v>
      </c>
      <c r="B603" s="726">
        <v>100</v>
      </c>
      <c r="C603" s="706">
        <v>200</v>
      </c>
      <c r="D603" s="714">
        <v>500</v>
      </c>
      <c r="E603" s="714">
        <v>15</v>
      </c>
      <c r="F603" s="714"/>
      <c r="G603" s="684" t="s">
        <v>1181</v>
      </c>
      <c r="H603" s="606">
        <v>0</v>
      </c>
      <c r="I603" s="606">
        <v>0</v>
      </c>
      <c r="J603" s="606"/>
    </row>
    <row r="604" spans="1:10" s="285" customFormat="1">
      <c r="A604" s="696">
        <v>330</v>
      </c>
      <c r="B604" s="726">
        <v>100</v>
      </c>
      <c r="C604" s="706">
        <v>200</v>
      </c>
      <c r="D604" s="714">
        <v>900</v>
      </c>
      <c r="E604" s="714"/>
      <c r="F604" s="714"/>
      <c r="G604" s="684" t="s">
        <v>1140</v>
      </c>
      <c r="H604" s="606">
        <v>29751.61</v>
      </c>
      <c r="I604" s="606">
        <v>28052</v>
      </c>
      <c r="J604" s="606"/>
    </row>
    <row r="605" spans="1:10" s="285" customFormat="1">
      <c r="A605" s="696">
        <v>330</v>
      </c>
      <c r="B605" s="726">
        <v>100</v>
      </c>
      <c r="C605" s="706">
        <v>300</v>
      </c>
      <c r="D605" s="714"/>
      <c r="E605" s="714"/>
      <c r="F605" s="714"/>
      <c r="G605" s="638" t="s">
        <v>1184</v>
      </c>
      <c r="H605" s="606">
        <v>0</v>
      </c>
      <c r="I605" s="606">
        <v>0</v>
      </c>
      <c r="J605" s="606" t="s">
        <v>1185</v>
      </c>
    </row>
    <row r="606" spans="1:10" s="285" customFormat="1">
      <c r="A606" s="696">
        <v>330</v>
      </c>
      <c r="B606" s="726">
        <v>200</v>
      </c>
      <c r="C606" s="706"/>
      <c r="D606" s="714"/>
      <c r="E606" s="714"/>
      <c r="F606" s="714"/>
      <c r="G606" s="638" t="s">
        <v>1186</v>
      </c>
      <c r="H606" s="607">
        <v>0</v>
      </c>
      <c r="I606" s="607">
        <v>0</v>
      </c>
      <c r="J606" s="607" t="s">
        <v>1187</v>
      </c>
    </row>
    <row r="607" spans="1:10" s="285" customFormat="1" ht="27.6">
      <c r="A607" s="696">
        <v>330</v>
      </c>
      <c r="B607" s="726">
        <v>200</v>
      </c>
      <c r="C607" s="706">
        <v>100</v>
      </c>
      <c r="D607" s="714"/>
      <c r="E607" s="714"/>
      <c r="F607" s="714"/>
      <c r="G607" s="638" t="s">
        <v>1188</v>
      </c>
      <c r="H607" s="607">
        <v>0</v>
      </c>
      <c r="I607" s="607">
        <v>0</v>
      </c>
      <c r="J607" s="607" t="s">
        <v>1189</v>
      </c>
    </row>
    <row r="608" spans="1:10" s="285" customFormat="1">
      <c r="A608" s="696">
        <v>330</v>
      </c>
      <c r="B608" s="726">
        <v>200</v>
      </c>
      <c r="C608" s="706">
        <v>100</v>
      </c>
      <c r="D608" s="714">
        <v>100</v>
      </c>
      <c r="E608" s="714"/>
      <c r="F608" s="714"/>
      <c r="G608" s="684" t="s">
        <v>1112</v>
      </c>
      <c r="H608" s="606">
        <v>2385282.3199999998</v>
      </c>
      <c r="I608" s="606">
        <v>2387952</v>
      </c>
      <c r="J608" s="606"/>
    </row>
    <row r="609" spans="1:10" s="285" customFormat="1">
      <c r="A609" s="696">
        <v>330</v>
      </c>
      <c r="B609" s="726">
        <v>200</v>
      </c>
      <c r="C609" s="706">
        <v>100</v>
      </c>
      <c r="D609" s="714">
        <v>200</v>
      </c>
      <c r="E609" s="714"/>
      <c r="F609" s="714"/>
      <c r="G609" s="684" t="s">
        <v>1148</v>
      </c>
      <c r="H609" s="606">
        <v>22281.72</v>
      </c>
      <c r="I609" s="606">
        <v>25016</v>
      </c>
      <c r="J609" s="606"/>
    </row>
    <row r="610" spans="1:10" s="285" customFormat="1">
      <c r="A610" s="696">
        <v>330</v>
      </c>
      <c r="B610" s="726">
        <v>200</v>
      </c>
      <c r="C610" s="706">
        <v>100</v>
      </c>
      <c r="D610" s="714">
        <v>300</v>
      </c>
      <c r="E610" s="714"/>
      <c r="F610" s="714"/>
      <c r="G610" s="684" t="s">
        <v>1149</v>
      </c>
      <c r="H610" s="606">
        <v>34205.46</v>
      </c>
      <c r="I610" s="606">
        <v>43759</v>
      </c>
      <c r="J610" s="606"/>
    </row>
    <row r="611" spans="1:10" s="285" customFormat="1">
      <c r="A611" s="696">
        <v>330</v>
      </c>
      <c r="B611" s="726">
        <v>200</v>
      </c>
      <c r="C611" s="706">
        <v>100</v>
      </c>
      <c r="D611" s="714">
        <v>400</v>
      </c>
      <c r="E611" s="714"/>
      <c r="F611" s="714"/>
      <c r="G611" s="684" t="s">
        <v>1150</v>
      </c>
      <c r="H611" s="606">
        <v>419227.22</v>
      </c>
      <c r="I611" s="606">
        <v>414746</v>
      </c>
      <c r="J611" s="606"/>
    </row>
    <row r="612" spans="1:10" s="285" customFormat="1">
      <c r="A612" s="696">
        <v>330</v>
      </c>
      <c r="B612" s="726">
        <v>200</v>
      </c>
      <c r="C612" s="706">
        <v>100</v>
      </c>
      <c r="D612" s="714">
        <v>500</v>
      </c>
      <c r="E612" s="714"/>
      <c r="F612" s="714"/>
      <c r="G612" s="684" t="s">
        <v>1137</v>
      </c>
      <c r="H612" s="606">
        <v>203308.13</v>
      </c>
      <c r="I612" s="606">
        <v>192860</v>
      </c>
      <c r="J612" s="606"/>
    </row>
    <row r="613" spans="1:10" s="285" customFormat="1">
      <c r="A613" s="696">
        <v>330</v>
      </c>
      <c r="B613" s="726">
        <v>200</v>
      </c>
      <c r="C613" s="706">
        <v>100</v>
      </c>
      <c r="D613" s="714">
        <v>600</v>
      </c>
      <c r="E613" s="714"/>
      <c r="F613" s="714"/>
      <c r="G613" s="685" t="s">
        <v>1120</v>
      </c>
      <c r="H613" s="607">
        <v>0</v>
      </c>
      <c r="I613" s="607">
        <v>0</v>
      </c>
      <c r="J613" s="607"/>
    </row>
    <row r="614" spans="1:10" s="285" customFormat="1">
      <c r="A614" s="696">
        <v>330</v>
      </c>
      <c r="B614" s="726">
        <v>200</v>
      </c>
      <c r="C614" s="706">
        <v>100</v>
      </c>
      <c r="D614" s="714">
        <v>600</v>
      </c>
      <c r="E614" s="714">
        <v>5</v>
      </c>
      <c r="F614" s="714"/>
      <c r="G614" s="684" t="s">
        <v>1121</v>
      </c>
      <c r="H614" s="606">
        <v>0</v>
      </c>
      <c r="I614" s="606">
        <v>0</v>
      </c>
      <c r="J614" s="606"/>
    </row>
    <row r="615" spans="1:10" s="285" customFormat="1">
      <c r="A615" s="696">
        <v>330</v>
      </c>
      <c r="B615" s="726">
        <v>200</v>
      </c>
      <c r="C615" s="706">
        <v>100</v>
      </c>
      <c r="D615" s="714">
        <v>600</v>
      </c>
      <c r="E615" s="714">
        <v>10</v>
      </c>
      <c r="F615" s="714"/>
      <c r="G615" s="684" t="s">
        <v>1122</v>
      </c>
      <c r="H615" s="606">
        <v>0</v>
      </c>
      <c r="I615" s="606">
        <v>0</v>
      </c>
      <c r="J615" s="606"/>
    </row>
    <row r="616" spans="1:10" s="285" customFormat="1">
      <c r="A616" s="696">
        <v>330</v>
      </c>
      <c r="B616" s="726">
        <v>200</v>
      </c>
      <c r="C616" s="706">
        <v>100</v>
      </c>
      <c r="D616" s="714">
        <v>600</v>
      </c>
      <c r="E616" s="714">
        <v>15</v>
      </c>
      <c r="F616" s="714"/>
      <c r="G616" s="684" t="s">
        <v>1151</v>
      </c>
      <c r="H616" s="606">
        <v>251.35</v>
      </c>
      <c r="I616" s="606">
        <v>7347</v>
      </c>
      <c r="J616" s="606"/>
    </row>
    <row r="617" spans="1:10" s="285" customFormat="1">
      <c r="A617" s="696">
        <v>330</v>
      </c>
      <c r="B617" s="726">
        <v>200</v>
      </c>
      <c r="C617" s="706">
        <v>100</v>
      </c>
      <c r="D617" s="714">
        <v>900</v>
      </c>
      <c r="E617" s="714"/>
      <c r="F617" s="714"/>
      <c r="G617" s="684" t="s">
        <v>1140</v>
      </c>
      <c r="H617" s="606">
        <v>881722.21</v>
      </c>
      <c r="I617" s="606">
        <v>882849</v>
      </c>
      <c r="J617" s="606"/>
    </row>
    <row r="618" spans="1:10" s="285" customFormat="1" ht="27.6">
      <c r="A618" s="696">
        <v>330</v>
      </c>
      <c r="B618" s="726">
        <v>200</v>
      </c>
      <c r="C618" s="706">
        <v>200</v>
      </c>
      <c r="D618" s="714"/>
      <c r="E618" s="714"/>
      <c r="F618" s="714"/>
      <c r="G618" s="638" t="s">
        <v>1190</v>
      </c>
      <c r="H618" s="607">
        <v>0</v>
      </c>
      <c r="I618" s="607">
        <v>0</v>
      </c>
      <c r="J618" s="607" t="s">
        <v>1191</v>
      </c>
    </row>
    <row r="619" spans="1:10" s="285" customFormat="1">
      <c r="A619" s="696">
        <v>330</v>
      </c>
      <c r="B619" s="726">
        <v>200</v>
      </c>
      <c r="C619" s="706">
        <v>200</v>
      </c>
      <c r="D619" s="714">
        <v>100</v>
      </c>
      <c r="E619" s="714"/>
      <c r="F619" s="714"/>
      <c r="G619" s="684" t="s">
        <v>1112</v>
      </c>
      <c r="H619" s="606">
        <v>40585.53</v>
      </c>
      <c r="I619" s="606">
        <v>70250</v>
      </c>
      <c r="J619" s="606"/>
    </row>
    <row r="620" spans="1:10" s="285" customFormat="1">
      <c r="A620" s="696">
        <v>330</v>
      </c>
      <c r="B620" s="726">
        <v>200</v>
      </c>
      <c r="C620" s="706">
        <v>200</v>
      </c>
      <c r="D620" s="714">
        <v>200</v>
      </c>
      <c r="E620" s="714"/>
      <c r="F620" s="714"/>
      <c r="G620" s="684" t="s">
        <v>1148</v>
      </c>
      <c r="H620" s="606">
        <v>247.55</v>
      </c>
      <c r="I620" s="606">
        <v>649</v>
      </c>
      <c r="J620" s="606"/>
    </row>
    <row r="621" spans="1:10" s="285" customFormat="1">
      <c r="A621" s="696">
        <v>330</v>
      </c>
      <c r="B621" s="726">
        <v>200</v>
      </c>
      <c r="C621" s="706">
        <v>200</v>
      </c>
      <c r="D621" s="714">
        <v>300</v>
      </c>
      <c r="E621" s="714"/>
      <c r="F621" s="714"/>
      <c r="G621" s="684" t="s">
        <v>1149</v>
      </c>
      <c r="H621" s="606">
        <v>375.62</v>
      </c>
      <c r="I621" s="606">
        <v>1210</v>
      </c>
      <c r="J621" s="606"/>
    </row>
    <row r="622" spans="1:10" s="285" customFormat="1">
      <c r="A622" s="696">
        <v>330</v>
      </c>
      <c r="B622" s="726">
        <v>200</v>
      </c>
      <c r="C622" s="706">
        <v>200</v>
      </c>
      <c r="D622" s="714">
        <v>400</v>
      </c>
      <c r="E622" s="714"/>
      <c r="F622" s="714"/>
      <c r="G622" s="684" t="s">
        <v>1150</v>
      </c>
      <c r="H622" s="606">
        <v>6215.32</v>
      </c>
      <c r="I622" s="606">
        <v>7956</v>
      </c>
      <c r="J622" s="606"/>
    </row>
    <row r="623" spans="1:10" s="285" customFormat="1">
      <c r="A623" s="696">
        <v>330</v>
      </c>
      <c r="B623" s="726">
        <v>200</v>
      </c>
      <c r="C623" s="706">
        <v>200</v>
      </c>
      <c r="D623" s="714">
        <v>500</v>
      </c>
      <c r="E623" s="714"/>
      <c r="F623" s="714"/>
      <c r="G623" s="684" t="s">
        <v>1137</v>
      </c>
      <c r="H623" s="606">
        <v>761.95</v>
      </c>
      <c r="I623" s="606">
        <v>3119</v>
      </c>
      <c r="J623" s="606"/>
    </row>
    <row r="624" spans="1:10" s="285" customFormat="1">
      <c r="A624" s="696">
        <v>330</v>
      </c>
      <c r="B624" s="726">
        <v>200</v>
      </c>
      <c r="C624" s="706">
        <v>200</v>
      </c>
      <c r="D624" s="714">
        <v>600</v>
      </c>
      <c r="E624" s="714"/>
      <c r="F624" s="714"/>
      <c r="G624" s="685" t="s">
        <v>1120</v>
      </c>
      <c r="H624" s="607">
        <v>0</v>
      </c>
      <c r="I624" s="607">
        <v>0</v>
      </c>
      <c r="J624" s="607"/>
    </row>
    <row r="625" spans="1:10" s="285" customFormat="1">
      <c r="A625" s="696">
        <v>330</v>
      </c>
      <c r="B625" s="726">
        <v>200</v>
      </c>
      <c r="C625" s="706">
        <v>200</v>
      </c>
      <c r="D625" s="714">
        <v>600</v>
      </c>
      <c r="E625" s="714">
        <v>5</v>
      </c>
      <c r="F625" s="714"/>
      <c r="G625" s="684" t="s">
        <v>1121</v>
      </c>
      <c r="H625" s="606">
        <v>0</v>
      </c>
      <c r="I625" s="606">
        <v>0</v>
      </c>
      <c r="J625" s="606"/>
    </row>
    <row r="626" spans="1:10" s="285" customFormat="1">
      <c r="A626" s="696">
        <v>330</v>
      </c>
      <c r="B626" s="726">
        <v>200</v>
      </c>
      <c r="C626" s="706">
        <v>200</v>
      </c>
      <c r="D626" s="714">
        <v>600</v>
      </c>
      <c r="E626" s="714">
        <v>10</v>
      </c>
      <c r="F626" s="714"/>
      <c r="G626" s="684" t="s">
        <v>1122</v>
      </c>
      <c r="H626" s="606">
        <v>0</v>
      </c>
      <c r="I626" s="606">
        <v>0</v>
      </c>
      <c r="J626" s="606"/>
    </row>
    <row r="627" spans="1:10" s="285" customFormat="1">
      <c r="A627" s="696">
        <v>330</v>
      </c>
      <c r="B627" s="726">
        <v>200</v>
      </c>
      <c r="C627" s="706">
        <v>200</v>
      </c>
      <c r="D627" s="714">
        <v>600</v>
      </c>
      <c r="E627" s="714">
        <v>15</v>
      </c>
      <c r="F627" s="714"/>
      <c r="G627" s="684" t="s">
        <v>1151</v>
      </c>
      <c r="H627" s="606">
        <v>0</v>
      </c>
      <c r="I627" s="606">
        <v>0</v>
      </c>
      <c r="J627" s="606"/>
    </row>
    <row r="628" spans="1:10" s="285" customFormat="1">
      <c r="A628" s="696">
        <v>330</v>
      </c>
      <c r="B628" s="726">
        <v>200</v>
      </c>
      <c r="C628" s="706">
        <v>200</v>
      </c>
      <c r="D628" s="714">
        <v>900</v>
      </c>
      <c r="E628" s="714"/>
      <c r="F628" s="714"/>
      <c r="G628" s="684" t="s">
        <v>1140</v>
      </c>
      <c r="H628" s="606">
        <v>15108.21</v>
      </c>
      <c r="I628" s="606">
        <v>25794</v>
      </c>
      <c r="J628" s="606"/>
    </row>
    <row r="629" spans="1:10" s="285" customFormat="1">
      <c r="A629" s="696">
        <v>330</v>
      </c>
      <c r="B629" s="726">
        <v>200</v>
      </c>
      <c r="C629" s="706">
        <v>300</v>
      </c>
      <c r="D629" s="714"/>
      <c r="E629" s="714"/>
      <c r="F629" s="714"/>
      <c r="G629" s="638" t="s">
        <v>1192</v>
      </c>
      <c r="H629" s="606">
        <v>0</v>
      </c>
      <c r="I629" s="606">
        <v>0</v>
      </c>
      <c r="J629" s="606" t="s">
        <v>1193</v>
      </c>
    </row>
    <row r="630" spans="1:10" s="285" customFormat="1">
      <c r="A630" s="694">
        <v>335</v>
      </c>
      <c r="B630" s="724">
        <v>0</v>
      </c>
      <c r="C630" s="647">
        <v>0</v>
      </c>
      <c r="D630" s="683">
        <v>0</v>
      </c>
      <c r="E630" s="683">
        <v>0</v>
      </c>
      <c r="F630" s="683">
        <v>0</v>
      </c>
      <c r="G630" s="675" t="s">
        <v>1194</v>
      </c>
      <c r="H630" s="607">
        <v>0</v>
      </c>
      <c r="I630" s="607">
        <v>0</v>
      </c>
      <c r="J630" s="607" t="s">
        <v>1195</v>
      </c>
    </row>
    <row r="631" spans="1:10" s="285" customFormat="1">
      <c r="A631" s="696">
        <v>335</v>
      </c>
      <c r="B631" s="726">
        <v>100</v>
      </c>
      <c r="C631" s="706"/>
      <c r="D631" s="714"/>
      <c r="E631" s="714"/>
      <c r="F631" s="714"/>
      <c r="G631" s="638" t="s">
        <v>1196</v>
      </c>
      <c r="H631" s="607">
        <v>0</v>
      </c>
      <c r="I631" s="607">
        <v>0</v>
      </c>
      <c r="J631" s="607" t="s">
        <v>1197</v>
      </c>
    </row>
    <row r="632" spans="1:10" s="285" customFormat="1" ht="27.6">
      <c r="A632" s="696">
        <v>335</v>
      </c>
      <c r="B632" s="726">
        <v>100</v>
      </c>
      <c r="C632" s="706">
        <v>100</v>
      </c>
      <c r="D632" s="714"/>
      <c r="E632" s="714"/>
      <c r="F632" s="714"/>
      <c r="G632" s="638" t="s">
        <v>1198</v>
      </c>
      <c r="H632" s="607">
        <v>0</v>
      </c>
      <c r="I632" s="607">
        <v>0</v>
      </c>
      <c r="J632" s="607" t="s">
        <v>1199</v>
      </c>
    </row>
    <row r="633" spans="1:10" s="285" customFormat="1">
      <c r="A633" s="696">
        <v>335</v>
      </c>
      <c r="B633" s="726">
        <v>100</v>
      </c>
      <c r="C633" s="706">
        <v>100</v>
      </c>
      <c r="D633" s="714">
        <v>100</v>
      </c>
      <c r="E633" s="714"/>
      <c r="F633" s="714"/>
      <c r="G633" s="684" t="s">
        <v>1112</v>
      </c>
      <c r="H633" s="606">
        <v>180996.06</v>
      </c>
      <c r="I633" s="606">
        <v>154626</v>
      </c>
      <c r="J633" s="606"/>
    </row>
    <row r="634" spans="1:10" s="285" customFormat="1">
      <c r="A634" s="696">
        <v>335</v>
      </c>
      <c r="B634" s="726">
        <v>100</v>
      </c>
      <c r="C634" s="706">
        <v>100</v>
      </c>
      <c r="D634" s="714">
        <v>200</v>
      </c>
      <c r="E634" s="714"/>
      <c r="F634" s="714"/>
      <c r="G634" s="684" t="s">
        <v>1113</v>
      </c>
      <c r="H634" s="606">
        <v>79463.179999999993</v>
      </c>
      <c r="I634" s="606">
        <v>62157</v>
      </c>
      <c r="J634" s="606"/>
    </row>
    <row r="635" spans="1:10" s="285" customFormat="1">
      <c r="A635" s="696">
        <v>335</v>
      </c>
      <c r="B635" s="726">
        <v>100</v>
      </c>
      <c r="C635" s="706">
        <v>100</v>
      </c>
      <c r="D635" s="714">
        <v>300</v>
      </c>
      <c r="E635" s="714"/>
      <c r="F635" s="714"/>
      <c r="G635" s="684" t="s">
        <v>1136</v>
      </c>
      <c r="H635" s="606">
        <v>17704.689999999999</v>
      </c>
      <c r="I635" s="606">
        <v>9957</v>
      </c>
      <c r="J635" s="606"/>
    </row>
    <row r="636" spans="1:10" s="285" customFormat="1">
      <c r="A636" s="696">
        <v>335</v>
      </c>
      <c r="B636" s="726">
        <v>100</v>
      </c>
      <c r="C636" s="706">
        <v>100</v>
      </c>
      <c r="D636" s="714">
        <v>400</v>
      </c>
      <c r="E636" s="714"/>
      <c r="F636" s="714"/>
      <c r="G636" s="684" t="s">
        <v>1137</v>
      </c>
      <c r="H636" s="606">
        <v>1291.05</v>
      </c>
      <c r="I636" s="606">
        <v>0</v>
      </c>
      <c r="J636" s="606"/>
    </row>
    <row r="637" spans="1:10" s="285" customFormat="1">
      <c r="A637" s="696">
        <v>335</v>
      </c>
      <c r="B637" s="726">
        <v>100</v>
      </c>
      <c r="C637" s="706">
        <v>100</v>
      </c>
      <c r="D637" s="714">
        <v>500</v>
      </c>
      <c r="E637" s="714"/>
      <c r="F637" s="714"/>
      <c r="G637" s="685" t="s">
        <v>1120</v>
      </c>
      <c r="H637" s="607">
        <v>0</v>
      </c>
      <c r="I637" s="607">
        <v>0</v>
      </c>
      <c r="J637" s="607"/>
    </row>
    <row r="638" spans="1:10" s="285" customFormat="1">
      <c r="A638" s="696">
        <v>335</v>
      </c>
      <c r="B638" s="726">
        <v>100</v>
      </c>
      <c r="C638" s="706">
        <v>100</v>
      </c>
      <c r="D638" s="714">
        <v>500</v>
      </c>
      <c r="E638" s="714">
        <v>5</v>
      </c>
      <c r="F638" s="714"/>
      <c r="G638" s="684" t="s">
        <v>1121</v>
      </c>
      <c r="H638" s="606">
        <v>0</v>
      </c>
      <c r="I638" s="606">
        <v>0</v>
      </c>
      <c r="J638" s="606"/>
    </row>
    <row r="639" spans="1:10" s="285" customFormat="1">
      <c r="A639" s="696">
        <v>335</v>
      </c>
      <c r="B639" s="726">
        <v>100</v>
      </c>
      <c r="C639" s="706">
        <v>100</v>
      </c>
      <c r="D639" s="714">
        <v>500</v>
      </c>
      <c r="E639" s="714">
        <v>10</v>
      </c>
      <c r="F639" s="714"/>
      <c r="G639" s="684" t="s">
        <v>1122</v>
      </c>
      <c r="H639" s="606">
        <v>0</v>
      </c>
      <c r="I639" s="606">
        <v>0</v>
      </c>
      <c r="J639" s="606"/>
    </row>
    <row r="640" spans="1:10" s="285" customFormat="1">
      <c r="A640" s="696">
        <v>335</v>
      </c>
      <c r="B640" s="726">
        <v>100</v>
      </c>
      <c r="C640" s="706">
        <v>100</v>
      </c>
      <c r="D640" s="714">
        <v>500</v>
      </c>
      <c r="E640" s="714">
        <v>15</v>
      </c>
      <c r="F640" s="714"/>
      <c r="G640" s="684" t="s">
        <v>1200</v>
      </c>
      <c r="H640" s="606">
        <v>18.5</v>
      </c>
      <c r="I640" s="606">
        <v>203</v>
      </c>
      <c r="J640" s="606"/>
    </row>
    <row r="641" spans="1:10" s="285" customFormat="1">
      <c r="A641" s="696">
        <v>335</v>
      </c>
      <c r="B641" s="726">
        <v>100</v>
      </c>
      <c r="C641" s="706">
        <v>100</v>
      </c>
      <c r="D641" s="714">
        <v>900</v>
      </c>
      <c r="E641" s="714"/>
      <c r="F641" s="714"/>
      <c r="G641" s="684" t="s">
        <v>1140</v>
      </c>
      <c r="H641" s="606">
        <v>71320.240000000005</v>
      </c>
      <c r="I641" s="606">
        <v>56932</v>
      </c>
      <c r="J641" s="606"/>
    </row>
    <row r="642" spans="1:10" s="285" customFormat="1" ht="27.6">
      <c r="A642" s="696">
        <v>335</v>
      </c>
      <c r="B642" s="726">
        <v>100</v>
      </c>
      <c r="C642" s="706">
        <v>200</v>
      </c>
      <c r="D642" s="714"/>
      <c r="E642" s="714"/>
      <c r="F642" s="714"/>
      <c r="G642" s="638" t="s">
        <v>1201</v>
      </c>
      <c r="H642" s="607">
        <v>0</v>
      </c>
      <c r="I642" s="607">
        <v>0</v>
      </c>
      <c r="J642" s="607" t="s">
        <v>1202</v>
      </c>
    </row>
    <row r="643" spans="1:10" s="285" customFormat="1">
      <c r="A643" s="696">
        <v>335</v>
      </c>
      <c r="B643" s="726">
        <v>100</v>
      </c>
      <c r="C643" s="706">
        <v>200</v>
      </c>
      <c r="D643" s="714">
        <v>100</v>
      </c>
      <c r="E643" s="714"/>
      <c r="F643" s="714"/>
      <c r="G643" s="684" t="s">
        <v>1112</v>
      </c>
      <c r="H643" s="606">
        <v>132732.01999999999</v>
      </c>
      <c r="I643" s="606">
        <v>129886</v>
      </c>
      <c r="J643" s="606"/>
    </row>
    <row r="644" spans="1:10" s="285" customFormat="1">
      <c r="A644" s="696">
        <v>335</v>
      </c>
      <c r="B644" s="726">
        <v>100</v>
      </c>
      <c r="C644" s="706">
        <v>200</v>
      </c>
      <c r="D644" s="714">
        <v>200</v>
      </c>
      <c r="E644" s="714"/>
      <c r="F644" s="714"/>
      <c r="G644" s="684" t="s">
        <v>1113</v>
      </c>
      <c r="H644" s="606">
        <v>42387.35</v>
      </c>
      <c r="I644" s="606">
        <v>37824</v>
      </c>
      <c r="J644" s="606"/>
    </row>
    <row r="645" spans="1:10" s="285" customFormat="1">
      <c r="A645" s="696">
        <v>335</v>
      </c>
      <c r="B645" s="726">
        <v>100</v>
      </c>
      <c r="C645" s="706">
        <v>200</v>
      </c>
      <c r="D645" s="714">
        <v>300</v>
      </c>
      <c r="E645" s="714"/>
      <c r="F645" s="714"/>
      <c r="G645" s="684" t="s">
        <v>1136</v>
      </c>
      <c r="H645" s="606">
        <v>7747.86</v>
      </c>
      <c r="I645" s="606">
        <v>7131</v>
      </c>
      <c r="J645" s="606"/>
    </row>
    <row r="646" spans="1:10" s="285" customFormat="1">
      <c r="A646" s="696">
        <v>335</v>
      </c>
      <c r="B646" s="726">
        <v>100</v>
      </c>
      <c r="C646" s="706">
        <v>200</v>
      </c>
      <c r="D646" s="714">
        <v>400</v>
      </c>
      <c r="E646" s="714"/>
      <c r="F646" s="714"/>
      <c r="G646" s="684" t="s">
        <v>1137</v>
      </c>
      <c r="H646" s="606">
        <v>430.35</v>
      </c>
      <c r="I646" s="606">
        <v>0</v>
      </c>
      <c r="J646" s="606"/>
    </row>
    <row r="647" spans="1:10" s="285" customFormat="1">
      <c r="A647" s="696">
        <v>335</v>
      </c>
      <c r="B647" s="726">
        <v>100</v>
      </c>
      <c r="C647" s="706">
        <v>200</v>
      </c>
      <c r="D647" s="714">
        <v>500</v>
      </c>
      <c r="E647" s="714"/>
      <c r="F647" s="714"/>
      <c r="G647" s="685" t="s">
        <v>1120</v>
      </c>
      <c r="H647" s="607">
        <v>0</v>
      </c>
      <c r="I647" s="607">
        <v>0</v>
      </c>
      <c r="J647" s="607"/>
    </row>
    <row r="648" spans="1:10" s="285" customFormat="1">
      <c r="A648" s="696">
        <v>335</v>
      </c>
      <c r="B648" s="726">
        <v>100</v>
      </c>
      <c r="C648" s="706">
        <v>200</v>
      </c>
      <c r="D648" s="714">
        <v>500</v>
      </c>
      <c r="E648" s="714">
        <v>5</v>
      </c>
      <c r="F648" s="714"/>
      <c r="G648" s="684" t="s">
        <v>1121</v>
      </c>
      <c r="H648" s="606">
        <v>0</v>
      </c>
      <c r="I648" s="606">
        <v>0</v>
      </c>
      <c r="J648" s="606"/>
    </row>
    <row r="649" spans="1:10" s="285" customFormat="1">
      <c r="A649" s="696">
        <v>335</v>
      </c>
      <c r="B649" s="726">
        <v>100</v>
      </c>
      <c r="C649" s="706">
        <v>200</v>
      </c>
      <c r="D649" s="714">
        <v>500</v>
      </c>
      <c r="E649" s="714">
        <v>10</v>
      </c>
      <c r="F649" s="714"/>
      <c r="G649" s="684" t="s">
        <v>1122</v>
      </c>
      <c r="H649" s="606">
        <v>0</v>
      </c>
      <c r="I649" s="606">
        <v>0</v>
      </c>
      <c r="J649" s="606"/>
    </row>
    <row r="650" spans="1:10" s="285" customFormat="1">
      <c r="A650" s="696">
        <v>335</v>
      </c>
      <c r="B650" s="726">
        <v>100</v>
      </c>
      <c r="C650" s="706">
        <v>200</v>
      </c>
      <c r="D650" s="714">
        <v>500</v>
      </c>
      <c r="E650" s="714">
        <v>15</v>
      </c>
      <c r="F650" s="714"/>
      <c r="G650" s="684" t="s">
        <v>1200</v>
      </c>
      <c r="H650" s="606">
        <v>0</v>
      </c>
      <c r="I650" s="606">
        <v>444</v>
      </c>
      <c r="J650" s="606"/>
    </row>
    <row r="651" spans="1:10" s="285" customFormat="1">
      <c r="A651" s="696">
        <v>335</v>
      </c>
      <c r="B651" s="726">
        <v>100</v>
      </c>
      <c r="C651" s="706">
        <v>200</v>
      </c>
      <c r="D651" s="714">
        <v>900</v>
      </c>
      <c r="E651" s="714"/>
      <c r="F651" s="714"/>
      <c r="G651" s="684" t="s">
        <v>1140</v>
      </c>
      <c r="H651" s="606">
        <v>50681.31</v>
      </c>
      <c r="I651" s="606">
        <v>49175</v>
      </c>
      <c r="J651" s="606"/>
    </row>
    <row r="652" spans="1:10" s="285" customFormat="1">
      <c r="A652" s="696">
        <v>335</v>
      </c>
      <c r="B652" s="726">
        <v>100</v>
      </c>
      <c r="C652" s="706">
        <v>300</v>
      </c>
      <c r="D652" s="714"/>
      <c r="E652" s="714"/>
      <c r="F652" s="714"/>
      <c r="G652" s="638" t="s">
        <v>1203</v>
      </c>
      <c r="H652" s="606">
        <v>0</v>
      </c>
      <c r="I652" s="606">
        <v>0</v>
      </c>
      <c r="J652" s="606" t="s">
        <v>1204</v>
      </c>
    </row>
    <row r="653" spans="1:10" s="285" customFormat="1">
      <c r="A653" s="696">
        <v>335</v>
      </c>
      <c r="B653" s="726">
        <v>200</v>
      </c>
      <c r="C653" s="706"/>
      <c r="D653" s="714"/>
      <c r="E653" s="714"/>
      <c r="F653" s="714"/>
      <c r="G653" s="638" t="s">
        <v>1205</v>
      </c>
      <c r="H653" s="607">
        <v>0</v>
      </c>
      <c r="I653" s="607">
        <v>0</v>
      </c>
      <c r="J653" s="607" t="s">
        <v>1206</v>
      </c>
    </row>
    <row r="654" spans="1:10" s="285" customFormat="1" ht="27.6">
      <c r="A654" s="696">
        <v>335</v>
      </c>
      <c r="B654" s="726">
        <v>200</v>
      </c>
      <c r="C654" s="706">
        <v>100</v>
      </c>
      <c r="D654" s="714"/>
      <c r="E654" s="714"/>
      <c r="F654" s="714"/>
      <c r="G654" s="638" t="s">
        <v>1207</v>
      </c>
      <c r="H654" s="607">
        <v>0</v>
      </c>
      <c r="I654" s="607">
        <v>0</v>
      </c>
      <c r="J654" s="607" t="s">
        <v>1208</v>
      </c>
    </row>
    <row r="655" spans="1:10" s="285" customFormat="1">
      <c r="A655" s="696">
        <v>335</v>
      </c>
      <c r="B655" s="726">
        <v>200</v>
      </c>
      <c r="C655" s="706">
        <v>100</v>
      </c>
      <c r="D655" s="714">
        <v>100</v>
      </c>
      <c r="E655" s="714"/>
      <c r="F655" s="714"/>
      <c r="G655" s="684" t="s">
        <v>1112</v>
      </c>
      <c r="H655" s="606">
        <v>1380330.28</v>
      </c>
      <c r="I655" s="606">
        <v>1380165</v>
      </c>
      <c r="J655" s="606"/>
    </row>
    <row r="656" spans="1:10" s="285" customFormat="1">
      <c r="A656" s="696">
        <v>335</v>
      </c>
      <c r="B656" s="726">
        <v>200</v>
      </c>
      <c r="C656" s="706">
        <v>100</v>
      </c>
      <c r="D656" s="714">
        <v>200</v>
      </c>
      <c r="E656" s="714"/>
      <c r="F656" s="714"/>
      <c r="G656" s="684" t="s">
        <v>1148</v>
      </c>
      <c r="H656" s="606">
        <v>8581.0499999999993</v>
      </c>
      <c r="I656" s="606">
        <v>7730</v>
      </c>
      <c r="J656" s="606"/>
    </row>
    <row r="657" spans="1:10" s="285" customFormat="1">
      <c r="A657" s="696">
        <v>335</v>
      </c>
      <c r="B657" s="726">
        <v>200</v>
      </c>
      <c r="C657" s="706">
        <v>100</v>
      </c>
      <c r="D657" s="714">
        <v>300</v>
      </c>
      <c r="E657" s="714"/>
      <c r="F657" s="714"/>
      <c r="G657" s="684" t="s">
        <v>1149</v>
      </c>
      <c r="H657" s="606">
        <v>74559.8</v>
      </c>
      <c r="I657" s="606">
        <v>69952</v>
      </c>
      <c r="J657" s="606"/>
    </row>
    <row r="658" spans="1:10" s="285" customFormat="1">
      <c r="A658" s="696">
        <v>335</v>
      </c>
      <c r="B658" s="726">
        <v>200</v>
      </c>
      <c r="C658" s="706">
        <v>100</v>
      </c>
      <c r="D658" s="714">
        <v>400</v>
      </c>
      <c r="E658" s="714"/>
      <c r="F658" s="714"/>
      <c r="G658" s="684" t="s">
        <v>1150</v>
      </c>
      <c r="H658" s="606">
        <v>254425.23</v>
      </c>
      <c r="I658" s="606">
        <v>241481</v>
      </c>
      <c r="J658" s="606"/>
    </row>
    <row r="659" spans="1:10" s="285" customFormat="1">
      <c r="A659" s="696">
        <v>335</v>
      </c>
      <c r="B659" s="726">
        <v>200</v>
      </c>
      <c r="C659" s="706">
        <v>100</v>
      </c>
      <c r="D659" s="714">
        <v>500</v>
      </c>
      <c r="E659" s="714"/>
      <c r="F659" s="714"/>
      <c r="G659" s="684" t="s">
        <v>1137</v>
      </c>
      <c r="H659" s="606">
        <v>4261.12</v>
      </c>
      <c r="I659" s="606">
        <v>9837</v>
      </c>
      <c r="J659" s="606"/>
    </row>
    <row r="660" spans="1:10" s="285" customFormat="1">
      <c r="A660" s="696">
        <v>335</v>
      </c>
      <c r="B660" s="726">
        <v>200</v>
      </c>
      <c r="C660" s="706">
        <v>100</v>
      </c>
      <c r="D660" s="714">
        <v>600</v>
      </c>
      <c r="E660" s="714"/>
      <c r="F660" s="714"/>
      <c r="G660" s="685" t="s">
        <v>1120</v>
      </c>
      <c r="H660" s="607">
        <v>0</v>
      </c>
      <c r="I660" s="607">
        <v>0</v>
      </c>
      <c r="J660" s="607"/>
    </row>
    <row r="661" spans="1:10" s="285" customFormat="1">
      <c r="A661" s="696">
        <v>335</v>
      </c>
      <c r="B661" s="726">
        <v>200</v>
      </c>
      <c r="C661" s="706">
        <v>100</v>
      </c>
      <c r="D661" s="714">
        <v>600</v>
      </c>
      <c r="E661" s="714">
        <v>5</v>
      </c>
      <c r="F661" s="714"/>
      <c r="G661" s="684" t="s">
        <v>1121</v>
      </c>
      <c r="H661" s="606">
        <v>0</v>
      </c>
      <c r="I661" s="606">
        <v>0</v>
      </c>
      <c r="J661" s="606"/>
    </row>
    <row r="662" spans="1:10" s="285" customFormat="1">
      <c r="A662" s="696">
        <v>335</v>
      </c>
      <c r="B662" s="726">
        <v>200</v>
      </c>
      <c r="C662" s="706">
        <v>100</v>
      </c>
      <c r="D662" s="714">
        <v>600</v>
      </c>
      <c r="E662" s="714">
        <v>10</v>
      </c>
      <c r="F662" s="714"/>
      <c r="G662" s="684" t="s">
        <v>1122</v>
      </c>
      <c r="H662" s="606">
        <v>0</v>
      </c>
      <c r="I662" s="606">
        <v>0</v>
      </c>
      <c r="J662" s="606"/>
    </row>
    <row r="663" spans="1:10" s="285" customFormat="1">
      <c r="A663" s="696">
        <v>335</v>
      </c>
      <c r="B663" s="726">
        <v>200</v>
      </c>
      <c r="C663" s="706">
        <v>100</v>
      </c>
      <c r="D663" s="714">
        <v>600</v>
      </c>
      <c r="E663" s="714">
        <v>15</v>
      </c>
      <c r="F663" s="714"/>
      <c r="G663" s="684" t="s">
        <v>1151</v>
      </c>
      <c r="H663" s="606">
        <v>8860.2900000000009</v>
      </c>
      <c r="I663" s="606">
        <v>1657</v>
      </c>
      <c r="J663" s="606"/>
    </row>
    <row r="664" spans="1:10" s="285" customFormat="1">
      <c r="A664" s="696">
        <v>335</v>
      </c>
      <c r="B664" s="726">
        <v>200</v>
      </c>
      <c r="C664" s="706">
        <v>100</v>
      </c>
      <c r="D664" s="714">
        <v>900</v>
      </c>
      <c r="E664" s="714"/>
      <c r="F664" s="714"/>
      <c r="G664" s="684" t="s">
        <v>1140</v>
      </c>
      <c r="H664" s="606">
        <v>496142.82</v>
      </c>
      <c r="I664" s="606">
        <v>490175</v>
      </c>
      <c r="J664" s="606"/>
    </row>
    <row r="665" spans="1:10" s="285" customFormat="1" ht="27.6">
      <c r="A665" s="696">
        <v>335</v>
      </c>
      <c r="B665" s="726">
        <v>200</v>
      </c>
      <c r="C665" s="706">
        <v>200</v>
      </c>
      <c r="D665" s="714"/>
      <c r="E665" s="714"/>
      <c r="F665" s="714"/>
      <c r="G665" s="638" t="s">
        <v>1209</v>
      </c>
      <c r="H665" s="607">
        <v>0</v>
      </c>
      <c r="I665" s="607">
        <v>0</v>
      </c>
      <c r="J665" s="607" t="s">
        <v>1210</v>
      </c>
    </row>
    <row r="666" spans="1:10" s="285" customFormat="1">
      <c r="A666" s="696">
        <v>335</v>
      </c>
      <c r="B666" s="726">
        <v>200</v>
      </c>
      <c r="C666" s="706">
        <v>200</v>
      </c>
      <c r="D666" s="714">
        <v>100</v>
      </c>
      <c r="E666" s="714"/>
      <c r="F666" s="714"/>
      <c r="G666" s="684" t="s">
        <v>1112</v>
      </c>
      <c r="H666" s="606">
        <v>78709.789999999994</v>
      </c>
      <c r="I666" s="606">
        <v>46196</v>
      </c>
      <c r="J666" s="606"/>
    </row>
    <row r="667" spans="1:10" s="285" customFormat="1">
      <c r="A667" s="696">
        <v>335</v>
      </c>
      <c r="B667" s="726">
        <v>200</v>
      </c>
      <c r="C667" s="706">
        <v>200</v>
      </c>
      <c r="D667" s="714">
        <v>200</v>
      </c>
      <c r="E667" s="714"/>
      <c r="F667" s="714"/>
      <c r="G667" s="684" t="s">
        <v>1148</v>
      </c>
      <c r="H667" s="606">
        <v>169.64</v>
      </c>
      <c r="I667" s="606">
        <v>0</v>
      </c>
      <c r="J667" s="606"/>
    </row>
    <row r="668" spans="1:10" s="285" customFormat="1">
      <c r="A668" s="696">
        <v>335</v>
      </c>
      <c r="B668" s="726">
        <v>200</v>
      </c>
      <c r="C668" s="706">
        <v>200</v>
      </c>
      <c r="D668" s="714">
        <v>300</v>
      </c>
      <c r="E668" s="714"/>
      <c r="F668" s="714"/>
      <c r="G668" s="684" t="s">
        <v>1149</v>
      </c>
      <c r="H668" s="606">
        <v>3196.21</v>
      </c>
      <c r="I668" s="606">
        <v>1860</v>
      </c>
      <c r="J668" s="606"/>
    </row>
    <row r="669" spans="1:10" s="285" customFormat="1">
      <c r="A669" s="696">
        <v>335</v>
      </c>
      <c r="B669" s="726">
        <v>200</v>
      </c>
      <c r="C669" s="706">
        <v>200</v>
      </c>
      <c r="D669" s="714">
        <v>400</v>
      </c>
      <c r="E669" s="714"/>
      <c r="F669" s="714"/>
      <c r="G669" s="684" t="s">
        <v>1150</v>
      </c>
      <c r="H669" s="606">
        <v>3807.58</v>
      </c>
      <c r="I669" s="606">
        <v>2600</v>
      </c>
      <c r="J669" s="606"/>
    </row>
    <row r="670" spans="1:10" s="285" customFormat="1">
      <c r="A670" s="696">
        <v>335</v>
      </c>
      <c r="B670" s="726">
        <v>200</v>
      </c>
      <c r="C670" s="706">
        <v>200</v>
      </c>
      <c r="D670" s="714">
        <v>500</v>
      </c>
      <c r="E670" s="714"/>
      <c r="F670" s="714"/>
      <c r="G670" s="684" t="s">
        <v>1137</v>
      </c>
      <c r="H670" s="606">
        <v>594.38</v>
      </c>
      <c r="I670" s="606">
        <v>570</v>
      </c>
      <c r="J670" s="606"/>
    </row>
    <row r="671" spans="1:10" s="285" customFormat="1">
      <c r="A671" s="696">
        <v>335</v>
      </c>
      <c r="B671" s="726">
        <v>200</v>
      </c>
      <c r="C671" s="706">
        <v>200</v>
      </c>
      <c r="D671" s="714">
        <v>600</v>
      </c>
      <c r="E671" s="714"/>
      <c r="F671" s="714"/>
      <c r="G671" s="685" t="s">
        <v>1120</v>
      </c>
      <c r="H671" s="607">
        <v>0</v>
      </c>
      <c r="I671" s="607">
        <v>0</v>
      </c>
      <c r="J671" s="607"/>
    </row>
    <row r="672" spans="1:10" s="285" customFormat="1">
      <c r="A672" s="696">
        <v>335</v>
      </c>
      <c r="B672" s="726">
        <v>200</v>
      </c>
      <c r="C672" s="706">
        <v>200</v>
      </c>
      <c r="D672" s="714">
        <v>600</v>
      </c>
      <c r="E672" s="714">
        <v>5</v>
      </c>
      <c r="F672" s="714"/>
      <c r="G672" s="684" t="s">
        <v>1121</v>
      </c>
      <c r="H672" s="606">
        <v>0</v>
      </c>
      <c r="I672" s="606">
        <v>0</v>
      </c>
      <c r="J672" s="606"/>
    </row>
    <row r="673" spans="1:10" s="285" customFormat="1">
      <c r="A673" s="696">
        <v>335</v>
      </c>
      <c r="B673" s="726">
        <v>200</v>
      </c>
      <c r="C673" s="706">
        <v>200</v>
      </c>
      <c r="D673" s="714">
        <v>600</v>
      </c>
      <c r="E673" s="714">
        <v>10</v>
      </c>
      <c r="F673" s="714"/>
      <c r="G673" s="684" t="s">
        <v>1122</v>
      </c>
      <c r="H673" s="606">
        <v>0</v>
      </c>
      <c r="I673" s="606">
        <v>0</v>
      </c>
      <c r="J673" s="606"/>
    </row>
    <row r="674" spans="1:10" s="285" customFormat="1">
      <c r="A674" s="696">
        <v>335</v>
      </c>
      <c r="B674" s="726">
        <v>200</v>
      </c>
      <c r="C674" s="706">
        <v>200</v>
      </c>
      <c r="D674" s="714">
        <v>600</v>
      </c>
      <c r="E674" s="714">
        <v>15</v>
      </c>
      <c r="F674" s="714"/>
      <c r="G674" s="684" t="s">
        <v>1151</v>
      </c>
      <c r="H674" s="606">
        <v>0</v>
      </c>
      <c r="I674" s="606">
        <v>0</v>
      </c>
      <c r="J674" s="606"/>
    </row>
    <row r="675" spans="1:10" s="285" customFormat="1">
      <c r="A675" s="696">
        <v>335</v>
      </c>
      <c r="B675" s="726">
        <v>200</v>
      </c>
      <c r="C675" s="706">
        <v>200</v>
      </c>
      <c r="D675" s="714">
        <v>900</v>
      </c>
      <c r="E675" s="714"/>
      <c r="F675" s="714"/>
      <c r="G675" s="684" t="s">
        <v>1140</v>
      </c>
      <c r="H675" s="606">
        <v>26407.79</v>
      </c>
      <c r="I675" s="606">
        <v>15756</v>
      </c>
      <c r="J675" s="606"/>
    </row>
    <row r="676" spans="1:10" s="285" customFormat="1">
      <c r="A676" s="696">
        <v>335</v>
      </c>
      <c r="B676" s="726">
        <v>200</v>
      </c>
      <c r="C676" s="706">
        <v>300</v>
      </c>
      <c r="D676" s="714"/>
      <c r="E676" s="714"/>
      <c r="F676" s="714"/>
      <c r="G676" s="638" t="s">
        <v>1211</v>
      </c>
      <c r="H676" s="606">
        <v>0</v>
      </c>
      <c r="I676" s="606">
        <v>0</v>
      </c>
      <c r="J676" s="606" t="s">
        <v>1212</v>
      </c>
    </row>
    <row r="677" spans="1:10" s="285" customFormat="1">
      <c r="A677" s="694">
        <v>340</v>
      </c>
      <c r="B677" s="724">
        <v>0</v>
      </c>
      <c r="C677" s="647">
        <v>0</v>
      </c>
      <c r="D677" s="683">
        <v>0</v>
      </c>
      <c r="E677" s="683">
        <v>0</v>
      </c>
      <c r="F677" s="683">
        <v>0</v>
      </c>
      <c r="G677" s="675" t="s">
        <v>68</v>
      </c>
      <c r="H677" s="607">
        <v>0</v>
      </c>
      <c r="I677" s="607">
        <v>0</v>
      </c>
      <c r="J677" s="607" t="s">
        <v>1213</v>
      </c>
    </row>
    <row r="678" spans="1:10" s="285" customFormat="1">
      <c r="A678" s="696">
        <v>340</v>
      </c>
      <c r="B678" s="726">
        <v>100</v>
      </c>
      <c r="C678" s="706"/>
      <c r="D678" s="714"/>
      <c r="E678" s="714"/>
      <c r="F678" s="714"/>
      <c r="G678" s="638" t="s">
        <v>1214</v>
      </c>
      <c r="H678" s="607">
        <v>0</v>
      </c>
      <c r="I678" s="607">
        <v>0</v>
      </c>
      <c r="J678" s="607" t="s">
        <v>1215</v>
      </c>
    </row>
    <row r="679" spans="1:10" s="285" customFormat="1">
      <c r="A679" s="696">
        <v>340</v>
      </c>
      <c r="B679" s="726">
        <v>100</v>
      </c>
      <c r="C679" s="706">
        <v>100</v>
      </c>
      <c r="D679" s="714"/>
      <c r="E679" s="714"/>
      <c r="F679" s="714"/>
      <c r="G679" s="203" t="s">
        <v>1216</v>
      </c>
      <c r="H679" s="504">
        <v>0</v>
      </c>
      <c r="I679" s="504">
        <v>0</v>
      </c>
      <c r="J679" s="504"/>
    </row>
    <row r="680" spans="1:10" s="285" customFormat="1">
      <c r="A680" s="696">
        <v>340</v>
      </c>
      <c r="B680" s="726">
        <v>100</v>
      </c>
      <c r="C680" s="706">
        <v>200</v>
      </c>
      <c r="D680" s="714"/>
      <c r="E680" s="714"/>
      <c r="F680" s="714"/>
      <c r="G680" s="203" t="s">
        <v>1217</v>
      </c>
      <c r="H680" s="504">
        <v>20626.66</v>
      </c>
      <c r="I680" s="504">
        <v>20100</v>
      </c>
      <c r="J680" s="504"/>
    </row>
    <row r="681" spans="1:10" s="285" customFormat="1">
      <c r="A681" s="696">
        <v>340</v>
      </c>
      <c r="B681" s="726">
        <v>100</v>
      </c>
      <c r="C681" s="706">
        <v>300</v>
      </c>
      <c r="D681" s="714"/>
      <c r="E681" s="714"/>
      <c r="F681" s="714"/>
      <c r="G681" s="203" t="s">
        <v>1218</v>
      </c>
      <c r="H681" s="504">
        <v>0</v>
      </c>
      <c r="I681" s="504">
        <v>0</v>
      </c>
      <c r="J681" s="504"/>
    </row>
    <row r="682" spans="1:10" s="285" customFormat="1">
      <c r="A682" s="696">
        <v>340</v>
      </c>
      <c r="B682" s="726">
        <v>100</v>
      </c>
      <c r="C682" s="706">
        <v>400</v>
      </c>
      <c r="D682" s="714"/>
      <c r="E682" s="714"/>
      <c r="F682" s="714"/>
      <c r="G682" s="203" t="s">
        <v>1219</v>
      </c>
      <c r="H682" s="504">
        <v>95460</v>
      </c>
      <c r="I682" s="504">
        <v>91208</v>
      </c>
      <c r="J682" s="504"/>
    </row>
    <row r="683" spans="1:10" s="285" customFormat="1">
      <c r="A683" s="696">
        <v>340</v>
      </c>
      <c r="B683" s="726">
        <v>100</v>
      </c>
      <c r="C683" s="706">
        <v>500</v>
      </c>
      <c r="D683" s="714"/>
      <c r="E683" s="714"/>
      <c r="F683" s="714"/>
      <c r="G683" s="203" t="s">
        <v>1220</v>
      </c>
      <c r="H683" s="504">
        <v>0</v>
      </c>
      <c r="I683" s="504">
        <v>0</v>
      </c>
      <c r="J683" s="504"/>
    </row>
    <row r="684" spans="1:10" s="285" customFormat="1">
      <c r="A684" s="696">
        <v>340</v>
      </c>
      <c r="B684" s="726">
        <v>100</v>
      </c>
      <c r="C684" s="706">
        <v>600</v>
      </c>
      <c r="D684" s="714"/>
      <c r="E684" s="714"/>
      <c r="F684" s="714"/>
      <c r="G684" s="203" t="s">
        <v>1221</v>
      </c>
      <c r="H684" s="504">
        <v>0</v>
      </c>
      <c r="I684" s="504">
        <v>0</v>
      </c>
      <c r="J684" s="504"/>
    </row>
    <row r="685" spans="1:10" s="285" customFormat="1">
      <c r="A685" s="696">
        <v>340</v>
      </c>
      <c r="B685" s="726">
        <v>100</v>
      </c>
      <c r="C685" s="706">
        <v>900</v>
      </c>
      <c r="D685" s="714"/>
      <c r="E685" s="714"/>
      <c r="F685" s="714"/>
      <c r="G685" s="203" t="s">
        <v>1222</v>
      </c>
      <c r="H685" s="504">
        <v>12734.24</v>
      </c>
      <c r="I685" s="504">
        <v>12152</v>
      </c>
      <c r="J685" s="504"/>
    </row>
    <row r="686" spans="1:10" s="285" customFormat="1">
      <c r="A686" s="696">
        <v>340</v>
      </c>
      <c r="B686" s="726">
        <v>200</v>
      </c>
      <c r="C686" s="706"/>
      <c r="D686" s="714"/>
      <c r="E686" s="714"/>
      <c r="F686" s="714"/>
      <c r="G686" s="638" t="s">
        <v>1223</v>
      </c>
      <c r="H686" s="504">
        <v>0</v>
      </c>
      <c r="I686" s="504">
        <v>0</v>
      </c>
      <c r="J686" s="504" t="s">
        <v>1224</v>
      </c>
    </row>
    <row r="687" spans="1:10" s="285" customFormat="1">
      <c r="A687" s="696">
        <v>340</v>
      </c>
      <c r="B687" s="726">
        <v>300</v>
      </c>
      <c r="C687" s="706"/>
      <c r="D687" s="714"/>
      <c r="E687" s="714"/>
      <c r="F687" s="714"/>
      <c r="G687" s="638" t="s">
        <v>1225</v>
      </c>
      <c r="H687" s="607">
        <v>0</v>
      </c>
      <c r="I687" s="607">
        <v>0</v>
      </c>
      <c r="J687" s="607" t="s">
        <v>1226</v>
      </c>
    </row>
    <row r="688" spans="1:10" s="285" customFormat="1" ht="27.6">
      <c r="A688" s="696">
        <v>340</v>
      </c>
      <c r="B688" s="726">
        <v>300</v>
      </c>
      <c r="C688" s="706">
        <v>100</v>
      </c>
      <c r="D688" s="714"/>
      <c r="E688" s="714"/>
      <c r="F688" s="714"/>
      <c r="G688" s="638" t="s">
        <v>1227</v>
      </c>
      <c r="H688" s="607">
        <v>0</v>
      </c>
      <c r="I688" s="607">
        <v>0</v>
      </c>
      <c r="J688" s="607" t="s">
        <v>1228</v>
      </c>
    </row>
    <row r="689" spans="1:10" s="285" customFormat="1">
      <c r="A689" s="696">
        <v>340</v>
      </c>
      <c r="B689" s="726">
        <v>300</v>
      </c>
      <c r="C689" s="706">
        <v>100</v>
      </c>
      <c r="D689" s="714">
        <v>100</v>
      </c>
      <c r="E689" s="714"/>
      <c r="F689" s="714"/>
      <c r="G689" s="638" t="s">
        <v>1229</v>
      </c>
      <c r="H689" s="607">
        <v>0</v>
      </c>
      <c r="I689" s="607">
        <v>0</v>
      </c>
      <c r="J689" s="607"/>
    </row>
    <row r="690" spans="1:10" s="285" customFormat="1">
      <c r="A690" s="696">
        <v>340</v>
      </c>
      <c r="B690" s="726">
        <v>300</v>
      </c>
      <c r="C690" s="706">
        <v>100</v>
      </c>
      <c r="D690" s="714">
        <v>100</v>
      </c>
      <c r="E690" s="714">
        <v>10</v>
      </c>
      <c r="F690" s="714"/>
      <c r="G690" s="203" t="s">
        <v>1230</v>
      </c>
      <c r="H690" s="504">
        <v>529128.44999999995</v>
      </c>
      <c r="I690" s="504">
        <v>566912</v>
      </c>
      <c r="J690" s="504"/>
    </row>
    <row r="691" spans="1:10" s="285" customFormat="1">
      <c r="A691" s="696">
        <v>340</v>
      </c>
      <c r="B691" s="726">
        <v>300</v>
      </c>
      <c r="C691" s="706">
        <v>100</v>
      </c>
      <c r="D691" s="714">
        <v>100</v>
      </c>
      <c r="E691" s="714">
        <v>30</v>
      </c>
      <c r="F691" s="714"/>
      <c r="G691" s="203" t="s">
        <v>637</v>
      </c>
      <c r="H691" s="504">
        <v>83929.27</v>
      </c>
      <c r="I691" s="504">
        <v>102212</v>
      </c>
      <c r="J691" s="504"/>
    </row>
    <row r="692" spans="1:10" s="285" customFormat="1">
      <c r="A692" s="696">
        <v>340</v>
      </c>
      <c r="B692" s="726">
        <v>300</v>
      </c>
      <c r="C692" s="706">
        <v>100</v>
      </c>
      <c r="D692" s="714">
        <v>100</v>
      </c>
      <c r="E692" s="714">
        <v>90</v>
      </c>
      <c r="F692" s="714"/>
      <c r="G692" s="203" t="s">
        <v>1231</v>
      </c>
      <c r="H692" s="504">
        <v>381.56</v>
      </c>
      <c r="I692" s="504">
        <v>3720</v>
      </c>
      <c r="J692" s="504"/>
    </row>
    <row r="693" spans="1:10" s="285" customFormat="1">
      <c r="A693" s="696">
        <v>340</v>
      </c>
      <c r="B693" s="726">
        <v>300</v>
      </c>
      <c r="C693" s="706">
        <v>100</v>
      </c>
      <c r="D693" s="714">
        <v>200</v>
      </c>
      <c r="E693" s="714"/>
      <c r="F693" s="714"/>
      <c r="G693" s="638" t="s">
        <v>1232</v>
      </c>
      <c r="H693" s="607">
        <v>0</v>
      </c>
      <c r="I693" s="607">
        <v>0</v>
      </c>
      <c r="J693" s="607"/>
    </row>
    <row r="694" spans="1:10" s="285" customFormat="1">
      <c r="A694" s="696">
        <v>340</v>
      </c>
      <c r="B694" s="726">
        <v>300</v>
      </c>
      <c r="C694" s="706">
        <v>100</v>
      </c>
      <c r="D694" s="714">
        <v>200</v>
      </c>
      <c r="E694" s="714">
        <v>10</v>
      </c>
      <c r="F694" s="714"/>
      <c r="G694" s="203" t="s">
        <v>1230</v>
      </c>
      <c r="H694" s="504">
        <v>45355.61</v>
      </c>
      <c r="I694" s="504">
        <v>59113</v>
      </c>
      <c r="J694" s="504"/>
    </row>
    <row r="695" spans="1:10" s="285" customFormat="1">
      <c r="A695" s="696">
        <v>340</v>
      </c>
      <c r="B695" s="726">
        <v>300</v>
      </c>
      <c r="C695" s="706">
        <v>100</v>
      </c>
      <c r="D695" s="714">
        <v>200</v>
      </c>
      <c r="E695" s="714">
        <v>30</v>
      </c>
      <c r="F695" s="714"/>
      <c r="G695" s="203" t="s">
        <v>637</v>
      </c>
      <c r="H695" s="504">
        <v>0</v>
      </c>
      <c r="I695" s="504">
        <v>0</v>
      </c>
      <c r="J695" s="504"/>
    </row>
    <row r="696" spans="1:10" s="285" customFormat="1">
      <c r="A696" s="696">
        <v>340</v>
      </c>
      <c r="B696" s="726">
        <v>300</v>
      </c>
      <c r="C696" s="706">
        <v>100</v>
      </c>
      <c r="D696" s="714">
        <v>200</v>
      </c>
      <c r="E696" s="714">
        <v>90</v>
      </c>
      <c r="F696" s="714"/>
      <c r="G696" s="203" t="s">
        <v>1233</v>
      </c>
      <c r="H696" s="504">
        <v>1763.46</v>
      </c>
      <c r="I696" s="504">
        <v>4074</v>
      </c>
      <c r="J696" s="504"/>
    </row>
    <row r="697" spans="1:10" s="285" customFormat="1">
      <c r="A697" s="696">
        <v>340</v>
      </c>
      <c r="B697" s="726">
        <v>300</v>
      </c>
      <c r="C697" s="706">
        <v>100</v>
      </c>
      <c r="D697" s="714">
        <v>300</v>
      </c>
      <c r="E697" s="714"/>
      <c r="F697" s="714"/>
      <c r="G697" s="638" t="s">
        <v>1234</v>
      </c>
      <c r="H697" s="607">
        <v>0</v>
      </c>
      <c r="I697" s="607">
        <v>0</v>
      </c>
      <c r="J697" s="607"/>
    </row>
    <row r="698" spans="1:10" s="285" customFormat="1">
      <c r="A698" s="696">
        <v>340</v>
      </c>
      <c r="B698" s="726">
        <v>300</v>
      </c>
      <c r="C698" s="706">
        <v>100</v>
      </c>
      <c r="D698" s="714">
        <v>300</v>
      </c>
      <c r="E698" s="714">
        <v>10</v>
      </c>
      <c r="F698" s="714"/>
      <c r="G698" s="203" t="s">
        <v>1230</v>
      </c>
      <c r="H698" s="504">
        <v>14400</v>
      </c>
      <c r="I698" s="504">
        <v>14400</v>
      </c>
      <c r="J698" s="504"/>
    </row>
    <row r="699" spans="1:10" s="285" customFormat="1">
      <c r="A699" s="696">
        <v>340</v>
      </c>
      <c r="B699" s="726">
        <v>300</v>
      </c>
      <c r="C699" s="706">
        <v>100</v>
      </c>
      <c r="D699" s="714">
        <v>300</v>
      </c>
      <c r="E699" s="714">
        <v>30</v>
      </c>
      <c r="F699" s="714"/>
      <c r="G699" s="203" t="s">
        <v>637</v>
      </c>
      <c r="H699" s="504">
        <v>0</v>
      </c>
      <c r="I699" s="504">
        <v>0</v>
      </c>
      <c r="J699" s="504"/>
    </row>
    <row r="700" spans="1:10" s="285" customFormat="1">
      <c r="A700" s="696">
        <v>340</v>
      </c>
      <c r="B700" s="726">
        <v>300</v>
      </c>
      <c r="C700" s="706">
        <v>100</v>
      </c>
      <c r="D700" s="714">
        <v>300</v>
      </c>
      <c r="E700" s="714">
        <v>90</v>
      </c>
      <c r="F700" s="714"/>
      <c r="G700" s="203" t="s">
        <v>1235</v>
      </c>
      <c r="H700" s="504">
        <v>0</v>
      </c>
      <c r="I700" s="504">
        <v>0</v>
      </c>
      <c r="J700" s="504"/>
    </row>
    <row r="701" spans="1:10" s="285" customFormat="1">
      <c r="A701" s="696">
        <v>340</v>
      </c>
      <c r="B701" s="726">
        <v>300</v>
      </c>
      <c r="C701" s="706">
        <v>200</v>
      </c>
      <c r="D701" s="714"/>
      <c r="E701" s="714"/>
      <c r="F701" s="714"/>
      <c r="G701" s="638" t="s">
        <v>1225</v>
      </c>
      <c r="H701" s="607">
        <v>0</v>
      </c>
      <c r="I701" s="607">
        <v>0</v>
      </c>
      <c r="J701" s="607" t="s">
        <v>1236</v>
      </c>
    </row>
    <row r="702" spans="1:10" s="285" customFormat="1">
      <c r="A702" s="696">
        <v>340</v>
      </c>
      <c r="B702" s="726">
        <v>300</v>
      </c>
      <c r="C702" s="706">
        <v>200</v>
      </c>
      <c r="D702" s="714">
        <v>100</v>
      </c>
      <c r="E702" s="714"/>
      <c r="F702" s="714"/>
      <c r="G702" s="203" t="s">
        <v>1237</v>
      </c>
      <c r="H702" s="504">
        <v>0</v>
      </c>
      <c r="I702" s="504">
        <v>0</v>
      </c>
      <c r="J702" s="504"/>
    </row>
    <row r="703" spans="1:10" s="285" customFormat="1">
      <c r="A703" s="696">
        <v>340</v>
      </c>
      <c r="B703" s="726">
        <v>300</v>
      </c>
      <c r="C703" s="706">
        <v>200</v>
      </c>
      <c r="D703" s="714">
        <v>200</v>
      </c>
      <c r="E703" s="714"/>
      <c r="F703" s="714"/>
      <c r="G703" s="203" t="s">
        <v>1238</v>
      </c>
      <c r="H703" s="504">
        <v>0</v>
      </c>
      <c r="I703" s="504">
        <v>0</v>
      </c>
      <c r="J703" s="504"/>
    </row>
    <row r="704" spans="1:10" s="285" customFormat="1">
      <c r="A704" s="696">
        <v>340</v>
      </c>
      <c r="B704" s="726">
        <v>300</v>
      </c>
      <c r="C704" s="706">
        <v>200</v>
      </c>
      <c r="D704" s="714">
        <v>900</v>
      </c>
      <c r="E704" s="714"/>
      <c r="F704" s="714"/>
      <c r="G704" s="203" t="s">
        <v>1225</v>
      </c>
      <c r="H704" s="504">
        <v>0</v>
      </c>
      <c r="I704" s="504">
        <v>10</v>
      </c>
      <c r="J704" s="504"/>
    </row>
    <row r="705" spans="1:10" s="285" customFormat="1" ht="27.6">
      <c r="A705" s="696">
        <v>340</v>
      </c>
      <c r="B705" s="726">
        <v>300</v>
      </c>
      <c r="C705" s="706">
        <v>300</v>
      </c>
      <c r="D705" s="714"/>
      <c r="E705" s="714"/>
      <c r="F705" s="714"/>
      <c r="G705" s="203" t="s">
        <v>1239</v>
      </c>
      <c r="H705" s="504">
        <v>0</v>
      </c>
      <c r="I705" s="504">
        <v>0</v>
      </c>
      <c r="J705" s="504" t="s">
        <v>1240</v>
      </c>
    </row>
    <row r="706" spans="1:10" s="285" customFormat="1">
      <c r="A706" s="696">
        <v>340</v>
      </c>
      <c r="B706" s="726">
        <v>300</v>
      </c>
      <c r="C706" s="706">
        <v>400</v>
      </c>
      <c r="D706" s="714"/>
      <c r="E706" s="714"/>
      <c r="F706" s="714"/>
      <c r="G706" s="203" t="s">
        <v>1241</v>
      </c>
      <c r="H706" s="504">
        <v>0</v>
      </c>
      <c r="I706" s="504">
        <v>0</v>
      </c>
      <c r="J706" s="504" t="s">
        <v>1242</v>
      </c>
    </row>
    <row r="707" spans="1:10" s="285" customFormat="1">
      <c r="A707" s="694">
        <v>345</v>
      </c>
      <c r="B707" s="724">
        <v>0</v>
      </c>
      <c r="C707" s="647">
        <v>0</v>
      </c>
      <c r="D707" s="683">
        <v>0</v>
      </c>
      <c r="E707" s="683">
        <v>0</v>
      </c>
      <c r="F707" s="683">
        <v>0</v>
      </c>
      <c r="G707" s="675" t="s">
        <v>1243</v>
      </c>
      <c r="H707" s="607">
        <v>0</v>
      </c>
      <c r="I707" s="607">
        <v>0</v>
      </c>
      <c r="J707" s="607" t="s">
        <v>1244</v>
      </c>
    </row>
    <row r="708" spans="1:10" s="285" customFormat="1">
      <c r="A708" s="696">
        <v>345</v>
      </c>
      <c r="B708" s="726">
        <v>100</v>
      </c>
      <c r="C708" s="706"/>
      <c r="D708" s="714"/>
      <c r="E708" s="714"/>
      <c r="F708" s="714"/>
      <c r="G708" s="203" t="s">
        <v>1245</v>
      </c>
      <c r="H708" s="504">
        <v>0</v>
      </c>
      <c r="I708" s="504">
        <v>0</v>
      </c>
      <c r="J708" s="504"/>
    </row>
    <row r="709" spans="1:10" s="285" customFormat="1">
      <c r="A709" s="696">
        <v>345</v>
      </c>
      <c r="B709" s="726">
        <v>200</v>
      </c>
      <c r="C709" s="706"/>
      <c r="D709" s="714"/>
      <c r="E709" s="714"/>
      <c r="F709" s="714"/>
      <c r="G709" s="203" t="s">
        <v>1246</v>
      </c>
      <c r="H709" s="504">
        <v>0</v>
      </c>
      <c r="I709" s="504">
        <v>0</v>
      </c>
      <c r="J709" s="504"/>
    </row>
    <row r="710" spans="1:10" s="285" customFormat="1" ht="27.6">
      <c r="A710" s="696">
        <v>345</v>
      </c>
      <c r="B710" s="726">
        <v>300</v>
      </c>
      <c r="C710" s="706"/>
      <c r="D710" s="714"/>
      <c r="E710" s="714"/>
      <c r="F710" s="714"/>
      <c r="G710" s="203" t="s">
        <v>1247</v>
      </c>
      <c r="H710" s="504">
        <v>0</v>
      </c>
      <c r="I710" s="504">
        <v>0</v>
      </c>
      <c r="J710" s="504"/>
    </row>
    <row r="711" spans="1:10" s="285" customFormat="1" ht="27.6">
      <c r="A711" s="696">
        <v>345</v>
      </c>
      <c r="B711" s="726">
        <v>400</v>
      </c>
      <c r="C711" s="706"/>
      <c r="D711" s="714"/>
      <c r="E711" s="714"/>
      <c r="F711" s="714"/>
      <c r="G711" s="203" t="s">
        <v>1248</v>
      </c>
      <c r="H711" s="504">
        <v>0</v>
      </c>
      <c r="I711" s="504">
        <v>0</v>
      </c>
      <c r="J711" s="504"/>
    </row>
    <row r="712" spans="1:10" s="285" customFormat="1">
      <c r="A712" s="696">
        <v>345</v>
      </c>
      <c r="B712" s="726">
        <v>500</v>
      </c>
      <c r="C712" s="706"/>
      <c r="D712" s="714"/>
      <c r="E712" s="714"/>
      <c r="F712" s="714"/>
      <c r="G712" s="203" t="s">
        <v>1249</v>
      </c>
      <c r="H712" s="504">
        <v>3497.87</v>
      </c>
      <c r="I712" s="504">
        <v>854</v>
      </c>
      <c r="J712" s="504"/>
    </row>
    <row r="713" spans="1:10" s="285" customFormat="1">
      <c r="A713" s="696">
        <v>345</v>
      </c>
      <c r="B713" s="726">
        <v>600</v>
      </c>
      <c r="C713" s="706"/>
      <c r="D713" s="714"/>
      <c r="E713" s="714"/>
      <c r="F713" s="714"/>
      <c r="G713" s="203" t="s">
        <v>1250</v>
      </c>
      <c r="H713" s="504">
        <v>0</v>
      </c>
      <c r="I713" s="504">
        <v>0</v>
      </c>
      <c r="J713" s="504"/>
    </row>
    <row r="714" spans="1:10" s="285" customFormat="1">
      <c r="A714" s="696">
        <v>345</v>
      </c>
      <c r="B714" s="726">
        <v>700</v>
      </c>
      <c r="C714" s="706"/>
      <c r="D714" s="714"/>
      <c r="E714" s="714"/>
      <c r="F714" s="714"/>
      <c r="G714" s="203" t="s">
        <v>1251</v>
      </c>
      <c r="H714" s="504">
        <v>0</v>
      </c>
      <c r="I714" s="504">
        <v>0</v>
      </c>
      <c r="J714" s="504"/>
    </row>
    <row r="715" spans="1:10" s="285" customFormat="1">
      <c r="A715" s="696">
        <v>345</v>
      </c>
      <c r="B715" s="726">
        <v>900</v>
      </c>
      <c r="C715" s="706"/>
      <c r="D715" s="714"/>
      <c r="E715" s="714"/>
      <c r="F715" s="714"/>
      <c r="G715" s="203" t="s">
        <v>1252</v>
      </c>
      <c r="H715" s="504">
        <v>0</v>
      </c>
      <c r="I715" s="504">
        <v>0</v>
      </c>
      <c r="J715" s="504"/>
    </row>
    <row r="716" spans="1:10" s="285" customFormat="1">
      <c r="A716" s="694">
        <v>350</v>
      </c>
      <c r="B716" s="724">
        <v>0</v>
      </c>
      <c r="C716" s="647">
        <v>0</v>
      </c>
      <c r="D716" s="683">
        <v>0</v>
      </c>
      <c r="E716" s="683">
        <v>0</v>
      </c>
      <c r="F716" s="683">
        <v>0</v>
      </c>
      <c r="G716" s="675" t="s">
        <v>1253</v>
      </c>
      <c r="H716" s="607">
        <v>0</v>
      </c>
      <c r="I716" s="607">
        <v>0</v>
      </c>
      <c r="J716" s="607" t="s">
        <v>1254</v>
      </c>
    </row>
    <row r="717" spans="1:10" s="285" customFormat="1">
      <c r="A717" s="696">
        <v>350</v>
      </c>
      <c r="B717" s="726">
        <v>100</v>
      </c>
      <c r="C717" s="706"/>
      <c r="D717" s="714"/>
      <c r="E717" s="714"/>
      <c r="F717" s="714"/>
      <c r="G717" s="638" t="s">
        <v>1255</v>
      </c>
      <c r="H717" s="607">
        <v>0</v>
      </c>
      <c r="I717" s="607">
        <v>0</v>
      </c>
      <c r="J717" s="607" t="s">
        <v>1256</v>
      </c>
    </row>
    <row r="718" spans="1:10" s="285" customFormat="1">
      <c r="A718" s="696">
        <v>350</v>
      </c>
      <c r="B718" s="726">
        <v>100</v>
      </c>
      <c r="C718" s="706">
        <v>100</v>
      </c>
      <c r="D718" s="714"/>
      <c r="E718" s="714"/>
      <c r="F718" s="714"/>
      <c r="G718" s="203" t="s">
        <v>1257</v>
      </c>
      <c r="H718" s="606">
        <v>47707.41</v>
      </c>
      <c r="I718" s="606">
        <v>47707</v>
      </c>
      <c r="J718" s="606" t="s">
        <v>1258</v>
      </c>
    </row>
    <row r="719" spans="1:10" s="285" customFormat="1">
      <c r="A719" s="696">
        <v>350</v>
      </c>
      <c r="B719" s="726">
        <v>100</v>
      </c>
      <c r="C719" s="706">
        <v>200</v>
      </c>
      <c r="D719" s="714"/>
      <c r="E719" s="714"/>
      <c r="F719" s="714"/>
      <c r="G719" s="203" t="s">
        <v>1259</v>
      </c>
      <c r="H719" s="606">
        <v>751951.22</v>
      </c>
      <c r="I719" s="606">
        <v>751301</v>
      </c>
      <c r="J719" s="606" t="s">
        <v>1260</v>
      </c>
    </row>
    <row r="720" spans="1:10" s="285" customFormat="1">
      <c r="A720" s="696">
        <v>350</v>
      </c>
      <c r="B720" s="726">
        <v>200</v>
      </c>
      <c r="C720" s="706"/>
      <c r="D720" s="714"/>
      <c r="E720" s="714"/>
      <c r="F720" s="714"/>
      <c r="G720" s="638" t="s">
        <v>1261</v>
      </c>
      <c r="H720" s="607">
        <v>0</v>
      </c>
      <c r="I720" s="607">
        <v>0</v>
      </c>
      <c r="J720" s="607" t="s">
        <v>1262</v>
      </c>
    </row>
    <row r="721" spans="1:10" s="285" customFormat="1">
      <c r="A721" s="696">
        <v>350</v>
      </c>
      <c r="B721" s="726">
        <v>200</v>
      </c>
      <c r="C721" s="706">
        <v>100</v>
      </c>
      <c r="D721" s="714"/>
      <c r="E721" s="714"/>
      <c r="F721" s="714"/>
      <c r="G721" s="203" t="s">
        <v>1263</v>
      </c>
      <c r="H721" s="504">
        <v>227.14</v>
      </c>
      <c r="I721" s="504">
        <v>227</v>
      </c>
      <c r="J721" s="504"/>
    </row>
    <row r="722" spans="1:10" s="285" customFormat="1">
      <c r="A722" s="696">
        <v>350</v>
      </c>
      <c r="B722" s="726">
        <v>200</v>
      </c>
      <c r="C722" s="706">
        <v>200</v>
      </c>
      <c r="D722" s="714"/>
      <c r="E722" s="714"/>
      <c r="F722" s="714"/>
      <c r="G722" s="203" t="s">
        <v>1264</v>
      </c>
      <c r="H722" s="504">
        <v>1055986.8799999999</v>
      </c>
      <c r="I722" s="504">
        <v>706499</v>
      </c>
      <c r="J722" s="504"/>
    </row>
    <row r="723" spans="1:10" s="285" customFormat="1">
      <c r="A723" s="696">
        <v>350</v>
      </c>
      <c r="B723" s="726">
        <v>200</v>
      </c>
      <c r="C723" s="706">
        <v>300</v>
      </c>
      <c r="D723" s="714"/>
      <c r="E723" s="714"/>
      <c r="F723" s="714"/>
      <c r="G723" s="203" t="s">
        <v>1265</v>
      </c>
      <c r="H723" s="504">
        <v>83993.43</v>
      </c>
      <c r="I723" s="504">
        <v>18937</v>
      </c>
      <c r="J723" s="504"/>
    </row>
    <row r="724" spans="1:10" s="285" customFormat="1">
      <c r="A724" s="696">
        <v>350</v>
      </c>
      <c r="B724" s="726">
        <v>200</v>
      </c>
      <c r="C724" s="706">
        <v>400</v>
      </c>
      <c r="D724" s="714"/>
      <c r="E724" s="714"/>
      <c r="F724" s="714"/>
      <c r="G724" s="203" t="s">
        <v>1266</v>
      </c>
      <c r="H724" s="504">
        <v>2833.21</v>
      </c>
      <c r="I724" s="504">
        <v>1619</v>
      </c>
      <c r="J724" s="504"/>
    </row>
    <row r="725" spans="1:10" s="285" customFormat="1">
      <c r="A725" s="696">
        <v>350</v>
      </c>
      <c r="B725" s="726">
        <v>200</v>
      </c>
      <c r="C725" s="706">
        <v>500</v>
      </c>
      <c r="D725" s="714"/>
      <c r="E725" s="714"/>
      <c r="F725" s="714"/>
      <c r="G725" s="203" t="s">
        <v>1267</v>
      </c>
      <c r="H725" s="504">
        <v>218336.04</v>
      </c>
      <c r="I725" s="504">
        <v>197454</v>
      </c>
      <c r="J725" s="504"/>
    </row>
    <row r="726" spans="1:10" s="285" customFormat="1">
      <c r="A726" s="694">
        <v>355</v>
      </c>
      <c r="B726" s="724">
        <v>0</v>
      </c>
      <c r="C726" s="647">
        <v>0</v>
      </c>
      <c r="D726" s="683">
        <v>0</v>
      </c>
      <c r="E726" s="683">
        <v>0</v>
      </c>
      <c r="F726" s="683">
        <v>0</v>
      </c>
      <c r="G726" s="675" t="s">
        <v>1268</v>
      </c>
      <c r="H726" s="607">
        <v>0</v>
      </c>
      <c r="I726" s="607">
        <v>0</v>
      </c>
      <c r="J726" s="607" t="s">
        <v>1269</v>
      </c>
    </row>
    <row r="727" spans="1:10" s="285" customFormat="1">
      <c r="A727" s="696">
        <v>355</v>
      </c>
      <c r="B727" s="726">
        <v>100</v>
      </c>
      <c r="C727" s="706"/>
      <c r="D727" s="714"/>
      <c r="E727" s="714"/>
      <c r="F727" s="714"/>
      <c r="G727" s="638" t="s">
        <v>1270</v>
      </c>
      <c r="H727" s="607">
        <v>0</v>
      </c>
      <c r="I727" s="607">
        <v>0</v>
      </c>
      <c r="J727" s="607" t="s">
        <v>1271</v>
      </c>
    </row>
    <row r="728" spans="1:10" s="285" customFormat="1">
      <c r="A728" s="696">
        <v>355</v>
      </c>
      <c r="B728" s="726">
        <v>100</v>
      </c>
      <c r="C728" s="706">
        <v>100</v>
      </c>
      <c r="D728" s="714"/>
      <c r="E728" s="714"/>
      <c r="F728" s="714"/>
      <c r="G728" s="685" t="s">
        <v>1272</v>
      </c>
      <c r="H728" s="607">
        <v>0</v>
      </c>
      <c r="I728" s="607">
        <v>0</v>
      </c>
      <c r="J728" s="607"/>
    </row>
    <row r="729" spans="1:10" s="285" customFormat="1">
      <c r="A729" s="696">
        <v>355</v>
      </c>
      <c r="B729" s="726">
        <v>100</v>
      </c>
      <c r="C729" s="706">
        <v>100</v>
      </c>
      <c r="D729" s="714">
        <v>100</v>
      </c>
      <c r="E729" s="714"/>
      <c r="F729" s="714"/>
      <c r="G729" s="684" t="s">
        <v>1273</v>
      </c>
      <c r="H729" s="504">
        <v>0</v>
      </c>
      <c r="I729" s="504">
        <v>0</v>
      </c>
      <c r="J729" s="504"/>
    </row>
    <row r="730" spans="1:10" s="285" customFormat="1">
      <c r="A730" s="696">
        <v>355</v>
      </c>
      <c r="B730" s="726">
        <v>100</v>
      </c>
      <c r="C730" s="706">
        <v>100</v>
      </c>
      <c r="D730" s="714">
        <v>200</v>
      </c>
      <c r="E730" s="714"/>
      <c r="F730" s="714"/>
      <c r="G730" s="684" t="s">
        <v>1274</v>
      </c>
      <c r="H730" s="504">
        <v>0</v>
      </c>
      <c r="I730" s="504">
        <v>0</v>
      </c>
      <c r="J730" s="504"/>
    </row>
    <row r="731" spans="1:10" s="285" customFormat="1">
      <c r="A731" s="696">
        <v>355</v>
      </c>
      <c r="B731" s="726">
        <v>100</v>
      </c>
      <c r="C731" s="706">
        <v>100</v>
      </c>
      <c r="D731" s="714">
        <v>300</v>
      </c>
      <c r="E731" s="714"/>
      <c r="F731" s="714"/>
      <c r="G731" s="684" t="s">
        <v>1275</v>
      </c>
      <c r="H731" s="504">
        <v>0</v>
      </c>
      <c r="I731" s="504">
        <v>0</v>
      </c>
      <c r="J731" s="504"/>
    </row>
    <row r="732" spans="1:10" s="285" customFormat="1">
      <c r="A732" s="696">
        <v>355</v>
      </c>
      <c r="B732" s="726">
        <v>100</v>
      </c>
      <c r="C732" s="706">
        <v>100</v>
      </c>
      <c r="D732" s="714">
        <v>400</v>
      </c>
      <c r="E732" s="714"/>
      <c r="F732" s="714"/>
      <c r="G732" s="684" t="s">
        <v>1276</v>
      </c>
      <c r="H732" s="504">
        <v>0</v>
      </c>
      <c r="I732" s="504">
        <v>0</v>
      </c>
      <c r="J732" s="504"/>
    </row>
    <row r="733" spans="1:10" s="285" customFormat="1">
      <c r="A733" s="696">
        <v>355</v>
      </c>
      <c r="B733" s="726">
        <v>100</v>
      </c>
      <c r="C733" s="706">
        <v>200</v>
      </c>
      <c r="D733" s="714"/>
      <c r="E733" s="714"/>
      <c r="F733" s="714"/>
      <c r="G733" s="685" t="s">
        <v>1277</v>
      </c>
      <c r="H733" s="607">
        <v>0</v>
      </c>
      <c r="I733" s="607">
        <v>0</v>
      </c>
      <c r="J733" s="607"/>
    </row>
    <row r="734" spans="1:10" s="285" customFormat="1">
      <c r="A734" s="696">
        <v>355</v>
      </c>
      <c r="B734" s="726">
        <v>100</v>
      </c>
      <c r="C734" s="706">
        <v>200</v>
      </c>
      <c r="D734" s="714">
        <v>50</v>
      </c>
      <c r="E734" s="714"/>
      <c r="F734" s="714"/>
      <c r="G734" s="684" t="s">
        <v>1278</v>
      </c>
      <c r="H734" s="504">
        <v>0</v>
      </c>
      <c r="I734" s="504">
        <v>0</v>
      </c>
      <c r="J734" s="504"/>
    </row>
    <row r="735" spans="1:10" s="285" customFormat="1">
      <c r="A735" s="696">
        <v>355</v>
      </c>
      <c r="B735" s="726">
        <v>100</v>
      </c>
      <c r="C735" s="706">
        <v>200</v>
      </c>
      <c r="D735" s="714">
        <v>100</v>
      </c>
      <c r="E735" s="714"/>
      <c r="F735" s="714"/>
      <c r="G735" s="684" t="s">
        <v>1279</v>
      </c>
      <c r="H735" s="504">
        <v>0</v>
      </c>
      <c r="I735" s="504">
        <v>0</v>
      </c>
      <c r="J735" s="504"/>
    </row>
    <row r="736" spans="1:10" s="285" customFormat="1">
      <c r="A736" s="696">
        <v>355</v>
      </c>
      <c r="B736" s="726">
        <v>100</v>
      </c>
      <c r="C736" s="706">
        <v>200</v>
      </c>
      <c r="D736" s="714">
        <v>150</v>
      </c>
      <c r="E736" s="714"/>
      <c r="F736" s="714"/>
      <c r="G736" s="684" t="s">
        <v>1280</v>
      </c>
      <c r="H736" s="504">
        <v>0</v>
      </c>
      <c r="I736" s="504">
        <v>0</v>
      </c>
      <c r="J736" s="504"/>
    </row>
    <row r="737" spans="1:10" s="285" customFormat="1">
      <c r="A737" s="696">
        <v>355</v>
      </c>
      <c r="B737" s="726">
        <v>100</v>
      </c>
      <c r="C737" s="706">
        <v>200</v>
      </c>
      <c r="D737" s="714">
        <v>200</v>
      </c>
      <c r="E737" s="714"/>
      <c r="F737" s="714"/>
      <c r="G737" s="684" t="s">
        <v>1281</v>
      </c>
      <c r="H737" s="504">
        <v>0</v>
      </c>
      <c r="I737" s="504">
        <v>0</v>
      </c>
      <c r="J737" s="504"/>
    </row>
    <row r="738" spans="1:10" s="285" customFormat="1">
      <c r="A738" s="696">
        <v>355</v>
      </c>
      <c r="B738" s="726">
        <v>100</v>
      </c>
      <c r="C738" s="706">
        <v>200</v>
      </c>
      <c r="D738" s="714">
        <v>250</v>
      </c>
      <c r="E738" s="714"/>
      <c r="F738" s="714"/>
      <c r="G738" s="684" t="s">
        <v>1282</v>
      </c>
      <c r="H738" s="504">
        <v>0</v>
      </c>
      <c r="I738" s="504">
        <v>0</v>
      </c>
      <c r="J738" s="504"/>
    </row>
    <row r="739" spans="1:10" s="285" customFormat="1">
      <c r="A739" s="696">
        <v>355</v>
      </c>
      <c r="B739" s="726">
        <v>100</v>
      </c>
      <c r="C739" s="706">
        <v>200</v>
      </c>
      <c r="D739" s="714">
        <v>300</v>
      </c>
      <c r="E739" s="714"/>
      <c r="F739" s="714"/>
      <c r="G739" s="684" t="s">
        <v>1283</v>
      </c>
      <c r="H739" s="504">
        <v>0</v>
      </c>
      <c r="I739" s="504">
        <v>0</v>
      </c>
      <c r="J739" s="504"/>
    </row>
    <row r="740" spans="1:10" s="285" customFormat="1">
      <c r="A740" s="696">
        <v>355</v>
      </c>
      <c r="B740" s="726">
        <v>100</v>
      </c>
      <c r="C740" s="706">
        <v>200</v>
      </c>
      <c r="D740" s="714">
        <v>350</v>
      </c>
      <c r="E740" s="714"/>
      <c r="F740" s="714"/>
      <c r="G740" s="684" t="s">
        <v>1284</v>
      </c>
      <c r="H740" s="504">
        <v>0</v>
      </c>
      <c r="I740" s="504">
        <v>0</v>
      </c>
      <c r="J740" s="504"/>
    </row>
    <row r="741" spans="1:10" s="285" customFormat="1">
      <c r="A741" s="696">
        <v>355</v>
      </c>
      <c r="B741" s="726">
        <v>100</v>
      </c>
      <c r="C741" s="706">
        <v>200</v>
      </c>
      <c r="D741" s="714">
        <v>400</v>
      </c>
      <c r="E741" s="714"/>
      <c r="F741" s="714"/>
      <c r="G741" s="684" t="s">
        <v>1285</v>
      </c>
      <c r="H741" s="504">
        <v>0</v>
      </c>
      <c r="I741" s="504">
        <v>0</v>
      </c>
      <c r="J741" s="504"/>
    </row>
    <row r="742" spans="1:10" s="285" customFormat="1">
      <c r="A742" s="696">
        <v>355</v>
      </c>
      <c r="B742" s="726">
        <v>100</v>
      </c>
      <c r="C742" s="706">
        <v>200</v>
      </c>
      <c r="D742" s="714">
        <v>450</v>
      </c>
      <c r="E742" s="714"/>
      <c r="F742" s="714"/>
      <c r="G742" s="684" t="s">
        <v>1286</v>
      </c>
      <c r="H742" s="504">
        <v>0</v>
      </c>
      <c r="I742" s="504">
        <v>0</v>
      </c>
      <c r="J742" s="504"/>
    </row>
    <row r="743" spans="1:10" s="285" customFormat="1">
      <c r="A743" s="696">
        <v>355</v>
      </c>
      <c r="B743" s="726">
        <v>100</v>
      </c>
      <c r="C743" s="706">
        <v>200</v>
      </c>
      <c r="D743" s="714">
        <v>500</v>
      </c>
      <c r="E743" s="714"/>
      <c r="F743" s="714"/>
      <c r="G743" s="684" t="s">
        <v>1287</v>
      </c>
      <c r="H743" s="504">
        <v>0</v>
      </c>
      <c r="I743" s="504">
        <v>0</v>
      </c>
      <c r="J743" s="504"/>
    </row>
    <row r="744" spans="1:10" s="285" customFormat="1">
      <c r="A744" s="696">
        <v>355</v>
      </c>
      <c r="B744" s="726">
        <v>200</v>
      </c>
      <c r="C744" s="706"/>
      <c r="D744" s="714"/>
      <c r="E744" s="714"/>
      <c r="F744" s="714"/>
      <c r="G744" s="638" t="s">
        <v>1288</v>
      </c>
      <c r="H744" s="607">
        <v>0</v>
      </c>
      <c r="I744" s="607">
        <v>0</v>
      </c>
      <c r="J744" s="607" t="s">
        <v>1289</v>
      </c>
    </row>
    <row r="745" spans="1:10" s="285" customFormat="1">
      <c r="A745" s="696">
        <v>355</v>
      </c>
      <c r="B745" s="726">
        <v>200</v>
      </c>
      <c r="C745" s="706">
        <v>100</v>
      </c>
      <c r="D745" s="714"/>
      <c r="E745" s="714"/>
      <c r="F745" s="714"/>
      <c r="G745" s="684" t="s">
        <v>1290</v>
      </c>
      <c r="H745" s="504">
        <v>0</v>
      </c>
      <c r="I745" s="504">
        <v>0</v>
      </c>
      <c r="J745" s="504"/>
    </row>
    <row r="746" spans="1:10" s="285" customFormat="1">
      <c r="A746" s="696">
        <v>355</v>
      </c>
      <c r="B746" s="726">
        <v>200</v>
      </c>
      <c r="C746" s="706">
        <v>101</v>
      </c>
      <c r="D746" s="714"/>
      <c r="E746" s="714"/>
      <c r="F746" s="714"/>
      <c r="G746" s="684" t="s">
        <v>1291</v>
      </c>
      <c r="H746" s="504">
        <v>0</v>
      </c>
      <c r="I746" s="504">
        <v>0</v>
      </c>
      <c r="J746" s="504"/>
    </row>
    <row r="747" spans="1:10" s="285" customFormat="1">
      <c r="A747" s="696">
        <v>355</v>
      </c>
      <c r="B747" s="726">
        <v>200</v>
      </c>
      <c r="C747" s="706">
        <v>102</v>
      </c>
      <c r="D747" s="714"/>
      <c r="E747" s="714"/>
      <c r="F747" s="714"/>
      <c r="G747" s="684" t="s">
        <v>1292</v>
      </c>
      <c r="H747" s="504">
        <v>0</v>
      </c>
      <c r="I747" s="504">
        <v>0</v>
      </c>
      <c r="J747" s="504"/>
    </row>
    <row r="748" spans="1:10" s="285" customFormat="1">
      <c r="A748" s="696">
        <v>355</v>
      </c>
      <c r="B748" s="726">
        <v>200</v>
      </c>
      <c r="C748" s="706">
        <v>103</v>
      </c>
      <c r="D748" s="714"/>
      <c r="E748" s="714"/>
      <c r="F748" s="714"/>
      <c r="G748" s="684" t="s">
        <v>1293</v>
      </c>
      <c r="H748" s="504">
        <v>0</v>
      </c>
      <c r="I748" s="504">
        <v>0</v>
      </c>
      <c r="J748" s="504"/>
    </row>
    <row r="749" spans="1:10" s="285" customFormat="1">
      <c r="A749" s="696">
        <v>355</v>
      </c>
      <c r="B749" s="726">
        <v>200</v>
      </c>
      <c r="C749" s="706">
        <v>200</v>
      </c>
      <c r="D749" s="714"/>
      <c r="E749" s="714"/>
      <c r="F749" s="714"/>
      <c r="G749" s="684" t="s">
        <v>1294</v>
      </c>
      <c r="H749" s="504">
        <v>0</v>
      </c>
      <c r="I749" s="504">
        <v>0</v>
      </c>
      <c r="J749" s="504"/>
    </row>
    <row r="750" spans="1:10" s="285" customFormat="1">
      <c r="A750" s="696">
        <v>355</v>
      </c>
      <c r="B750" s="726">
        <v>200</v>
      </c>
      <c r="C750" s="706">
        <v>201</v>
      </c>
      <c r="D750" s="714"/>
      <c r="E750" s="714"/>
      <c r="F750" s="714"/>
      <c r="G750" s="684" t="s">
        <v>1295</v>
      </c>
      <c r="H750" s="504">
        <v>0</v>
      </c>
      <c r="I750" s="504">
        <v>0</v>
      </c>
      <c r="J750" s="504"/>
    </row>
    <row r="751" spans="1:10" s="285" customFormat="1">
      <c r="A751" s="696">
        <v>355</v>
      </c>
      <c r="B751" s="726">
        <v>200</v>
      </c>
      <c r="C751" s="706">
        <v>202</v>
      </c>
      <c r="D751" s="714"/>
      <c r="E751" s="714"/>
      <c r="F751" s="714"/>
      <c r="G751" s="684" t="s">
        <v>1296</v>
      </c>
      <c r="H751" s="504">
        <v>0</v>
      </c>
      <c r="I751" s="504">
        <v>0</v>
      </c>
      <c r="J751" s="504"/>
    </row>
    <row r="752" spans="1:10" s="285" customFormat="1">
      <c r="A752" s="696">
        <v>355</v>
      </c>
      <c r="B752" s="726">
        <v>200</v>
      </c>
      <c r="C752" s="706">
        <v>203</v>
      </c>
      <c r="D752" s="714"/>
      <c r="E752" s="714"/>
      <c r="F752" s="714"/>
      <c r="G752" s="684" t="s">
        <v>1297</v>
      </c>
      <c r="H752" s="504">
        <v>0</v>
      </c>
      <c r="I752" s="504">
        <v>0</v>
      </c>
      <c r="J752" s="504"/>
    </row>
    <row r="753" spans="1:10" s="285" customFormat="1">
      <c r="A753" s="696">
        <v>355</v>
      </c>
      <c r="B753" s="726">
        <v>200</v>
      </c>
      <c r="C753" s="706">
        <v>204</v>
      </c>
      <c r="D753" s="714"/>
      <c r="E753" s="714"/>
      <c r="F753" s="714"/>
      <c r="G753" s="684" t="s">
        <v>1298</v>
      </c>
      <c r="H753" s="504">
        <v>0</v>
      </c>
      <c r="I753" s="504">
        <v>0</v>
      </c>
      <c r="J753" s="504"/>
    </row>
    <row r="754" spans="1:10" s="285" customFormat="1">
      <c r="A754" s="696">
        <v>355</v>
      </c>
      <c r="B754" s="726">
        <v>200</v>
      </c>
      <c r="C754" s="706">
        <v>205</v>
      </c>
      <c r="D754" s="714"/>
      <c r="E754" s="714"/>
      <c r="F754" s="714"/>
      <c r="G754" s="684" t="s">
        <v>1299</v>
      </c>
      <c r="H754" s="504">
        <v>0</v>
      </c>
      <c r="I754" s="504">
        <v>0</v>
      </c>
      <c r="J754" s="504"/>
    </row>
    <row r="755" spans="1:10" s="285" customFormat="1">
      <c r="A755" s="696">
        <v>355</v>
      </c>
      <c r="B755" s="726">
        <v>200</v>
      </c>
      <c r="C755" s="706">
        <v>206</v>
      </c>
      <c r="D755" s="714"/>
      <c r="E755" s="714"/>
      <c r="F755" s="714"/>
      <c r="G755" s="684" t="s">
        <v>1300</v>
      </c>
      <c r="H755" s="504">
        <v>0</v>
      </c>
      <c r="I755" s="504">
        <v>0</v>
      </c>
      <c r="J755" s="504"/>
    </row>
    <row r="756" spans="1:10" s="285" customFormat="1">
      <c r="A756" s="696">
        <v>355</v>
      </c>
      <c r="B756" s="726">
        <v>200</v>
      </c>
      <c r="C756" s="706">
        <v>207</v>
      </c>
      <c r="D756" s="714"/>
      <c r="E756" s="714"/>
      <c r="F756" s="714"/>
      <c r="G756" s="684" t="s">
        <v>1301</v>
      </c>
      <c r="H756" s="504">
        <v>0</v>
      </c>
      <c r="I756" s="504">
        <v>0</v>
      </c>
      <c r="J756" s="504"/>
    </row>
    <row r="757" spans="1:10" s="285" customFormat="1">
      <c r="A757" s="696">
        <v>355</v>
      </c>
      <c r="B757" s="726">
        <v>200</v>
      </c>
      <c r="C757" s="706">
        <v>208</v>
      </c>
      <c r="D757" s="714"/>
      <c r="E757" s="714"/>
      <c r="F757" s="714"/>
      <c r="G757" s="684" t="s">
        <v>1302</v>
      </c>
      <c r="H757" s="504">
        <v>0</v>
      </c>
      <c r="I757" s="504">
        <v>0</v>
      </c>
      <c r="J757" s="504"/>
    </row>
    <row r="758" spans="1:10" s="285" customFormat="1">
      <c r="A758" s="696">
        <v>355</v>
      </c>
      <c r="B758" s="726">
        <v>200</v>
      </c>
      <c r="C758" s="706">
        <v>209</v>
      </c>
      <c r="D758" s="714"/>
      <c r="E758" s="714"/>
      <c r="F758" s="714"/>
      <c r="G758" s="684" t="s">
        <v>1303</v>
      </c>
      <c r="H758" s="504">
        <v>0</v>
      </c>
      <c r="I758" s="504">
        <v>0</v>
      </c>
      <c r="J758" s="504"/>
    </row>
    <row r="759" spans="1:10" s="285" customFormat="1">
      <c r="A759" s="696">
        <v>355</v>
      </c>
      <c r="B759" s="726">
        <v>200</v>
      </c>
      <c r="C759" s="706">
        <v>210</v>
      </c>
      <c r="D759" s="714"/>
      <c r="E759" s="714"/>
      <c r="F759" s="714"/>
      <c r="G759" s="684" t="s">
        <v>1304</v>
      </c>
      <c r="H759" s="504">
        <v>0</v>
      </c>
      <c r="I759" s="504">
        <v>0</v>
      </c>
      <c r="J759" s="504"/>
    </row>
    <row r="760" spans="1:10" s="285" customFormat="1">
      <c r="A760" s="696">
        <v>355</v>
      </c>
      <c r="B760" s="726">
        <v>200</v>
      </c>
      <c r="C760" s="706">
        <v>211</v>
      </c>
      <c r="D760" s="714"/>
      <c r="E760" s="714"/>
      <c r="F760" s="714"/>
      <c r="G760" s="684" t="s">
        <v>1305</v>
      </c>
      <c r="H760" s="504">
        <v>0</v>
      </c>
      <c r="I760" s="504">
        <v>0</v>
      </c>
      <c r="J760" s="504"/>
    </row>
    <row r="761" spans="1:10" s="285" customFormat="1">
      <c r="A761" s="696">
        <v>355</v>
      </c>
      <c r="B761" s="726">
        <v>200</v>
      </c>
      <c r="C761" s="706">
        <v>300</v>
      </c>
      <c r="D761" s="714"/>
      <c r="E761" s="714"/>
      <c r="F761" s="714"/>
      <c r="G761" s="684" t="s">
        <v>1306</v>
      </c>
      <c r="H761" s="504">
        <v>0</v>
      </c>
      <c r="I761" s="504">
        <v>0</v>
      </c>
      <c r="J761" s="504"/>
    </row>
    <row r="762" spans="1:10" s="285" customFormat="1">
      <c r="A762" s="696">
        <v>355</v>
      </c>
      <c r="B762" s="726">
        <v>200</v>
      </c>
      <c r="C762" s="706">
        <v>400</v>
      </c>
      <c r="D762" s="714"/>
      <c r="E762" s="714"/>
      <c r="F762" s="714"/>
      <c r="G762" s="684" t="s">
        <v>1307</v>
      </c>
      <c r="H762" s="504">
        <v>0</v>
      </c>
      <c r="I762" s="504">
        <v>0</v>
      </c>
      <c r="J762" s="504"/>
    </row>
    <row r="763" spans="1:10" s="285" customFormat="1">
      <c r="A763" s="696">
        <v>355</v>
      </c>
      <c r="B763" s="726">
        <v>200</v>
      </c>
      <c r="C763" s="706">
        <v>401</v>
      </c>
      <c r="D763" s="714"/>
      <c r="E763" s="714"/>
      <c r="F763" s="714"/>
      <c r="G763" s="684" t="s">
        <v>1308</v>
      </c>
      <c r="H763" s="504">
        <v>0</v>
      </c>
      <c r="I763" s="504">
        <v>0</v>
      </c>
      <c r="J763" s="504"/>
    </row>
    <row r="764" spans="1:10" s="285" customFormat="1">
      <c r="A764" s="696">
        <v>355</v>
      </c>
      <c r="B764" s="726">
        <v>200</v>
      </c>
      <c r="C764" s="706">
        <v>402</v>
      </c>
      <c r="D764" s="714"/>
      <c r="E764" s="714"/>
      <c r="F764" s="714"/>
      <c r="G764" s="684" t="s">
        <v>1309</v>
      </c>
      <c r="H764" s="504">
        <v>0</v>
      </c>
      <c r="I764" s="504">
        <v>0</v>
      </c>
      <c r="J764" s="504"/>
    </row>
    <row r="765" spans="1:10" s="285" customFormat="1">
      <c r="A765" s="696">
        <v>355</v>
      </c>
      <c r="B765" s="726">
        <v>200</v>
      </c>
      <c r="C765" s="706">
        <v>403</v>
      </c>
      <c r="D765" s="714"/>
      <c r="E765" s="714"/>
      <c r="F765" s="714"/>
      <c r="G765" s="684" t="s">
        <v>1310</v>
      </c>
      <c r="H765" s="504">
        <v>0</v>
      </c>
      <c r="I765" s="504">
        <v>0</v>
      </c>
      <c r="J765" s="504"/>
    </row>
    <row r="766" spans="1:10" s="285" customFormat="1">
      <c r="A766" s="696">
        <v>355</v>
      </c>
      <c r="B766" s="726">
        <v>200</v>
      </c>
      <c r="C766" s="706">
        <v>404</v>
      </c>
      <c r="D766" s="714"/>
      <c r="E766" s="714"/>
      <c r="F766" s="714"/>
      <c r="G766" s="684" t="s">
        <v>1311</v>
      </c>
      <c r="H766" s="504">
        <v>0</v>
      </c>
      <c r="I766" s="504">
        <v>0</v>
      </c>
      <c r="J766" s="504"/>
    </row>
    <row r="767" spans="1:10" s="285" customFormat="1">
      <c r="A767" s="696">
        <v>355</v>
      </c>
      <c r="B767" s="726">
        <v>200</v>
      </c>
      <c r="C767" s="706">
        <v>405</v>
      </c>
      <c r="D767" s="714"/>
      <c r="E767" s="714"/>
      <c r="F767" s="714"/>
      <c r="G767" s="684" t="s">
        <v>1312</v>
      </c>
      <c r="H767" s="504">
        <v>0</v>
      </c>
      <c r="I767" s="504">
        <v>0</v>
      </c>
      <c r="J767" s="504"/>
    </row>
    <row r="768" spans="1:10" s="285" customFormat="1">
      <c r="A768" s="696">
        <v>355</v>
      </c>
      <c r="B768" s="726">
        <v>200</v>
      </c>
      <c r="C768" s="706">
        <v>406</v>
      </c>
      <c r="D768" s="714"/>
      <c r="E768" s="714"/>
      <c r="F768" s="714"/>
      <c r="G768" s="684" t="s">
        <v>1313</v>
      </c>
      <c r="H768" s="504">
        <v>0</v>
      </c>
      <c r="I768" s="504">
        <v>0</v>
      </c>
      <c r="J768" s="504"/>
    </row>
    <row r="769" spans="1:10" s="285" customFormat="1">
      <c r="A769" s="696">
        <v>355</v>
      </c>
      <c r="B769" s="726">
        <v>200</v>
      </c>
      <c r="C769" s="706">
        <v>407</v>
      </c>
      <c r="D769" s="714"/>
      <c r="E769" s="714"/>
      <c r="F769" s="714"/>
      <c r="G769" s="684" t="s">
        <v>1314</v>
      </c>
      <c r="H769" s="504">
        <v>0</v>
      </c>
      <c r="I769" s="504">
        <v>0</v>
      </c>
      <c r="J769" s="504"/>
    </row>
    <row r="770" spans="1:10" s="285" customFormat="1">
      <c r="A770" s="696">
        <v>355</v>
      </c>
      <c r="B770" s="726">
        <v>200</v>
      </c>
      <c r="C770" s="706">
        <v>408</v>
      </c>
      <c r="D770" s="714"/>
      <c r="E770" s="714"/>
      <c r="F770" s="714"/>
      <c r="G770" s="684" t="s">
        <v>1315</v>
      </c>
      <c r="H770" s="504">
        <v>54782.96</v>
      </c>
      <c r="I770" s="504">
        <v>86742</v>
      </c>
      <c r="J770" s="504"/>
    </row>
    <row r="771" spans="1:10" s="285" customFormat="1">
      <c r="A771" s="696">
        <v>355</v>
      </c>
      <c r="B771" s="726">
        <v>200</v>
      </c>
      <c r="C771" s="706">
        <v>409</v>
      </c>
      <c r="D771" s="714"/>
      <c r="E771" s="714"/>
      <c r="F771" s="714"/>
      <c r="G771" s="684" t="s">
        <v>1316</v>
      </c>
      <c r="H771" s="504">
        <v>0</v>
      </c>
      <c r="I771" s="504">
        <v>0</v>
      </c>
      <c r="J771" s="504"/>
    </row>
    <row r="772" spans="1:10" s="285" customFormat="1">
      <c r="A772" s="696">
        <v>355</v>
      </c>
      <c r="B772" s="726">
        <v>200</v>
      </c>
      <c r="C772" s="706">
        <v>410</v>
      </c>
      <c r="D772" s="714"/>
      <c r="E772" s="714"/>
      <c r="F772" s="714"/>
      <c r="G772" s="684" t="s">
        <v>1317</v>
      </c>
      <c r="H772" s="504">
        <v>0</v>
      </c>
      <c r="I772" s="504">
        <v>0</v>
      </c>
      <c r="J772" s="504"/>
    </row>
    <row r="773" spans="1:10" s="285" customFormat="1">
      <c r="A773" s="696">
        <v>355</v>
      </c>
      <c r="B773" s="726">
        <v>200</v>
      </c>
      <c r="C773" s="706">
        <v>411</v>
      </c>
      <c r="D773" s="714"/>
      <c r="E773" s="714"/>
      <c r="F773" s="714"/>
      <c r="G773" s="684" t="s">
        <v>1318</v>
      </c>
      <c r="H773" s="504">
        <v>0</v>
      </c>
      <c r="I773" s="504">
        <v>0</v>
      </c>
      <c r="J773" s="504"/>
    </row>
    <row r="774" spans="1:10" s="285" customFormat="1">
      <c r="A774" s="696">
        <v>355</v>
      </c>
      <c r="B774" s="726">
        <v>200</v>
      </c>
      <c r="C774" s="706">
        <v>412</v>
      </c>
      <c r="D774" s="714"/>
      <c r="E774" s="714"/>
      <c r="F774" s="714"/>
      <c r="G774" s="684" t="s">
        <v>1319</v>
      </c>
      <c r="H774" s="504">
        <v>0</v>
      </c>
      <c r="I774" s="504">
        <v>0</v>
      </c>
      <c r="J774" s="504"/>
    </row>
    <row r="775" spans="1:10" s="285" customFormat="1">
      <c r="A775" s="696">
        <v>355</v>
      </c>
      <c r="B775" s="726">
        <v>200</v>
      </c>
      <c r="C775" s="706">
        <v>413</v>
      </c>
      <c r="D775" s="714"/>
      <c r="E775" s="714"/>
      <c r="F775" s="714"/>
      <c r="G775" s="684" t="s">
        <v>1320</v>
      </c>
      <c r="H775" s="504">
        <v>0</v>
      </c>
      <c r="I775" s="504">
        <v>0</v>
      </c>
      <c r="J775" s="504"/>
    </row>
    <row r="776" spans="1:10" s="285" customFormat="1">
      <c r="A776" s="696">
        <v>355</v>
      </c>
      <c r="B776" s="726">
        <v>200</v>
      </c>
      <c r="C776" s="706">
        <v>414</v>
      </c>
      <c r="D776" s="714"/>
      <c r="E776" s="714"/>
      <c r="F776" s="714"/>
      <c r="G776" s="684" t="s">
        <v>1321</v>
      </c>
      <c r="H776" s="504">
        <v>0</v>
      </c>
      <c r="I776" s="504">
        <v>0</v>
      </c>
      <c r="J776" s="504"/>
    </row>
    <row r="777" spans="1:10" s="285" customFormat="1">
      <c r="A777" s="696">
        <v>355</v>
      </c>
      <c r="B777" s="726">
        <v>200</v>
      </c>
      <c r="C777" s="706">
        <v>415</v>
      </c>
      <c r="D777" s="714"/>
      <c r="E777" s="714"/>
      <c r="F777" s="714"/>
      <c r="G777" s="684" t="s">
        <v>1322</v>
      </c>
      <c r="H777" s="504">
        <v>0</v>
      </c>
      <c r="I777" s="504">
        <v>0</v>
      </c>
      <c r="J777" s="504"/>
    </row>
    <row r="778" spans="1:10" s="285" customFormat="1">
      <c r="A778" s="696">
        <v>355</v>
      </c>
      <c r="B778" s="726">
        <v>200</v>
      </c>
      <c r="C778" s="706">
        <v>416</v>
      </c>
      <c r="D778" s="714"/>
      <c r="E778" s="714"/>
      <c r="F778" s="714"/>
      <c r="G778" s="684" t="s">
        <v>1323</v>
      </c>
      <c r="H778" s="504">
        <v>0</v>
      </c>
      <c r="I778" s="504">
        <v>0</v>
      </c>
      <c r="J778" s="504"/>
    </row>
    <row r="779" spans="1:10" s="285" customFormat="1">
      <c r="A779" s="696">
        <v>355</v>
      </c>
      <c r="B779" s="726">
        <v>200</v>
      </c>
      <c r="C779" s="706">
        <v>500</v>
      </c>
      <c r="D779" s="714"/>
      <c r="E779" s="714"/>
      <c r="F779" s="714"/>
      <c r="G779" s="684" t="s">
        <v>1324</v>
      </c>
      <c r="H779" s="504">
        <v>0</v>
      </c>
      <c r="I779" s="504">
        <v>0</v>
      </c>
      <c r="J779" s="504"/>
    </row>
    <row r="780" spans="1:10" s="285" customFormat="1">
      <c r="A780" s="696">
        <v>355</v>
      </c>
      <c r="B780" s="726">
        <v>200</v>
      </c>
      <c r="C780" s="706">
        <v>600</v>
      </c>
      <c r="D780" s="714"/>
      <c r="E780" s="714"/>
      <c r="F780" s="714"/>
      <c r="G780" s="684" t="s">
        <v>1325</v>
      </c>
      <c r="H780" s="504">
        <v>0</v>
      </c>
      <c r="I780" s="504">
        <v>0</v>
      </c>
      <c r="J780" s="504"/>
    </row>
    <row r="781" spans="1:10" s="285" customFormat="1">
      <c r="A781" s="696">
        <v>355</v>
      </c>
      <c r="B781" s="726">
        <v>200</v>
      </c>
      <c r="C781" s="706">
        <v>601</v>
      </c>
      <c r="D781" s="714"/>
      <c r="E781" s="714"/>
      <c r="F781" s="714"/>
      <c r="G781" s="686" t="s">
        <v>1326</v>
      </c>
      <c r="H781" s="504">
        <v>0</v>
      </c>
      <c r="I781" s="504">
        <v>0</v>
      </c>
      <c r="J781" s="504"/>
    </row>
    <row r="782" spans="1:10" s="285" customFormat="1">
      <c r="A782" s="696">
        <v>355</v>
      </c>
      <c r="B782" s="726">
        <v>200</v>
      </c>
      <c r="C782" s="706">
        <v>602</v>
      </c>
      <c r="D782" s="714"/>
      <c r="E782" s="714"/>
      <c r="F782" s="714"/>
      <c r="G782" s="684" t="s">
        <v>1327</v>
      </c>
      <c r="H782" s="504">
        <v>0</v>
      </c>
      <c r="I782" s="504">
        <v>0</v>
      </c>
      <c r="J782" s="504"/>
    </row>
    <row r="783" spans="1:10" s="285" customFormat="1">
      <c r="A783" s="696">
        <v>355</v>
      </c>
      <c r="B783" s="726">
        <v>200</v>
      </c>
      <c r="C783" s="706">
        <v>603</v>
      </c>
      <c r="D783" s="714"/>
      <c r="E783" s="714"/>
      <c r="F783" s="714"/>
      <c r="G783" s="684" t="s">
        <v>1328</v>
      </c>
      <c r="H783" s="504">
        <v>0</v>
      </c>
      <c r="I783" s="504">
        <v>0</v>
      </c>
      <c r="J783" s="504"/>
    </row>
    <row r="784" spans="1:10" s="285" customFormat="1">
      <c r="A784" s="696">
        <v>355</v>
      </c>
      <c r="B784" s="726">
        <v>200</v>
      </c>
      <c r="C784" s="706">
        <v>700</v>
      </c>
      <c r="D784" s="714"/>
      <c r="E784" s="714"/>
      <c r="F784" s="714"/>
      <c r="G784" s="684" t="s">
        <v>1329</v>
      </c>
      <c r="H784" s="504">
        <v>0</v>
      </c>
      <c r="I784" s="504">
        <v>0</v>
      </c>
      <c r="J784" s="504"/>
    </row>
    <row r="785" spans="1:10" s="285" customFormat="1">
      <c r="A785" s="696">
        <v>355</v>
      </c>
      <c r="B785" s="726">
        <v>200</v>
      </c>
      <c r="C785" s="706">
        <v>701</v>
      </c>
      <c r="D785" s="714"/>
      <c r="E785" s="714"/>
      <c r="F785" s="714"/>
      <c r="G785" s="684" t="s">
        <v>1330</v>
      </c>
      <c r="H785" s="504">
        <v>0</v>
      </c>
      <c r="I785" s="504">
        <v>0</v>
      </c>
      <c r="J785" s="504"/>
    </row>
    <row r="786" spans="1:10" s="285" customFormat="1">
      <c r="A786" s="696">
        <v>355</v>
      </c>
      <c r="B786" s="726">
        <v>200</v>
      </c>
      <c r="C786" s="706">
        <v>702</v>
      </c>
      <c r="D786" s="714"/>
      <c r="E786" s="714"/>
      <c r="F786" s="714"/>
      <c r="G786" s="686" t="s">
        <v>1331</v>
      </c>
      <c r="H786" s="504">
        <v>0</v>
      </c>
      <c r="I786" s="504">
        <v>0</v>
      </c>
      <c r="J786" s="504"/>
    </row>
    <row r="787" spans="1:10" s="285" customFormat="1">
      <c r="A787" s="696">
        <v>355</v>
      </c>
      <c r="B787" s="726">
        <v>200</v>
      </c>
      <c r="C787" s="706">
        <v>900</v>
      </c>
      <c r="D787" s="714"/>
      <c r="E787" s="714"/>
      <c r="F787" s="714"/>
      <c r="G787" s="684" t="s">
        <v>1332</v>
      </c>
      <c r="H787" s="504">
        <v>0</v>
      </c>
      <c r="I787" s="504">
        <v>3952</v>
      </c>
      <c r="J787" s="504"/>
    </row>
    <row r="788" spans="1:10" s="285" customFormat="1">
      <c r="A788" s="696">
        <v>355</v>
      </c>
      <c r="B788" s="726">
        <v>200</v>
      </c>
      <c r="C788" s="706">
        <v>901</v>
      </c>
      <c r="D788" s="714"/>
      <c r="E788" s="714"/>
      <c r="F788" s="714"/>
      <c r="G788" s="684" t="s">
        <v>1333</v>
      </c>
      <c r="H788" s="504">
        <v>0</v>
      </c>
      <c r="I788" s="504">
        <v>0</v>
      </c>
      <c r="J788" s="504"/>
    </row>
    <row r="789" spans="1:10" s="285" customFormat="1">
      <c r="A789" s="696">
        <v>355</v>
      </c>
      <c r="B789" s="726">
        <v>200</v>
      </c>
      <c r="C789" s="706">
        <v>902</v>
      </c>
      <c r="D789" s="714"/>
      <c r="E789" s="714"/>
      <c r="F789" s="714"/>
      <c r="G789" s="684" t="s">
        <v>1334</v>
      </c>
      <c r="H789" s="504">
        <v>0</v>
      </c>
      <c r="I789" s="504">
        <v>0</v>
      </c>
      <c r="J789" s="504"/>
    </row>
    <row r="790" spans="1:10" s="285" customFormat="1">
      <c r="A790" s="696">
        <v>355</v>
      </c>
      <c r="B790" s="726">
        <v>200</v>
      </c>
      <c r="C790" s="706">
        <v>903</v>
      </c>
      <c r="D790" s="714"/>
      <c r="E790" s="714"/>
      <c r="F790" s="714"/>
      <c r="G790" s="684" t="s">
        <v>1335</v>
      </c>
      <c r="H790" s="504">
        <v>0</v>
      </c>
      <c r="I790" s="504">
        <v>0</v>
      </c>
      <c r="J790" s="504"/>
    </row>
    <row r="791" spans="1:10" s="285" customFormat="1">
      <c r="A791" s="696">
        <v>355</v>
      </c>
      <c r="B791" s="726">
        <v>200</v>
      </c>
      <c r="C791" s="706">
        <v>990</v>
      </c>
      <c r="D791" s="714"/>
      <c r="E791" s="714"/>
      <c r="F791" s="714"/>
      <c r="G791" s="684" t="s">
        <v>1336</v>
      </c>
      <c r="H791" s="504">
        <v>0</v>
      </c>
      <c r="I791" s="504">
        <v>0</v>
      </c>
      <c r="J791" s="504"/>
    </row>
    <row r="792" spans="1:10" s="285" customFormat="1">
      <c r="A792" s="694">
        <v>360</v>
      </c>
      <c r="B792" s="724">
        <v>0</v>
      </c>
      <c r="C792" s="647">
        <v>0</v>
      </c>
      <c r="D792" s="683">
        <v>0</v>
      </c>
      <c r="E792" s="683">
        <v>0</v>
      </c>
      <c r="F792" s="683">
        <v>0</v>
      </c>
      <c r="G792" s="675" t="s">
        <v>74</v>
      </c>
      <c r="H792" s="607">
        <v>0</v>
      </c>
      <c r="I792" s="607">
        <v>0</v>
      </c>
      <c r="J792" s="607" t="s">
        <v>1337</v>
      </c>
    </row>
    <row r="793" spans="1:10" s="285" customFormat="1">
      <c r="A793" s="696">
        <v>360</v>
      </c>
      <c r="B793" s="726">
        <v>100</v>
      </c>
      <c r="C793" s="706"/>
      <c r="D793" s="714"/>
      <c r="E793" s="714"/>
      <c r="F793" s="714"/>
      <c r="G793" s="203" t="s">
        <v>1338</v>
      </c>
      <c r="H793" s="607">
        <v>0</v>
      </c>
      <c r="I793" s="607">
        <v>0</v>
      </c>
      <c r="J793" s="607" t="s">
        <v>1339</v>
      </c>
    </row>
    <row r="794" spans="1:10" s="285" customFormat="1">
      <c r="A794" s="696">
        <v>360</v>
      </c>
      <c r="B794" s="726">
        <v>100</v>
      </c>
      <c r="C794" s="706">
        <v>10</v>
      </c>
      <c r="D794" s="714"/>
      <c r="E794" s="714"/>
      <c r="F794" s="714"/>
      <c r="G794" s="203" t="s">
        <v>542</v>
      </c>
      <c r="H794" s="606">
        <v>42302.879999999997</v>
      </c>
      <c r="I794" s="606">
        <v>22020</v>
      </c>
      <c r="J794" s="606" t="s">
        <v>1340</v>
      </c>
    </row>
    <row r="795" spans="1:10" s="285" customFormat="1">
      <c r="A795" s="696">
        <v>360</v>
      </c>
      <c r="B795" s="726">
        <v>100</v>
      </c>
      <c r="C795" s="706">
        <v>20</v>
      </c>
      <c r="D795" s="714"/>
      <c r="E795" s="714"/>
      <c r="F795" s="714"/>
      <c r="G795" s="652" t="s">
        <v>559</v>
      </c>
      <c r="H795" s="606">
        <v>0</v>
      </c>
      <c r="I795" s="606">
        <v>0</v>
      </c>
      <c r="J795" s="606" t="s">
        <v>1341</v>
      </c>
    </row>
    <row r="796" spans="1:10" s="285" customFormat="1">
      <c r="A796" s="696">
        <v>360</v>
      </c>
      <c r="B796" s="726">
        <v>100</v>
      </c>
      <c r="C796" s="706">
        <v>30</v>
      </c>
      <c r="D796" s="714"/>
      <c r="E796" s="714"/>
      <c r="F796" s="714"/>
      <c r="G796" s="203" t="s">
        <v>567</v>
      </c>
      <c r="H796" s="606">
        <v>-27557.99</v>
      </c>
      <c r="I796" s="606">
        <v>-93937</v>
      </c>
      <c r="J796" s="606" t="s">
        <v>1342</v>
      </c>
    </row>
    <row r="797" spans="1:10" s="285" customFormat="1">
      <c r="A797" s="696">
        <v>360</v>
      </c>
      <c r="B797" s="726">
        <v>100</v>
      </c>
      <c r="C797" s="706">
        <v>40</v>
      </c>
      <c r="D797" s="714"/>
      <c r="E797" s="714"/>
      <c r="F797" s="714"/>
      <c r="G797" s="652" t="s">
        <v>575</v>
      </c>
      <c r="H797" s="606">
        <v>-450.77</v>
      </c>
      <c r="I797" s="606">
        <v>361</v>
      </c>
      <c r="J797" s="606" t="s">
        <v>1343</v>
      </c>
    </row>
    <row r="798" spans="1:10" s="285" customFormat="1">
      <c r="A798" s="696">
        <v>360</v>
      </c>
      <c r="B798" s="726">
        <v>100</v>
      </c>
      <c r="C798" s="706">
        <v>50</v>
      </c>
      <c r="D798" s="714"/>
      <c r="E798" s="714"/>
      <c r="F798" s="714"/>
      <c r="G798" s="203" t="s">
        <v>577</v>
      </c>
      <c r="H798" s="606">
        <v>0</v>
      </c>
      <c r="I798" s="606">
        <v>0</v>
      </c>
      <c r="J798" s="606" t="s">
        <v>1344</v>
      </c>
    </row>
    <row r="799" spans="1:10" s="285" customFormat="1">
      <c r="A799" s="696">
        <v>360</v>
      </c>
      <c r="B799" s="726">
        <v>100</v>
      </c>
      <c r="C799" s="706">
        <v>60</v>
      </c>
      <c r="D799" s="714"/>
      <c r="E799" s="714"/>
      <c r="F799" s="714"/>
      <c r="G799" s="652" t="s">
        <v>579</v>
      </c>
      <c r="H799" s="606">
        <v>-7142.5</v>
      </c>
      <c r="I799" s="606">
        <v>-5095</v>
      </c>
      <c r="J799" s="606" t="s">
        <v>1345</v>
      </c>
    </row>
    <row r="800" spans="1:10" s="285" customFormat="1">
      <c r="A800" s="696">
        <v>360</v>
      </c>
      <c r="B800" s="726">
        <v>100</v>
      </c>
      <c r="C800" s="706">
        <v>70</v>
      </c>
      <c r="D800" s="714"/>
      <c r="E800" s="714"/>
      <c r="F800" s="714"/>
      <c r="G800" s="203" t="s">
        <v>581</v>
      </c>
      <c r="H800" s="606">
        <v>0</v>
      </c>
      <c r="I800" s="606">
        <v>0</v>
      </c>
      <c r="J800" s="606" t="s">
        <v>1346</v>
      </c>
    </row>
    <row r="801" spans="1:10" s="285" customFormat="1">
      <c r="A801" s="696">
        <v>360</v>
      </c>
      <c r="B801" s="726">
        <v>100</v>
      </c>
      <c r="C801" s="706">
        <v>80</v>
      </c>
      <c r="D801" s="714"/>
      <c r="E801" s="714"/>
      <c r="F801" s="714"/>
      <c r="G801" s="652" t="s">
        <v>593</v>
      </c>
      <c r="H801" s="606">
        <v>-25033.35</v>
      </c>
      <c r="I801" s="606">
        <v>11186</v>
      </c>
      <c r="J801" s="606" t="s">
        <v>1347</v>
      </c>
    </row>
    <row r="802" spans="1:10" s="285" customFormat="1">
      <c r="A802" s="696">
        <v>360</v>
      </c>
      <c r="B802" s="726">
        <v>200</v>
      </c>
      <c r="C802" s="706"/>
      <c r="D802" s="714"/>
      <c r="E802" s="714"/>
      <c r="F802" s="714"/>
      <c r="G802" s="203" t="s">
        <v>1348</v>
      </c>
      <c r="H802" s="607">
        <v>0</v>
      </c>
      <c r="I802" s="607">
        <v>0</v>
      </c>
      <c r="J802" s="607" t="s">
        <v>1349</v>
      </c>
    </row>
    <row r="803" spans="1:10" s="285" customFormat="1">
      <c r="A803" s="696">
        <v>360</v>
      </c>
      <c r="B803" s="726">
        <v>200</v>
      </c>
      <c r="C803" s="706">
        <v>10</v>
      </c>
      <c r="D803" s="714"/>
      <c r="E803" s="714"/>
      <c r="F803" s="714"/>
      <c r="G803" s="682" t="s">
        <v>597</v>
      </c>
      <c r="H803" s="608">
        <v>0</v>
      </c>
      <c r="I803" s="608">
        <v>0</v>
      </c>
      <c r="J803" s="608" t="s">
        <v>1350</v>
      </c>
    </row>
    <row r="804" spans="1:10" s="285" customFormat="1">
      <c r="A804" s="696">
        <v>360</v>
      </c>
      <c r="B804" s="726">
        <v>200</v>
      </c>
      <c r="C804" s="706">
        <v>20</v>
      </c>
      <c r="D804" s="714"/>
      <c r="E804" s="714"/>
      <c r="F804" s="714"/>
      <c r="G804" s="682" t="s">
        <v>599</v>
      </c>
      <c r="H804" s="608">
        <v>215.85</v>
      </c>
      <c r="I804" s="608">
        <v>10810</v>
      </c>
      <c r="J804" s="608" t="s">
        <v>1351</v>
      </c>
    </row>
    <row r="805" spans="1:10" s="285" customFormat="1">
      <c r="A805" s="696">
        <v>360</v>
      </c>
      <c r="B805" s="726">
        <v>200</v>
      </c>
      <c r="C805" s="706">
        <v>30</v>
      </c>
      <c r="D805" s="714"/>
      <c r="E805" s="714"/>
      <c r="F805" s="714"/>
      <c r="G805" s="682" t="s">
        <v>601</v>
      </c>
      <c r="H805" s="608">
        <v>1557.53</v>
      </c>
      <c r="I805" s="608">
        <v>-2</v>
      </c>
      <c r="J805" s="608" t="s">
        <v>1352</v>
      </c>
    </row>
    <row r="806" spans="1:10" s="285" customFormat="1">
      <c r="A806" s="696">
        <v>360</v>
      </c>
      <c r="B806" s="726">
        <v>200</v>
      </c>
      <c r="C806" s="706">
        <v>40</v>
      </c>
      <c r="D806" s="714"/>
      <c r="E806" s="714"/>
      <c r="F806" s="714"/>
      <c r="G806" s="682" t="s">
        <v>603</v>
      </c>
      <c r="H806" s="608">
        <v>-4928.6499999999996</v>
      </c>
      <c r="I806" s="608">
        <v>2131</v>
      </c>
      <c r="J806" s="608" t="s">
        <v>1353</v>
      </c>
    </row>
    <row r="807" spans="1:10" s="285" customFormat="1">
      <c r="A807" s="696">
        <v>360</v>
      </c>
      <c r="B807" s="726">
        <v>200</v>
      </c>
      <c r="C807" s="706">
        <v>50</v>
      </c>
      <c r="D807" s="714"/>
      <c r="E807" s="714"/>
      <c r="F807" s="714"/>
      <c r="G807" s="682" t="s">
        <v>608</v>
      </c>
      <c r="H807" s="608">
        <v>-4894.32</v>
      </c>
      <c r="I807" s="608">
        <v>214</v>
      </c>
      <c r="J807" s="608" t="s">
        <v>1354</v>
      </c>
    </row>
    <row r="808" spans="1:10" s="285" customFormat="1">
      <c r="A808" s="696">
        <v>360</v>
      </c>
      <c r="B808" s="726">
        <v>200</v>
      </c>
      <c r="C808" s="706">
        <v>60</v>
      </c>
      <c r="D808" s="714"/>
      <c r="E808" s="714"/>
      <c r="F808" s="714"/>
      <c r="G808" s="682" t="s">
        <v>2126</v>
      </c>
      <c r="H808" s="608">
        <v>-5233.78</v>
      </c>
      <c r="I808" s="608">
        <v>109</v>
      </c>
      <c r="J808" s="608" t="s">
        <v>1355</v>
      </c>
    </row>
    <row r="809" spans="1:10" s="285" customFormat="1">
      <c r="A809" s="694">
        <v>365</v>
      </c>
      <c r="B809" s="724">
        <v>0</v>
      </c>
      <c r="C809" s="647">
        <v>0</v>
      </c>
      <c r="D809" s="683">
        <v>0</v>
      </c>
      <c r="E809" s="683">
        <v>0</v>
      </c>
      <c r="F809" s="683">
        <v>0</v>
      </c>
      <c r="G809" s="675" t="s">
        <v>1356</v>
      </c>
      <c r="H809" s="607">
        <v>0</v>
      </c>
      <c r="I809" s="607">
        <v>0</v>
      </c>
      <c r="J809" s="607" t="s">
        <v>1357</v>
      </c>
    </row>
    <row r="810" spans="1:10" s="285" customFormat="1">
      <c r="A810" s="696">
        <v>365</v>
      </c>
      <c r="B810" s="726">
        <v>100</v>
      </c>
      <c r="C810" s="706"/>
      <c r="D810" s="714"/>
      <c r="E810" s="714"/>
      <c r="F810" s="714"/>
      <c r="G810" s="638" t="s">
        <v>1358</v>
      </c>
      <c r="H810" s="607">
        <v>0</v>
      </c>
      <c r="I810" s="607">
        <v>0</v>
      </c>
      <c r="J810" s="607" t="s">
        <v>1359</v>
      </c>
    </row>
    <row r="811" spans="1:10" s="285" customFormat="1">
      <c r="A811" s="696">
        <v>365</v>
      </c>
      <c r="B811" s="726">
        <v>100</v>
      </c>
      <c r="C811" s="706">
        <v>100</v>
      </c>
      <c r="D811" s="714"/>
      <c r="E811" s="714"/>
      <c r="F811" s="714"/>
      <c r="G811" s="203" t="s">
        <v>1360</v>
      </c>
      <c r="H811" s="606">
        <v>0</v>
      </c>
      <c r="I811" s="606">
        <v>564234</v>
      </c>
      <c r="J811" s="606" t="s">
        <v>1361</v>
      </c>
    </row>
    <row r="812" spans="1:10" s="285" customFormat="1">
      <c r="A812" s="696">
        <v>365</v>
      </c>
      <c r="B812" s="726">
        <v>100</v>
      </c>
      <c r="C812" s="706">
        <v>200</v>
      </c>
      <c r="D812" s="714"/>
      <c r="E812" s="714"/>
      <c r="F812" s="714"/>
      <c r="G812" s="203" t="s">
        <v>1362</v>
      </c>
      <c r="H812" s="606">
        <v>0</v>
      </c>
      <c r="I812" s="606">
        <v>0</v>
      </c>
      <c r="J812" s="606" t="s">
        <v>1363</v>
      </c>
    </row>
    <row r="813" spans="1:10" s="285" customFormat="1" ht="27.6">
      <c r="A813" s="696">
        <v>365</v>
      </c>
      <c r="B813" s="726">
        <v>100</v>
      </c>
      <c r="C813" s="706">
        <v>300</v>
      </c>
      <c r="D813" s="714"/>
      <c r="E813" s="714"/>
      <c r="F813" s="714"/>
      <c r="G813" s="203" t="s">
        <v>1364</v>
      </c>
      <c r="H813" s="606">
        <v>0</v>
      </c>
      <c r="I813" s="606">
        <v>0</v>
      </c>
      <c r="J813" s="606" t="s">
        <v>1365</v>
      </c>
    </row>
    <row r="814" spans="1:10" s="285" customFormat="1" ht="27.6">
      <c r="A814" s="696">
        <v>365</v>
      </c>
      <c r="B814" s="726">
        <v>100</v>
      </c>
      <c r="C814" s="706">
        <v>400</v>
      </c>
      <c r="D814" s="714"/>
      <c r="E814" s="714"/>
      <c r="F814" s="714"/>
      <c r="G814" s="203" t="s">
        <v>1366</v>
      </c>
      <c r="H814" s="606">
        <v>0</v>
      </c>
      <c r="I814" s="606">
        <v>0</v>
      </c>
      <c r="J814" s="606" t="s">
        <v>1367</v>
      </c>
    </row>
    <row r="815" spans="1:10" s="285" customFormat="1">
      <c r="A815" s="696">
        <v>365</v>
      </c>
      <c r="B815" s="726">
        <v>100</v>
      </c>
      <c r="C815" s="706">
        <v>450</v>
      </c>
      <c r="D815" s="714"/>
      <c r="E815" s="714"/>
      <c r="F815" s="714"/>
      <c r="G815" s="203" t="s">
        <v>1368</v>
      </c>
      <c r="H815" s="608">
        <v>0</v>
      </c>
      <c r="I815" s="608">
        <v>0</v>
      </c>
      <c r="J815" s="608" t="s">
        <v>1369</v>
      </c>
    </row>
    <row r="816" spans="1:10" s="285" customFormat="1">
      <c r="A816" s="696">
        <v>365</v>
      </c>
      <c r="B816" s="726">
        <v>100</v>
      </c>
      <c r="C816" s="706">
        <v>500</v>
      </c>
      <c r="D816" s="714"/>
      <c r="E816" s="714"/>
      <c r="F816" s="714"/>
      <c r="G816" s="638" t="s">
        <v>1370</v>
      </c>
      <c r="H816" s="607">
        <v>0</v>
      </c>
      <c r="I816" s="607">
        <v>0</v>
      </c>
      <c r="J816" s="607" t="s">
        <v>1371</v>
      </c>
    </row>
    <row r="817" spans="1:10" s="285" customFormat="1">
      <c r="A817" s="696">
        <v>365</v>
      </c>
      <c r="B817" s="726">
        <v>100</v>
      </c>
      <c r="C817" s="706">
        <v>500</v>
      </c>
      <c r="D817" s="714">
        <v>100</v>
      </c>
      <c r="E817" s="714"/>
      <c r="F817" s="714"/>
      <c r="G817" s="687" t="s">
        <v>1372</v>
      </c>
      <c r="H817" s="613">
        <v>0</v>
      </c>
      <c r="I817" s="613">
        <v>0</v>
      </c>
      <c r="J817" s="613"/>
    </row>
    <row r="818" spans="1:10" s="285" customFormat="1">
      <c r="A818" s="696">
        <v>365</v>
      </c>
      <c r="B818" s="726">
        <v>100</v>
      </c>
      <c r="C818" s="706">
        <v>500</v>
      </c>
      <c r="D818" s="714">
        <v>200</v>
      </c>
      <c r="E818" s="714"/>
      <c r="F818" s="714"/>
      <c r="G818" s="203" t="s">
        <v>1373</v>
      </c>
      <c r="H818" s="613">
        <v>0</v>
      </c>
      <c r="I818" s="613">
        <v>0</v>
      </c>
      <c r="J818" s="613"/>
    </row>
    <row r="819" spans="1:10" s="285" customFormat="1">
      <c r="A819" s="696">
        <v>365</v>
      </c>
      <c r="B819" s="726">
        <v>100</v>
      </c>
      <c r="C819" s="706">
        <v>500</v>
      </c>
      <c r="D819" s="714">
        <v>900</v>
      </c>
      <c r="E819" s="714"/>
      <c r="F819" s="714"/>
      <c r="G819" s="203" t="s">
        <v>1370</v>
      </c>
      <c r="H819" s="613">
        <v>0</v>
      </c>
      <c r="I819" s="613">
        <v>8969</v>
      </c>
      <c r="J819" s="613"/>
    </row>
    <row r="820" spans="1:10" s="285" customFormat="1">
      <c r="A820" s="696">
        <v>365</v>
      </c>
      <c r="B820" s="726">
        <v>100</v>
      </c>
      <c r="C820" s="706">
        <v>600</v>
      </c>
      <c r="D820" s="714"/>
      <c r="E820" s="714"/>
      <c r="F820" s="714"/>
      <c r="G820" s="203" t="s">
        <v>1374</v>
      </c>
      <c r="H820" s="613">
        <v>0</v>
      </c>
      <c r="I820" s="613">
        <v>0</v>
      </c>
      <c r="J820" s="613" t="s">
        <v>1375</v>
      </c>
    </row>
    <row r="821" spans="1:10" s="285" customFormat="1">
      <c r="A821" s="696">
        <v>365</v>
      </c>
      <c r="B821" s="726">
        <v>200</v>
      </c>
      <c r="C821" s="706"/>
      <c r="D821" s="714"/>
      <c r="E821" s="714"/>
      <c r="F821" s="714"/>
      <c r="G821" s="638" t="s">
        <v>1376</v>
      </c>
      <c r="H821" s="607">
        <v>0</v>
      </c>
      <c r="I821" s="607">
        <v>0</v>
      </c>
      <c r="J821" s="607" t="s">
        <v>1377</v>
      </c>
    </row>
    <row r="822" spans="1:10" s="285" customFormat="1">
      <c r="A822" s="696">
        <v>365</v>
      </c>
      <c r="B822" s="726">
        <v>200</v>
      </c>
      <c r="C822" s="706">
        <v>100</v>
      </c>
      <c r="D822" s="714"/>
      <c r="E822" s="714"/>
      <c r="F822" s="714"/>
      <c r="G822" s="203" t="s">
        <v>1378</v>
      </c>
      <c r="H822" s="504">
        <v>0</v>
      </c>
      <c r="I822" s="504">
        <v>0</v>
      </c>
      <c r="J822" s="504"/>
    </row>
    <row r="823" spans="1:10" s="285" customFormat="1">
      <c r="A823" s="696">
        <v>365</v>
      </c>
      <c r="B823" s="726">
        <v>200</v>
      </c>
      <c r="C823" s="706">
        <v>200</v>
      </c>
      <c r="D823" s="714"/>
      <c r="E823" s="714"/>
      <c r="F823" s="714"/>
      <c r="G823" s="203" t="s">
        <v>1379</v>
      </c>
      <c r="H823" s="504">
        <v>0</v>
      </c>
      <c r="I823" s="504">
        <v>0</v>
      </c>
      <c r="J823" s="504"/>
    </row>
    <row r="824" spans="1:10" s="285" customFormat="1">
      <c r="A824" s="696">
        <v>365</v>
      </c>
      <c r="B824" s="726">
        <v>300</v>
      </c>
      <c r="C824" s="706"/>
      <c r="D824" s="714"/>
      <c r="E824" s="714"/>
      <c r="F824" s="714"/>
      <c r="G824" s="638" t="s">
        <v>1380</v>
      </c>
      <c r="H824" s="607">
        <v>0</v>
      </c>
      <c r="I824" s="607">
        <v>0</v>
      </c>
      <c r="J824" s="607" t="s">
        <v>1381</v>
      </c>
    </row>
    <row r="825" spans="1:10" s="285" customFormat="1" ht="27.6">
      <c r="A825" s="696">
        <v>365</v>
      </c>
      <c r="B825" s="726">
        <v>300</v>
      </c>
      <c r="C825" s="706">
        <v>50</v>
      </c>
      <c r="D825" s="714"/>
      <c r="E825" s="714"/>
      <c r="F825" s="714"/>
      <c r="G825" s="203" t="s">
        <v>1382</v>
      </c>
      <c r="H825" s="606">
        <v>606847.74</v>
      </c>
      <c r="I825" s="606">
        <v>0</v>
      </c>
      <c r="J825" s="606" t="s">
        <v>1383</v>
      </c>
    </row>
    <row r="826" spans="1:10" s="285" customFormat="1" ht="27.6">
      <c r="A826" s="696">
        <v>365</v>
      </c>
      <c r="B826" s="726">
        <v>300</v>
      </c>
      <c r="C826" s="706">
        <v>100</v>
      </c>
      <c r="D826" s="714"/>
      <c r="E826" s="714"/>
      <c r="F826" s="714"/>
      <c r="G826" s="203" t="s">
        <v>1384</v>
      </c>
      <c r="H826" s="606">
        <v>0</v>
      </c>
      <c r="I826" s="606">
        <v>0</v>
      </c>
      <c r="J826" s="606" t="s">
        <v>1385</v>
      </c>
    </row>
    <row r="827" spans="1:10" s="285" customFormat="1" ht="27.6">
      <c r="A827" s="696">
        <v>365</v>
      </c>
      <c r="B827" s="726">
        <v>300</v>
      </c>
      <c r="C827" s="706">
        <v>200</v>
      </c>
      <c r="D827" s="714"/>
      <c r="E827" s="714"/>
      <c r="F827" s="714"/>
      <c r="G827" s="203" t="s">
        <v>1386</v>
      </c>
      <c r="H827" s="606">
        <v>104000</v>
      </c>
      <c r="I827" s="606">
        <v>104000</v>
      </c>
      <c r="J827" s="606" t="s">
        <v>1387</v>
      </c>
    </row>
    <row r="828" spans="1:10" s="285" customFormat="1" ht="27.6">
      <c r="A828" s="696">
        <v>365</v>
      </c>
      <c r="B828" s="726">
        <v>300</v>
      </c>
      <c r="C828" s="706">
        <v>300</v>
      </c>
      <c r="D828" s="714"/>
      <c r="E828" s="714"/>
      <c r="F828" s="714"/>
      <c r="G828" s="203" t="s">
        <v>1388</v>
      </c>
      <c r="H828" s="606">
        <v>3690794.51</v>
      </c>
      <c r="I828" s="606">
        <v>4758935</v>
      </c>
      <c r="J828" s="606" t="s">
        <v>1389</v>
      </c>
    </row>
    <row r="829" spans="1:10" s="285" customFormat="1" ht="27.6">
      <c r="A829" s="696">
        <v>365</v>
      </c>
      <c r="B829" s="726">
        <v>300</v>
      </c>
      <c r="C829" s="706">
        <v>400</v>
      </c>
      <c r="D829" s="714"/>
      <c r="E829" s="714"/>
      <c r="F829" s="714"/>
      <c r="G829" s="638" t="s">
        <v>1390</v>
      </c>
      <c r="H829" s="607">
        <v>0</v>
      </c>
      <c r="I829" s="607">
        <v>0</v>
      </c>
      <c r="J829" s="607" t="s">
        <v>1391</v>
      </c>
    </row>
    <row r="830" spans="1:10" s="285" customFormat="1" ht="27.6">
      <c r="A830" s="696">
        <v>365</v>
      </c>
      <c r="B830" s="726">
        <v>300</v>
      </c>
      <c r="C830" s="706">
        <v>400</v>
      </c>
      <c r="D830" s="714">
        <v>100</v>
      </c>
      <c r="E830" s="714"/>
      <c r="F830" s="714"/>
      <c r="G830" s="203" t="s">
        <v>1392</v>
      </c>
      <c r="H830" s="504">
        <v>12719</v>
      </c>
      <c r="I830" s="504">
        <v>9699</v>
      </c>
      <c r="J830" s="504"/>
    </row>
    <row r="831" spans="1:10" s="285" customFormat="1" ht="27.6">
      <c r="A831" s="696">
        <v>365</v>
      </c>
      <c r="B831" s="726">
        <v>300</v>
      </c>
      <c r="C831" s="706">
        <v>400</v>
      </c>
      <c r="D831" s="714">
        <v>200</v>
      </c>
      <c r="E831" s="714"/>
      <c r="F831" s="714"/>
      <c r="G831" s="203" t="s">
        <v>1393</v>
      </c>
      <c r="H831" s="504">
        <v>28359.66</v>
      </c>
      <c r="I831" s="504">
        <v>55349</v>
      </c>
      <c r="J831" s="504"/>
    </row>
    <row r="832" spans="1:10" s="285" customFormat="1" ht="27.6">
      <c r="A832" s="696">
        <v>365</v>
      </c>
      <c r="B832" s="726">
        <v>300</v>
      </c>
      <c r="C832" s="706">
        <v>500</v>
      </c>
      <c r="D832" s="714"/>
      <c r="E832" s="714"/>
      <c r="F832" s="714"/>
      <c r="G832" s="203" t="s">
        <v>1394</v>
      </c>
      <c r="H832" s="504">
        <v>414975.48</v>
      </c>
      <c r="I832" s="504">
        <v>434933</v>
      </c>
      <c r="J832" s="504" t="s">
        <v>1395</v>
      </c>
    </row>
    <row r="833" spans="1:10" s="285" customFormat="1">
      <c r="A833" s="696">
        <v>365</v>
      </c>
      <c r="B833" s="726">
        <v>400</v>
      </c>
      <c r="C833" s="706"/>
      <c r="D833" s="714"/>
      <c r="E833" s="714"/>
      <c r="F833" s="714"/>
      <c r="G833" s="638" t="s">
        <v>1396</v>
      </c>
      <c r="H833" s="607">
        <v>0</v>
      </c>
      <c r="I833" s="607">
        <v>0</v>
      </c>
      <c r="J833" s="607" t="s">
        <v>1397</v>
      </c>
    </row>
    <row r="834" spans="1:10" s="285" customFormat="1">
      <c r="A834" s="696">
        <v>365</v>
      </c>
      <c r="B834" s="726">
        <v>400</v>
      </c>
      <c r="C834" s="706">
        <v>200</v>
      </c>
      <c r="D834" s="714"/>
      <c r="E834" s="714"/>
      <c r="F834" s="714"/>
      <c r="G834" s="203" t="s">
        <v>1398</v>
      </c>
      <c r="H834" s="606">
        <v>0</v>
      </c>
      <c r="I834" s="606">
        <v>0</v>
      </c>
      <c r="J834" s="606" t="s">
        <v>1399</v>
      </c>
    </row>
    <row r="835" spans="1:10" s="285" customFormat="1">
      <c r="A835" s="696">
        <v>365</v>
      </c>
      <c r="B835" s="726">
        <v>400</v>
      </c>
      <c r="C835" s="706">
        <v>300</v>
      </c>
      <c r="D835" s="714"/>
      <c r="E835" s="714"/>
      <c r="F835" s="714"/>
      <c r="G835" s="203" t="s">
        <v>1400</v>
      </c>
      <c r="H835" s="606">
        <v>0</v>
      </c>
      <c r="I835" s="606">
        <v>0</v>
      </c>
      <c r="J835" s="606" t="s">
        <v>1401</v>
      </c>
    </row>
    <row r="836" spans="1:10" s="285" customFormat="1">
      <c r="A836" s="696">
        <v>365</v>
      </c>
      <c r="B836" s="726">
        <v>400</v>
      </c>
      <c r="C836" s="706">
        <v>400</v>
      </c>
      <c r="D836" s="714"/>
      <c r="E836" s="714"/>
      <c r="F836" s="714"/>
      <c r="G836" s="203" t="s">
        <v>1402</v>
      </c>
      <c r="H836" s="606">
        <v>222799.24</v>
      </c>
      <c r="I836" s="606">
        <v>78172</v>
      </c>
      <c r="J836" s="606" t="s">
        <v>1403</v>
      </c>
    </row>
    <row r="837" spans="1:10" s="285" customFormat="1">
      <c r="A837" s="696">
        <v>365</v>
      </c>
      <c r="B837" s="726">
        <v>400</v>
      </c>
      <c r="C837" s="706">
        <v>500</v>
      </c>
      <c r="D837" s="714"/>
      <c r="E837" s="714"/>
      <c r="F837" s="714"/>
      <c r="G837" s="203" t="s">
        <v>1404</v>
      </c>
      <c r="H837" s="606">
        <v>24755.48</v>
      </c>
      <c r="I837" s="606">
        <v>13795</v>
      </c>
      <c r="J837" s="606" t="s">
        <v>1405</v>
      </c>
    </row>
    <row r="838" spans="1:10" s="285" customFormat="1">
      <c r="A838" s="696">
        <v>365</v>
      </c>
      <c r="B838" s="726">
        <v>400</v>
      </c>
      <c r="C838" s="706">
        <v>600</v>
      </c>
      <c r="D838" s="714"/>
      <c r="E838" s="714"/>
      <c r="F838" s="714"/>
      <c r="G838" s="203" t="s">
        <v>1406</v>
      </c>
      <c r="H838" s="606">
        <v>147326.21</v>
      </c>
      <c r="I838" s="606">
        <v>45176</v>
      </c>
      <c r="J838" s="606" t="s">
        <v>1407</v>
      </c>
    </row>
    <row r="839" spans="1:10" s="285" customFormat="1">
      <c r="A839" s="696">
        <v>365</v>
      </c>
      <c r="B839" s="726">
        <v>400</v>
      </c>
      <c r="C839" s="706">
        <v>610</v>
      </c>
      <c r="D839" s="714"/>
      <c r="E839" s="714"/>
      <c r="F839" s="714"/>
      <c r="G839" s="203" t="s">
        <v>1408</v>
      </c>
      <c r="H839" s="606">
        <v>0</v>
      </c>
      <c r="I839" s="606">
        <v>0</v>
      </c>
      <c r="J839" s="606" t="s">
        <v>1409</v>
      </c>
    </row>
    <row r="840" spans="1:10" s="285" customFormat="1">
      <c r="A840" s="696">
        <v>365</v>
      </c>
      <c r="B840" s="726">
        <v>400</v>
      </c>
      <c r="C840" s="706">
        <v>620</v>
      </c>
      <c r="D840" s="714"/>
      <c r="E840" s="714"/>
      <c r="F840" s="714"/>
      <c r="G840" s="203" t="s">
        <v>1410</v>
      </c>
      <c r="H840" s="606">
        <v>0</v>
      </c>
      <c r="I840" s="606">
        <v>32554</v>
      </c>
      <c r="J840" s="606" t="s">
        <v>1411</v>
      </c>
    </row>
    <row r="841" spans="1:10" s="285" customFormat="1">
      <c r="A841" s="696">
        <v>365</v>
      </c>
      <c r="B841" s="726">
        <v>400</v>
      </c>
      <c r="C841" s="706">
        <v>630</v>
      </c>
      <c r="D841" s="714"/>
      <c r="E841" s="714"/>
      <c r="F841" s="714"/>
      <c r="G841" s="203" t="s">
        <v>1412</v>
      </c>
      <c r="H841" s="606">
        <v>0</v>
      </c>
      <c r="I841" s="606">
        <v>0</v>
      </c>
      <c r="J841" s="606" t="s">
        <v>1413</v>
      </c>
    </row>
    <row r="842" spans="1:10" s="285" customFormat="1">
      <c r="A842" s="696">
        <v>365</v>
      </c>
      <c r="B842" s="726">
        <v>400</v>
      </c>
      <c r="C842" s="706">
        <v>640</v>
      </c>
      <c r="D842" s="714"/>
      <c r="E842" s="714"/>
      <c r="F842" s="714"/>
      <c r="G842" s="203" t="s">
        <v>1414</v>
      </c>
      <c r="H842" s="606">
        <v>0</v>
      </c>
      <c r="I842" s="606">
        <v>0</v>
      </c>
      <c r="J842" s="606" t="s">
        <v>1415</v>
      </c>
    </row>
    <row r="843" spans="1:10" s="285" customFormat="1">
      <c r="A843" s="696">
        <v>365</v>
      </c>
      <c r="B843" s="726">
        <v>400</v>
      </c>
      <c r="C843" s="706">
        <v>700</v>
      </c>
      <c r="D843" s="714"/>
      <c r="E843" s="714"/>
      <c r="F843" s="714"/>
      <c r="G843" s="688" t="s">
        <v>1396</v>
      </c>
      <c r="H843" s="608">
        <v>0</v>
      </c>
      <c r="I843" s="608">
        <v>0</v>
      </c>
      <c r="J843" s="608" t="s">
        <v>1416</v>
      </c>
    </row>
    <row r="844" spans="1:10" s="285" customFormat="1">
      <c r="A844" s="694">
        <v>370</v>
      </c>
      <c r="B844" s="724">
        <v>0</v>
      </c>
      <c r="C844" s="647">
        <v>0</v>
      </c>
      <c r="D844" s="683">
        <v>0</v>
      </c>
      <c r="E844" s="683">
        <v>0</v>
      </c>
      <c r="F844" s="683">
        <v>0</v>
      </c>
      <c r="G844" s="675" t="s">
        <v>1417</v>
      </c>
      <c r="H844" s="607">
        <v>0</v>
      </c>
      <c r="I844" s="607">
        <v>0</v>
      </c>
      <c r="J844" s="607" t="s">
        <v>1418</v>
      </c>
    </row>
    <row r="845" spans="1:10" s="285" customFormat="1">
      <c r="A845" s="698">
        <v>370</v>
      </c>
      <c r="B845" s="700">
        <v>100</v>
      </c>
      <c r="C845" s="689"/>
      <c r="D845" s="716"/>
      <c r="E845" s="716"/>
      <c r="F845" s="716"/>
      <c r="G845" s="203" t="s">
        <v>1419</v>
      </c>
      <c r="H845" s="606">
        <v>0</v>
      </c>
      <c r="I845" s="606">
        <v>0</v>
      </c>
      <c r="J845" s="606" t="s">
        <v>1420</v>
      </c>
    </row>
    <row r="846" spans="1:10" s="285" customFormat="1">
      <c r="A846" s="698">
        <v>370</v>
      </c>
      <c r="B846" s="700">
        <v>200</v>
      </c>
      <c r="C846" s="689"/>
      <c r="D846" s="716"/>
      <c r="E846" s="716"/>
      <c r="F846" s="716"/>
      <c r="G846" s="203" t="s">
        <v>1421</v>
      </c>
      <c r="H846" s="606">
        <v>0</v>
      </c>
      <c r="I846" s="606">
        <v>0</v>
      </c>
      <c r="J846" s="606" t="s">
        <v>1422</v>
      </c>
    </row>
    <row r="847" spans="1:10" s="285" customFormat="1">
      <c r="A847" s="698">
        <v>370</v>
      </c>
      <c r="B847" s="700">
        <v>300</v>
      </c>
      <c r="C847" s="689"/>
      <c r="D847" s="716"/>
      <c r="E847" s="716"/>
      <c r="F847" s="716"/>
      <c r="G847" s="638" t="s">
        <v>1423</v>
      </c>
      <c r="H847" s="607">
        <v>0</v>
      </c>
      <c r="I847" s="607">
        <v>0</v>
      </c>
      <c r="J847" s="607" t="s">
        <v>1424</v>
      </c>
    </row>
    <row r="848" spans="1:10" s="285" customFormat="1">
      <c r="A848" s="698">
        <v>370</v>
      </c>
      <c r="B848" s="700">
        <v>300</v>
      </c>
      <c r="C848" s="689">
        <v>100</v>
      </c>
      <c r="D848" s="716"/>
      <c r="E848" s="716"/>
      <c r="F848" s="716"/>
      <c r="G848" s="656" t="s">
        <v>472</v>
      </c>
      <c r="H848" s="611">
        <v>0</v>
      </c>
      <c r="I848" s="611">
        <v>0</v>
      </c>
      <c r="J848" s="611"/>
    </row>
    <row r="849" spans="1:10" s="285" customFormat="1">
      <c r="A849" s="698">
        <v>370</v>
      </c>
      <c r="B849" s="700">
        <v>300</v>
      </c>
      <c r="C849" s="689">
        <v>900</v>
      </c>
      <c r="D849" s="716"/>
      <c r="E849" s="716"/>
      <c r="F849" s="716"/>
      <c r="G849" s="656" t="s">
        <v>1423</v>
      </c>
      <c r="H849" s="611">
        <v>203.41</v>
      </c>
      <c r="I849" s="611">
        <v>0</v>
      </c>
      <c r="J849" s="611"/>
    </row>
    <row r="850" spans="1:10" s="285" customFormat="1">
      <c r="A850" s="694">
        <v>375</v>
      </c>
      <c r="B850" s="724">
        <v>0</v>
      </c>
      <c r="C850" s="647">
        <v>0</v>
      </c>
      <c r="D850" s="683">
        <v>0</v>
      </c>
      <c r="E850" s="683">
        <v>0</v>
      </c>
      <c r="F850" s="683">
        <v>0</v>
      </c>
      <c r="G850" s="675" t="s">
        <v>1425</v>
      </c>
      <c r="H850" s="607">
        <v>0</v>
      </c>
      <c r="I850" s="607">
        <v>0</v>
      </c>
      <c r="J850" s="607"/>
    </row>
    <row r="851" spans="1:10" s="285" customFormat="1">
      <c r="A851" s="699">
        <v>375</v>
      </c>
      <c r="B851" s="728">
        <v>100</v>
      </c>
      <c r="C851" s="708"/>
      <c r="D851" s="717"/>
      <c r="E851" s="717"/>
      <c r="F851" s="717"/>
      <c r="G851" s="203" t="s">
        <v>1426</v>
      </c>
      <c r="H851" s="606">
        <v>0</v>
      </c>
      <c r="I851" s="606">
        <v>0</v>
      </c>
      <c r="J851" s="606" t="s">
        <v>1427</v>
      </c>
    </row>
    <row r="852" spans="1:10" s="285" customFormat="1">
      <c r="A852" s="700">
        <v>375</v>
      </c>
      <c r="B852" s="700">
        <v>200</v>
      </c>
      <c r="C852" s="689"/>
      <c r="D852" s="716"/>
      <c r="E852" s="716"/>
      <c r="F852" s="716"/>
      <c r="G852" s="652" t="s">
        <v>1428</v>
      </c>
      <c r="H852" s="606">
        <v>0</v>
      </c>
      <c r="I852" s="606">
        <v>0</v>
      </c>
      <c r="J852" s="606" t="s">
        <v>1429</v>
      </c>
    </row>
    <row r="853" spans="1:10" s="285" customFormat="1">
      <c r="A853" s="701">
        <v>380</v>
      </c>
      <c r="B853" s="701">
        <v>0</v>
      </c>
      <c r="C853" s="690">
        <v>0</v>
      </c>
      <c r="D853" s="718">
        <v>0</v>
      </c>
      <c r="E853" s="718">
        <v>0</v>
      </c>
      <c r="F853" s="718">
        <v>0</v>
      </c>
      <c r="G853" s="652" t="s">
        <v>1430</v>
      </c>
      <c r="H853" s="608">
        <v>0</v>
      </c>
      <c r="I853" s="608">
        <v>0</v>
      </c>
      <c r="J853" s="608" t="s">
        <v>1431</v>
      </c>
    </row>
    <row r="854" spans="1:10" s="285" customFormat="1">
      <c r="A854" s="694">
        <v>390</v>
      </c>
      <c r="B854" s="724">
        <v>0</v>
      </c>
      <c r="C854" s="647">
        <v>0</v>
      </c>
      <c r="D854" s="683">
        <v>0</v>
      </c>
      <c r="E854" s="683">
        <v>0</v>
      </c>
      <c r="F854" s="683">
        <v>0</v>
      </c>
      <c r="G854" s="675" t="s">
        <v>102</v>
      </c>
      <c r="H854" s="607">
        <v>0</v>
      </c>
      <c r="I854" s="607">
        <v>0</v>
      </c>
      <c r="J854" s="607" t="s">
        <v>1432</v>
      </c>
    </row>
    <row r="855" spans="1:10" s="285" customFormat="1">
      <c r="A855" s="702">
        <v>390</v>
      </c>
      <c r="B855" s="729">
        <v>100</v>
      </c>
      <c r="C855" s="709"/>
      <c r="D855" s="719"/>
      <c r="E855" s="719"/>
      <c r="F855" s="719"/>
      <c r="G855" s="203" t="s">
        <v>1433</v>
      </c>
      <c r="H855" s="606">
        <v>0</v>
      </c>
      <c r="I855" s="606">
        <v>0</v>
      </c>
      <c r="J855" s="606" t="s">
        <v>1434</v>
      </c>
    </row>
    <row r="856" spans="1:10" s="285" customFormat="1">
      <c r="A856" s="698">
        <v>390</v>
      </c>
      <c r="B856" s="700">
        <v>200</v>
      </c>
      <c r="C856" s="689"/>
      <c r="D856" s="716"/>
      <c r="E856" s="716"/>
      <c r="F856" s="716"/>
      <c r="G856" s="638" t="s">
        <v>1435</v>
      </c>
      <c r="H856" s="607">
        <v>0</v>
      </c>
      <c r="I856" s="607">
        <v>0</v>
      </c>
      <c r="J856" s="607" t="s">
        <v>1436</v>
      </c>
    </row>
    <row r="857" spans="1:10" s="285" customFormat="1">
      <c r="A857" s="698">
        <v>390</v>
      </c>
      <c r="B857" s="700">
        <v>200</v>
      </c>
      <c r="C857" s="689">
        <v>100</v>
      </c>
      <c r="D857" s="716"/>
      <c r="E857" s="716"/>
      <c r="F857" s="716"/>
      <c r="G857" s="203" t="s">
        <v>1437</v>
      </c>
      <c r="H857" s="606">
        <v>0</v>
      </c>
      <c r="I857" s="606">
        <v>0</v>
      </c>
      <c r="J857" s="606" t="s">
        <v>1438</v>
      </c>
    </row>
    <row r="858" spans="1:10" s="285" customFormat="1">
      <c r="A858" s="698">
        <v>390</v>
      </c>
      <c r="B858" s="700">
        <v>200</v>
      </c>
      <c r="C858" s="689">
        <v>200</v>
      </c>
      <c r="D858" s="716"/>
      <c r="E858" s="716"/>
      <c r="F858" s="716"/>
      <c r="G858" s="203" t="s">
        <v>1439</v>
      </c>
      <c r="H858" s="606">
        <v>0</v>
      </c>
      <c r="I858" s="606">
        <v>0</v>
      </c>
      <c r="J858" s="606" t="s">
        <v>1440</v>
      </c>
    </row>
    <row r="859" spans="1:10" s="285" customFormat="1">
      <c r="A859" s="698">
        <v>390</v>
      </c>
      <c r="B859" s="700">
        <v>200</v>
      </c>
      <c r="C859" s="689">
        <v>300</v>
      </c>
      <c r="D859" s="716"/>
      <c r="E859" s="716"/>
      <c r="F859" s="716"/>
      <c r="G859" s="638" t="s">
        <v>1441</v>
      </c>
      <c r="H859" s="607">
        <v>0</v>
      </c>
      <c r="I859" s="607">
        <v>0</v>
      </c>
      <c r="J859" s="607" t="s">
        <v>1442</v>
      </c>
    </row>
    <row r="860" spans="1:10" s="285" customFormat="1" ht="27.6">
      <c r="A860" s="698">
        <v>390</v>
      </c>
      <c r="B860" s="700">
        <v>200</v>
      </c>
      <c r="C860" s="689">
        <v>300</v>
      </c>
      <c r="D860" s="716">
        <v>100</v>
      </c>
      <c r="E860" s="716"/>
      <c r="F860" s="716"/>
      <c r="G860" s="638" t="s">
        <v>1443</v>
      </c>
      <c r="H860" s="607">
        <v>0</v>
      </c>
      <c r="I860" s="607">
        <v>0</v>
      </c>
      <c r="J860" s="607" t="s">
        <v>1444</v>
      </c>
    </row>
    <row r="861" spans="1:10" s="285" customFormat="1" ht="27.6">
      <c r="A861" s="698">
        <v>390</v>
      </c>
      <c r="B861" s="700">
        <v>200</v>
      </c>
      <c r="C861" s="689">
        <v>300</v>
      </c>
      <c r="D861" s="716">
        <v>100</v>
      </c>
      <c r="E861" s="716">
        <v>10</v>
      </c>
      <c r="F861" s="716"/>
      <c r="G861" s="203" t="s">
        <v>1445</v>
      </c>
      <c r="H861" s="606">
        <v>0</v>
      </c>
      <c r="I861" s="606">
        <v>0</v>
      </c>
      <c r="J861" s="606" t="s">
        <v>1446</v>
      </c>
    </row>
    <row r="862" spans="1:10" s="285" customFormat="1" ht="27.6">
      <c r="A862" s="698">
        <v>390</v>
      </c>
      <c r="B862" s="700">
        <v>200</v>
      </c>
      <c r="C862" s="689">
        <v>300</v>
      </c>
      <c r="D862" s="716">
        <v>100</v>
      </c>
      <c r="E862" s="716">
        <v>20</v>
      </c>
      <c r="F862" s="716"/>
      <c r="G862" s="203" t="s">
        <v>1447</v>
      </c>
      <c r="H862" s="606">
        <v>139434.03</v>
      </c>
      <c r="I862" s="606">
        <v>60168</v>
      </c>
      <c r="J862" s="606" t="s">
        <v>1448</v>
      </c>
    </row>
    <row r="863" spans="1:10" s="285" customFormat="1">
      <c r="A863" s="698">
        <v>390</v>
      </c>
      <c r="B863" s="700">
        <v>200</v>
      </c>
      <c r="C863" s="689">
        <v>300</v>
      </c>
      <c r="D863" s="716">
        <v>200</v>
      </c>
      <c r="E863" s="716"/>
      <c r="F863" s="716"/>
      <c r="G863" s="638" t="s">
        <v>1449</v>
      </c>
      <c r="H863" s="607">
        <v>0</v>
      </c>
      <c r="I863" s="607">
        <v>0</v>
      </c>
      <c r="J863" s="607" t="s">
        <v>1450</v>
      </c>
    </row>
    <row r="864" spans="1:10" s="285" customFormat="1" ht="27.6">
      <c r="A864" s="698">
        <v>390</v>
      </c>
      <c r="B864" s="700">
        <v>200</v>
      </c>
      <c r="C864" s="689">
        <v>300</v>
      </c>
      <c r="D864" s="716">
        <v>200</v>
      </c>
      <c r="E864" s="716">
        <v>10</v>
      </c>
      <c r="F864" s="716"/>
      <c r="G864" s="203" t="s">
        <v>1451</v>
      </c>
      <c r="H864" s="606">
        <v>0</v>
      </c>
      <c r="I864" s="606">
        <v>0</v>
      </c>
      <c r="J864" s="606" t="s">
        <v>1452</v>
      </c>
    </row>
    <row r="865" spans="1:10" s="285" customFormat="1">
      <c r="A865" s="698">
        <v>390</v>
      </c>
      <c r="B865" s="700">
        <v>200</v>
      </c>
      <c r="C865" s="689">
        <v>300</v>
      </c>
      <c r="D865" s="716">
        <v>200</v>
      </c>
      <c r="E865" s="716">
        <v>20</v>
      </c>
      <c r="F865" s="716"/>
      <c r="G865" s="638" t="s">
        <v>1453</v>
      </c>
      <c r="H865" s="607">
        <v>0</v>
      </c>
      <c r="I865" s="607">
        <v>0</v>
      </c>
      <c r="J865" s="607" t="s">
        <v>1454</v>
      </c>
    </row>
    <row r="866" spans="1:10" s="285" customFormat="1" ht="27.6">
      <c r="A866" s="698">
        <v>390</v>
      </c>
      <c r="B866" s="700">
        <v>200</v>
      </c>
      <c r="C866" s="689">
        <v>300</v>
      </c>
      <c r="D866" s="716">
        <v>200</v>
      </c>
      <c r="E866" s="716">
        <v>20</v>
      </c>
      <c r="F866" s="716">
        <v>5</v>
      </c>
      <c r="G866" s="203" t="s">
        <v>1455</v>
      </c>
      <c r="H866" s="606">
        <v>91020.71</v>
      </c>
      <c r="I866" s="606">
        <v>14940</v>
      </c>
      <c r="J866" s="606" t="s">
        <v>1456</v>
      </c>
    </row>
    <row r="867" spans="1:10" s="285" customFormat="1" ht="27.6">
      <c r="A867" s="698">
        <v>390</v>
      </c>
      <c r="B867" s="700">
        <v>200</v>
      </c>
      <c r="C867" s="689">
        <v>300</v>
      </c>
      <c r="D867" s="716">
        <v>200</v>
      </c>
      <c r="E867" s="716">
        <v>20</v>
      </c>
      <c r="F867" s="716">
        <v>10</v>
      </c>
      <c r="G867" s="203" t="s">
        <v>1457</v>
      </c>
      <c r="H867" s="606">
        <v>639.14</v>
      </c>
      <c r="I867" s="606">
        <v>0</v>
      </c>
      <c r="J867" s="606" t="s">
        <v>1458</v>
      </c>
    </row>
    <row r="868" spans="1:10" s="285" customFormat="1">
      <c r="A868" s="698">
        <v>390</v>
      </c>
      <c r="B868" s="700">
        <v>200</v>
      </c>
      <c r="C868" s="689">
        <v>300</v>
      </c>
      <c r="D868" s="716">
        <v>200</v>
      </c>
      <c r="E868" s="716">
        <v>20</v>
      </c>
      <c r="F868" s="716">
        <v>15</v>
      </c>
      <c r="G868" s="203" t="s">
        <v>1459</v>
      </c>
      <c r="H868" s="606">
        <v>23666.560000000001</v>
      </c>
      <c r="I868" s="606">
        <v>16169</v>
      </c>
      <c r="J868" s="606" t="s">
        <v>1460</v>
      </c>
    </row>
    <row r="869" spans="1:10" s="285" customFormat="1" ht="27.6">
      <c r="A869" s="698">
        <v>390</v>
      </c>
      <c r="B869" s="700">
        <v>200</v>
      </c>
      <c r="C869" s="689">
        <v>300</v>
      </c>
      <c r="D869" s="716">
        <v>200</v>
      </c>
      <c r="E869" s="716">
        <v>30</v>
      </c>
      <c r="F869" s="716"/>
      <c r="G869" s="203" t="s">
        <v>1461</v>
      </c>
      <c r="H869" s="606">
        <v>0</v>
      </c>
      <c r="I869" s="606">
        <v>0</v>
      </c>
      <c r="J869" s="606" t="s">
        <v>1462</v>
      </c>
    </row>
    <row r="870" spans="1:10" s="285" customFormat="1" ht="27.6">
      <c r="A870" s="698">
        <v>390</v>
      </c>
      <c r="B870" s="700">
        <v>200</v>
      </c>
      <c r="C870" s="689">
        <v>300</v>
      </c>
      <c r="D870" s="716">
        <v>200</v>
      </c>
      <c r="E870" s="716">
        <v>40</v>
      </c>
      <c r="F870" s="716"/>
      <c r="G870" s="203" t="s">
        <v>1463</v>
      </c>
      <c r="H870" s="606">
        <v>0</v>
      </c>
      <c r="I870" s="606">
        <v>0</v>
      </c>
      <c r="J870" s="606" t="s">
        <v>1464</v>
      </c>
    </row>
    <row r="871" spans="1:10" s="285" customFormat="1" ht="27.6">
      <c r="A871" s="698">
        <v>390</v>
      </c>
      <c r="B871" s="700">
        <v>200</v>
      </c>
      <c r="C871" s="689">
        <v>300</v>
      </c>
      <c r="D871" s="716">
        <v>200</v>
      </c>
      <c r="E871" s="716">
        <v>50</v>
      </c>
      <c r="F871" s="716"/>
      <c r="G871" s="203" t="s">
        <v>1465</v>
      </c>
      <c r="H871" s="606">
        <v>0</v>
      </c>
      <c r="I871" s="606">
        <v>0</v>
      </c>
      <c r="J871" s="606" t="s">
        <v>1466</v>
      </c>
    </row>
    <row r="872" spans="1:10" s="285" customFormat="1" ht="27.6">
      <c r="A872" s="698">
        <v>390</v>
      </c>
      <c r="B872" s="700">
        <v>200</v>
      </c>
      <c r="C872" s="689">
        <v>300</v>
      </c>
      <c r="D872" s="716">
        <v>200</v>
      </c>
      <c r="E872" s="716">
        <v>60</v>
      </c>
      <c r="F872" s="716"/>
      <c r="G872" s="203" t="s">
        <v>1467</v>
      </c>
      <c r="H872" s="606">
        <v>47650.080000000002</v>
      </c>
      <c r="I872" s="606">
        <v>64635</v>
      </c>
      <c r="J872" s="606" t="s">
        <v>1468</v>
      </c>
    </row>
    <row r="873" spans="1:10" s="285" customFormat="1">
      <c r="A873" s="698">
        <v>390</v>
      </c>
      <c r="B873" s="700">
        <v>200</v>
      </c>
      <c r="C873" s="689">
        <v>300</v>
      </c>
      <c r="D873" s="716">
        <v>200</v>
      </c>
      <c r="E873" s="716">
        <v>90</v>
      </c>
      <c r="F873" s="716"/>
      <c r="G873" s="203" t="s">
        <v>1469</v>
      </c>
      <c r="H873" s="606">
        <v>22552.25</v>
      </c>
      <c r="I873" s="606">
        <v>2315</v>
      </c>
      <c r="J873" s="606" t="s">
        <v>1470</v>
      </c>
    </row>
    <row r="874" spans="1:10" s="285" customFormat="1">
      <c r="A874" s="698">
        <v>390</v>
      </c>
      <c r="B874" s="700">
        <v>200</v>
      </c>
      <c r="C874" s="689">
        <v>400</v>
      </c>
      <c r="D874" s="716"/>
      <c r="E874" s="716"/>
      <c r="F874" s="716"/>
      <c r="G874" s="638" t="s">
        <v>1471</v>
      </c>
      <c r="H874" s="607">
        <v>0</v>
      </c>
      <c r="I874" s="607">
        <v>0</v>
      </c>
      <c r="J874" s="607" t="s">
        <v>1472</v>
      </c>
    </row>
    <row r="875" spans="1:10" s="285" customFormat="1">
      <c r="A875" s="698">
        <v>390</v>
      </c>
      <c r="B875" s="700">
        <v>200</v>
      </c>
      <c r="C875" s="689">
        <v>400</v>
      </c>
      <c r="D875" s="716">
        <v>50</v>
      </c>
      <c r="E875" s="716"/>
      <c r="F875" s="716"/>
      <c r="G875" s="203" t="s">
        <v>1473</v>
      </c>
      <c r="H875" s="606">
        <v>0</v>
      </c>
      <c r="I875" s="606">
        <v>0</v>
      </c>
      <c r="J875" s="606" t="s">
        <v>1474</v>
      </c>
    </row>
    <row r="876" spans="1:10" s="285" customFormat="1" ht="27.6">
      <c r="A876" s="698">
        <v>390</v>
      </c>
      <c r="B876" s="700">
        <v>200</v>
      </c>
      <c r="C876" s="689">
        <v>400</v>
      </c>
      <c r="D876" s="716">
        <v>100</v>
      </c>
      <c r="E876" s="716"/>
      <c r="F876" s="716"/>
      <c r="G876" s="203" t="s">
        <v>1475</v>
      </c>
      <c r="H876" s="606">
        <v>0</v>
      </c>
      <c r="I876" s="606">
        <v>0</v>
      </c>
      <c r="J876" s="606" t="s">
        <v>1476</v>
      </c>
    </row>
    <row r="877" spans="1:10" s="285" customFormat="1">
      <c r="A877" s="698">
        <v>390</v>
      </c>
      <c r="B877" s="700">
        <v>200</v>
      </c>
      <c r="C877" s="689">
        <v>400</v>
      </c>
      <c r="D877" s="716">
        <v>200</v>
      </c>
      <c r="E877" s="716"/>
      <c r="F877" s="716"/>
      <c r="G877" s="638" t="s">
        <v>1477</v>
      </c>
      <c r="H877" s="607">
        <v>0</v>
      </c>
      <c r="I877" s="607">
        <v>0</v>
      </c>
      <c r="J877" s="607" t="s">
        <v>1478</v>
      </c>
    </row>
    <row r="878" spans="1:10" s="285" customFormat="1" ht="27.6">
      <c r="A878" s="698">
        <v>390</v>
      </c>
      <c r="B878" s="700">
        <v>200</v>
      </c>
      <c r="C878" s="689">
        <v>400</v>
      </c>
      <c r="D878" s="716">
        <v>200</v>
      </c>
      <c r="E878" s="716">
        <v>10</v>
      </c>
      <c r="F878" s="716"/>
      <c r="G878" s="203" t="s">
        <v>1479</v>
      </c>
      <c r="H878" s="606">
        <v>0</v>
      </c>
      <c r="I878" s="606">
        <v>0</v>
      </c>
      <c r="J878" s="606" t="s">
        <v>1480</v>
      </c>
    </row>
    <row r="879" spans="1:10" s="285" customFormat="1">
      <c r="A879" s="698">
        <v>390</v>
      </c>
      <c r="B879" s="700">
        <v>200</v>
      </c>
      <c r="C879" s="689">
        <v>400</v>
      </c>
      <c r="D879" s="716">
        <v>200</v>
      </c>
      <c r="E879" s="716">
        <v>20</v>
      </c>
      <c r="F879" s="716"/>
      <c r="G879" s="203" t="s">
        <v>1481</v>
      </c>
      <c r="H879" s="606">
        <v>0</v>
      </c>
      <c r="I879" s="606">
        <v>0</v>
      </c>
      <c r="J879" s="606" t="s">
        <v>1482</v>
      </c>
    </row>
    <row r="880" spans="1:10" s="285" customFormat="1" ht="27.6">
      <c r="A880" s="698">
        <v>390</v>
      </c>
      <c r="B880" s="700">
        <v>200</v>
      </c>
      <c r="C880" s="689">
        <v>400</v>
      </c>
      <c r="D880" s="716">
        <v>200</v>
      </c>
      <c r="E880" s="716">
        <v>30</v>
      </c>
      <c r="F880" s="716"/>
      <c r="G880" s="203" t="s">
        <v>1483</v>
      </c>
      <c r="H880" s="606">
        <v>0</v>
      </c>
      <c r="I880" s="606">
        <v>0</v>
      </c>
      <c r="J880" s="606" t="s">
        <v>1484</v>
      </c>
    </row>
    <row r="881" spans="1:10" s="285" customFormat="1" ht="31.2" customHeight="1">
      <c r="A881" s="698">
        <v>390</v>
      </c>
      <c r="B881" s="700">
        <v>200</v>
      </c>
      <c r="C881" s="689">
        <v>400</v>
      </c>
      <c r="D881" s="716">
        <v>200</v>
      </c>
      <c r="E881" s="716">
        <v>40</v>
      </c>
      <c r="F881" s="716"/>
      <c r="G881" s="203" t="s">
        <v>1485</v>
      </c>
      <c r="H881" s="606">
        <v>0</v>
      </c>
      <c r="I881" s="606">
        <v>0</v>
      </c>
      <c r="J881" s="606" t="s">
        <v>1486</v>
      </c>
    </row>
    <row r="882" spans="1:10" s="285" customFormat="1" ht="31.2" customHeight="1">
      <c r="A882" s="698">
        <v>390</v>
      </c>
      <c r="B882" s="700">
        <v>200</v>
      </c>
      <c r="C882" s="689">
        <v>400</v>
      </c>
      <c r="D882" s="716">
        <v>200</v>
      </c>
      <c r="E882" s="716">
        <v>50</v>
      </c>
      <c r="F882" s="716"/>
      <c r="G882" s="203" t="s">
        <v>1487</v>
      </c>
      <c r="H882" s="606">
        <v>0</v>
      </c>
      <c r="I882" s="606">
        <v>0</v>
      </c>
      <c r="J882" s="606" t="s">
        <v>1488</v>
      </c>
    </row>
    <row r="883" spans="1:10" s="285" customFormat="1" ht="27.6">
      <c r="A883" s="698">
        <v>390</v>
      </c>
      <c r="B883" s="700">
        <v>200</v>
      </c>
      <c r="C883" s="689">
        <v>400</v>
      </c>
      <c r="D883" s="716">
        <v>200</v>
      </c>
      <c r="E883" s="716">
        <v>60</v>
      </c>
      <c r="F883" s="716"/>
      <c r="G883" s="203" t="s">
        <v>1489</v>
      </c>
      <c r="H883" s="606">
        <v>0</v>
      </c>
      <c r="I883" s="606">
        <v>0</v>
      </c>
      <c r="J883" s="606" t="s">
        <v>1490</v>
      </c>
    </row>
    <row r="884" spans="1:10" s="285" customFormat="1">
      <c r="A884" s="698">
        <v>390</v>
      </c>
      <c r="B884" s="700">
        <v>200</v>
      </c>
      <c r="C884" s="689">
        <v>400</v>
      </c>
      <c r="D884" s="716">
        <v>200</v>
      </c>
      <c r="E884" s="716">
        <v>70</v>
      </c>
      <c r="F884" s="716"/>
      <c r="G884" s="203" t="s">
        <v>1491</v>
      </c>
      <c r="H884" s="606">
        <v>6383.46</v>
      </c>
      <c r="I884" s="606">
        <v>139159</v>
      </c>
      <c r="J884" s="606" t="s">
        <v>1492</v>
      </c>
    </row>
    <row r="885" spans="1:10" s="285" customFormat="1">
      <c r="A885" s="698">
        <v>390</v>
      </c>
      <c r="B885" s="700">
        <v>200</v>
      </c>
      <c r="C885" s="689">
        <v>500</v>
      </c>
      <c r="D885" s="716"/>
      <c r="E885" s="716"/>
      <c r="F885" s="716"/>
      <c r="G885" s="203" t="s">
        <v>1435</v>
      </c>
      <c r="H885" s="606">
        <v>184.31</v>
      </c>
      <c r="I885" s="606">
        <v>109</v>
      </c>
      <c r="J885" s="606" t="s">
        <v>1493</v>
      </c>
    </row>
    <row r="886" spans="1:10" s="285" customFormat="1">
      <c r="A886" s="694">
        <v>400</v>
      </c>
      <c r="B886" s="724">
        <v>0</v>
      </c>
      <c r="C886" s="647">
        <v>0</v>
      </c>
      <c r="D886" s="683">
        <v>0</v>
      </c>
      <c r="E886" s="683">
        <v>0</v>
      </c>
      <c r="F886" s="683">
        <v>0</v>
      </c>
      <c r="G886" s="675" t="s">
        <v>110</v>
      </c>
      <c r="H886" s="607">
        <v>0</v>
      </c>
      <c r="I886" s="607">
        <v>0</v>
      </c>
      <c r="J886" s="607" t="s">
        <v>1494</v>
      </c>
    </row>
    <row r="887" spans="1:10" s="285" customFormat="1">
      <c r="A887" s="699">
        <v>400</v>
      </c>
      <c r="B887" s="728">
        <v>100</v>
      </c>
      <c r="C887" s="708"/>
      <c r="D887" s="717"/>
      <c r="E887" s="717"/>
      <c r="F887" s="717"/>
      <c r="G887" s="203" t="s">
        <v>1495</v>
      </c>
      <c r="H887" s="606">
        <v>2635175.88</v>
      </c>
      <c r="I887" s="606">
        <v>2476866</v>
      </c>
      <c r="J887" s="606" t="s">
        <v>1496</v>
      </c>
    </row>
    <row r="888" spans="1:10" s="285" customFormat="1" ht="27.6">
      <c r="A888" s="699">
        <v>400</v>
      </c>
      <c r="B888" s="728">
        <v>200</v>
      </c>
      <c r="C888" s="708"/>
      <c r="D888" s="717"/>
      <c r="E888" s="717"/>
      <c r="F888" s="717"/>
      <c r="G888" s="203" t="s">
        <v>1497</v>
      </c>
      <c r="H888" s="606">
        <v>135141.93</v>
      </c>
      <c r="I888" s="606">
        <v>161603</v>
      </c>
      <c r="J888" s="606" t="s">
        <v>1498</v>
      </c>
    </row>
    <row r="889" spans="1:10" s="285" customFormat="1">
      <c r="A889" s="699">
        <v>400</v>
      </c>
      <c r="B889" s="728">
        <v>300</v>
      </c>
      <c r="C889" s="708"/>
      <c r="D889" s="717"/>
      <c r="E889" s="717"/>
      <c r="F889" s="717"/>
      <c r="G889" s="203" t="s">
        <v>1499</v>
      </c>
      <c r="H889" s="606">
        <v>41214.959999999999</v>
      </c>
      <c r="I889" s="606">
        <v>54171</v>
      </c>
      <c r="J889" s="606" t="s">
        <v>1500</v>
      </c>
    </row>
    <row r="890" spans="1:10" s="285" customFormat="1">
      <c r="A890" s="699">
        <v>400</v>
      </c>
      <c r="B890" s="728">
        <v>400</v>
      </c>
      <c r="C890" s="708"/>
      <c r="D890" s="717"/>
      <c r="E890" s="717"/>
      <c r="F890" s="717"/>
      <c r="G890" s="203" t="s">
        <v>1501</v>
      </c>
      <c r="H890" s="606">
        <v>0</v>
      </c>
      <c r="I890" s="606">
        <v>0</v>
      </c>
      <c r="J890" s="606" t="s">
        <v>1502</v>
      </c>
    </row>
    <row r="891" spans="1:10" s="285" customFormat="1">
      <c r="A891" s="694">
        <v>405</v>
      </c>
      <c r="B891" s="724">
        <v>0</v>
      </c>
      <c r="C891" s="647">
        <v>0</v>
      </c>
      <c r="D891" s="683">
        <v>0</v>
      </c>
      <c r="E891" s="683">
        <v>0</v>
      </c>
      <c r="F891" s="683">
        <v>0</v>
      </c>
      <c r="G891" s="675" t="s">
        <v>115</v>
      </c>
      <c r="H891" s="607">
        <v>0</v>
      </c>
      <c r="I891" s="607">
        <v>0</v>
      </c>
      <c r="J891" s="607" t="s">
        <v>1503</v>
      </c>
    </row>
    <row r="892" spans="1:10" s="285" customFormat="1">
      <c r="A892" s="698">
        <v>405</v>
      </c>
      <c r="B892" s="700">
        <v>100</v>
      </c>
      <c r="C892" s="689"/>
      <c r="D892" s="716"/>
      <c r="E892" s="716"/>
      <c r="F892" s="716"/>
      <c r="G892" s="203" t="s">
        <v>1504</v>
      </c>
      <c r="H892" s="606">
        <v>15847</v>
      </c>
      <c r="I892" s="606">
        <v>15031</v>
      </c>
      <c r="J892" s="606" t="s">
        <v>1505</v>
      </c>
    </row>
    <row r="893" spans="1:10" s="285" customFormat="1">
      <c r="A893" s="698">
        <v>405</v>
      </c>
      <c r="B893" s="700">
        <v>200</v>
      </c>
      <c r="C893" s="689"/>
      <c r="D893" s="716"/>
      <c r="E893" s="716"/>
      <c r="F893" s="716"/>
      <c r="G893" s="203" t="s">
        <v>1506</v>
      </c>
      <c r="H893" s="606">
        <v>0</v>
      </c>
      <c r="I893" s="606">
        <v>0</v>
      </c>
      <c r="J893" s="606" t="s">
        <v>1507</v>
      </c>
    </row>
    <row r="894" spans="1:10" s="285" customFormat="1" ht="28.2" thickBot="1">
      <c r="A894" s="703">
        <v>410</v>
      </c>
      <c r="B894" s="730">
        <v>0</v>
      </c>
      <c r="C894" s="710">
        <v>0</v>
      </c>
      <c r="D894" s="720">
        <v>0</v>
      </c>
      <c r="E894" s="720">
        <v>0</v>
      </c>
      <c r="F894" s="720">
        <v>0</v>
      </c>
      <c r="G894" s="691" t="s">
        <v>1508</v>
      </c>
      <c r="H894" s="614">
        <v>0</v>
      </c>
      <c r="I894" s="614">
        <v>0</v>
      </c>
      <c r="J894" s="614" t="s">
        <v>1509</v>
      </c>
    </row>
    <row r="895" spans="1:10" s="285" customFormat="1" ht="15.6">
      <c r="A895" s="733"/>
      <c r="B895" s="733"/>
      <c r="C895" s="733"/>
      <c r="D895" s="733"/>
      <c r="E895" s="733"/>
      <c r="F895" s="733"/>
      <c r="G895" s="692" t="s">
        <v>536</v>
      </c>
      <c r="H895" s="621">
        <v>82487283.349999949</v>
      </c>
      <c r="I895" s="621">
        <v>76447395</v>
      </c>
      <c r="J895" s="621"/>
    </row>
    <row r="896" spans="1:10" ht="15.6">
      <c r="A896" s="1474"/>
      <c r="B896" s="1474"/>
      <c r="C896" s="1474"/>
      <c r="D896" s="1474"/>
      <c r="E896" s="1474"/>
      <c r="F896" s="1474"/>
      <c r="G896" s="692"/>
      <c r="H896" s="621"/>
      <c r="I896" s="621"/>
      <c r="J896" s="621"/>
    </row>
    <row r="897" spans="7:10" ht="15.6">
      <c r="G897" s="692"/>
      <c r="H897" s="621"/>
      <c r="I897" s="621"/>
      <c r="J897" s="621"/>
    </row>
    <row r="898" spans="7:10" ht="15.6">
      <c r="G898" s="692"/>
      <c r="H898" s="621"/>
      <c r="I898" s="621"/>
      <c r="J898" s="621"/>
    </row>
    <row r="899" spans="7:10" ht="15.6">
      <c r="G899" s="692"/>
      <c r="H899" s="621"/>
      <c r="I899" s="621"/>
      <c r="J899" s="621"/>
    </row>
    <row r="900" spans="7:10" ht="15.6">
      <c r="G900" s="692"/>
      <c r="H900" s="621"/>
      <c r="I900" s="621"/>
      <c r="J900" s="621"/>
    </row>
    <row r="901" spans="7:10" ht="15.6">
      <c r="G901" s="692"/>
      <c r="H901" s="621"/>
      <c r="I901" s="621"/>
      <c r="J901" s="621"/>
    </row>
    <row r="902" spans="7:10" ht="15.6">
      <c r="G902" s="692"/>
      <c r="H902" s="621"/>
      <c r="I902" s="621"/>
      <c r="J902" s="621"/>
    </row>
    <row r="903" spans="7:10" ht="15.6">
      <c r="G903" s="692"/>
      <c r="H903" s="621"/>
      <c r="I903" s="621"/>
      <c r="J903" s="621"/>
    </row>
    <row r="904" spans="7:10" ht="15.6">
      <c r="G904" s="692"/>
      <c r="H904" s="621"/>
      <c r="I904" s="621"/>
      <c r="J904" s="621"/>
    </row>
    <row r="905" spans="7:10" ht="15.6">
      <c r="G905" s="692"/>
      <c r="H905" s="621"/>
      <c r="I905" s="621"/>
      <c r="J905" s="621"/>
    </row>
    <row r="906" spans="7:10" ht="15.6">
      <c r="G906" s="692"/>
      <c r="H906" s="621"/>
      <c r="I906" s="621"/>
      <c r="J906" s="621"/>
    </row>
    <row r="907" spans="7:10" ht="15.6">
      <c r="G907" s="692"/>
      <c r="H907" s="621"/>
      <c r="I907" s="621"/>
      <c r="J907" s="621"/>
    </row>
    <row r="908" spans="7:10" ht="15.6">
      <c r="G908" s="692"/>
      <c r="H908" s="621"/>
      <c r="I908" s="621"/>
      <c r="J908" s="621"/>
    </row>
    <row r="909" spans="7:10" ht="15.6">
      <c r="G909" s="692"/>
      <c r="H909" s="621"/>
      <c r="I909" s="621"/>
      <c r="J909" s="621"/>
    </row>
    <row r="910" spans="7:10" ht="15.6">
      <c r="G910" s="692"/>
      <c r="H910" s="621"/>
      <c r="I910" s="621"/>
      <c r="J910" s="621"/>
    </row>
    <row r="911" spans="7:10" ht="15.6">
      <c r="G911" s="692"/>
      <c r="H911" s="621"/>
      <c r="I911" s="621"/>
      <c r="J911" s="621"/>
    </row>
    <row r="912" spans="7:10" ht="15.6">
      <c r="G912" s="692"/>
      <c r="H912" s="621"/>
      <c r="I912" s="621"/>
      <c r="J912" s="621"/>
    </row>
    <row r="913" spans="7:10" ht="15.6">
      <c r="G913" s="692"/>
      <c r="H913" s="621"/>
      <c r="I913" s="621"/>
      <c r="J913" s="621"/>
    </row>
    <row r="914" spans="7:10" ht="15.6">
      <c r="G914" s="692"/>
      <c r="H914" s="621"/>
      <c r="I914" s="621"/>
      <c r="J914" s="621"/>
    </row>
    <row r="915" spans="7:10" ht="15.6">
      <c r="G915" s="692"/>
      <c r="H915" s="621"/>
      <c r="I915" s="621"/>
      <c r="J915" s="621"/>
    </row>
    <row r="916" spans="7:10" ht="15.6">
      <c r="G916" s="692"/>
      <c r="H916" s="621"/>
      <c r="I916" s="621"/>
      <c r="J916" s="621"/>
    </row>
    <row r="917" spans="7:10" ht="15.6">
      <c r="G917" s="692"/>
      <c r="H917" s="621"/>
      <c r="I917" s="621"/>
      <c r="J917" s="621"/>
    </row>
    <row r="918" spans="7:10" ht="15.6">
      <c r="G918" s="692"/>
      <c r="H918" s="621"/>
      <c r="I918" s="621"/>
      <c r="J918" s="621"/>
    </row>
    <row r="919" spans="7:10" ht="15.6">
      <c r="G919" s="692"/>
      <c r="H919" s="621"/>
      <c r="I919" s="621"/>
      <c r="J919" s="621"/>
    </row>
    <row r="920" spans="7:10" ht="15.6">
      <c r="G920" s="692"/>
      <c r="H920" s="621"/>
      <c r="I920" s="621"/>
      <c r="J920" s="621"/>
    </row>
    <row r="921" spans="7:10" ht="15.6">
      <c r="G921" s="692"/>
      <c r="H921" s="621"/>
      <c r="I921" s="621"/>
      <c r="J921" s="621"/>
    </row>
    <row r="922" spans="7:10" ht="15.6">
      <c r="G922" s="692"/>
      <c r="H922" s="621"/>
      <c r="I922" s="621"/>
      <c r="J922" s="621"/>
    </row>
    <row r="923" spans="7:10" ht="15.6">
      <c r="G923" s="692"/>
      <c r="H923" s="621"/>
      <c r="I923" s="621"/>
      <c r="J923" s="621"/>
    </row>
    <row r="924" spans="7:10" ht="15.6">
      <c r="G924" s="692"/>
      <c r="H924" s="621"/>
      <c r="I924" s="621"/>
      <c r="J924" s="621"/>
    </row>
  </sheetData>
  <mergeCells count="4">
    <mergeCell ref="G1:G2"/>
    <mergeCell ref="H1:H2"/>
    <mergeCell ref="I1:I2"/>
    <mergeCell ref="J1:J2"/>
  </mergeCells>
  <pageMargins left="0.7" right="0.7" top="0.75" bottom="0.75" header="0.3" footer="0.3"/>
  <pageSetup paperSize="9"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G593"/>
  <sheetViews>
    <sheetView zoomScaleNormal="100" workbookViewId="0">
      <pane xSplit="7" ySplit="2" topLeftCell="H3" activePane="bottomRight" state="frozen"/>
      <selection activeCell="G22" sqref="G22"/>
      <selection pane="topRight" activeCell="G22" sqref="G22"/>
      <selection pane="bottomLeft" activeCell="G22" sqref="G22"/>
      <selection pane="bottomRight" activeCell="G208" sqref="G208"/>
    </sheetView>
  </sheetViews>
  <sheetFormatPr defaultRowHeight="13.8"/>
  <cols>
    <col min="1" max="6" width="3.5546875" style="674" customWidth="1"/>
    <col min="7" max="7" width="48.33203125" style="285" customWidth="1"/>
    <col min="8" max="9" width="15" style="285" customWidth="1"/>
    <col min="10" max="10" width="14.5546875" style="285" customWidth="1"/>
    <col min="11" max="16384" width="8.88671875" style="285"/>
  </cols>
  <sheetData>
    <row r="1" spans="1:10" ht="30" customHeight="1" thickBot="1">
      <c r="A1" s="628" t="s">
        <v>120</v>
      </c>
      <c r="B1" s="629"/>
      <c r="C1" s="629"/>
      <c r="D1" s="629"/>
      <c r="E1" s="629"/>
      <c r="F1" s="630"/>
      <c r="G1" s="1550" t="s">
        <v>121</v>
      </c>
      <c r="H1" s="1547" t="s">
        <v>3950</v>
      </c>
      <c r="I1" s="1549" t="s">
        <v>2129</v>
      </c>
      <c r="J1" s="1546" t="s">
        <v>122</v>
      </c>
    </row>
    <row r="2" spans="1:10" ht="24" customHeight="1" thickBot="1">
      <c r="A2" s="631" t="s">
        <v>123</v>
      </c>
      <c r="B2" s="631" t="s">
        <v>124</v>
      </c>
      <c r="C2" s="631" t="s">
        <v>125</v>
      </c>
      <c r="D2" s="631" t="s">
        <v>126</v>
      </c>
      <c r="E2" s="631" t="s">
        <v>127</v>
      </c>
      <c r="F2" s="631" t="s">
        <v>128</v>
      </c>
      <c r="G2" s="1551"/>
      <c r="H2" s="1548"/>
      <c r="I2" s="1549"/>
      <c r="J2" s="1546"/>
    </row>
    <row r="3" spans="1:10">
      <c r="A3" s="632">
        <v>600</v>
      </c>
      <c r="B3" s="633">
        <v>0</v>
      </c>
      <c r="C3" s="633">
        <v>0</v>
      </c>
      <c r="D3" s="633">
        <v>0</v>
      </c>
      <c r="E3" s="633">
        <v>0</v>
      </c>
      <c r="F3" s="633">
        <v>0</v>
      </c>
      <c r="G3" s="634" t="s">
        <v>129</v>
      </c>
      <c r="H3" s="622"/>
      <c r="I3" s="622"/>
      <c r="J3" s="635" t="s">
        <v>1528</v>
      </c>
    </row>
    <row r="4" spans="1:10">
      <c r="A4" s="636">
        <v>600</v>
      </c>
      <c r="B4" s="637">
        <v>100</v>
      </c>
      <c r="C4" s="637"/>
      <c r="D4" s="637"/>
      <c r="E4" s="637"/>
      <c r="F4" s="637"/>
      <c r="G4" s="638" t="s">
        <v>130</v>
      </c>
      <c r="H4" s="623"/>
      <c r="I4" s="623"/>
      <c r="J4" s="639" t="s">
        <v>1530</v>
      </c>
    </row>
    <row r="5" spans="1:10">
      <c r="A5" s="636">
        <v>600</v>
      </c>
      <c r="B5" s="637">
        <v>100</v>
      </c>
      <c r="C5" s="637">
        <v>100</v>
      </c>
      <c r="D5" s="637"/>
      <c r="E5" s="637"/>
      <c r="F5" s="637"/>
      <c r="G5" s="638" t="s">
        <v>131</v>
      </c>
      <c r="H5" s="623"/>
      <c r="I5" s="623"/>
      <c r="J5" s="639" t="s">
        <v>132</v>
      </c>
    </row>
    <row r="6" spans="1:10">
      <c r="A6" s="636">
        <v>600</v>
      </c>
      <c r="B6" s="637">
        <v>100</v>
      </c>
      <c r="C6" s="637">
        <v>100</v>
      </c>
      <c r="D6" s="640">
        <v>100</v>
      </c>
      <c r="E6" s="640"/>
      <c r="F6" s="640"/>
      <c r="G6" s="203" t="s">
        <v>2119</v>
      </c>
      <c r="H6" s="504">
        <v>11008013</v>
      </c>
      <c r="I6" s="504">
        <v>12379051</v>
      </c>
      <c r="J6" s="639" t="s">
        <v>133</v>
      </c>
    </row>
    <row r="7" spans="1:10">
      <c r="A7" s="636">
        <v>600</v>
      </c>
      <c r="B7" s="637">
        <v>100</v>
      </c>
      <c r="C7" s="637">
        <v>100</v>
      </c>
      <c r="D7" s="640">
        <v>200</v>
      </c>
      <c r="E7" s="640"/>
      <c r="F7" s="640"/>
      <c r="G7" s="203" t="s">
        <v>134</v>
      </c>
      <c r="H7" s="504">
        <v>16550909.189999999</v>
      </c>
      <c r="I7" s="504">
        <v>11249606</v>
      </c>
      <c r="J7" s="639" t="s">
        <v>135</v>
      </c>
    </row>
    <row r="8" spans="1:10">
      <c r="A8" s="636">
        <v>600</v>
      </c>
      <c r="B8" s="637">
        <v>100</v>
      </c>
      <c r="C8" s="637">
        <v>100</v>
      </c>
      <c r="D8" s="640">
        <v>300</v>
      </c>
      <c r="E8" s="640"/>
      <c r="F8" s="640"/>
      <c r="G8" s="203" t="s">
        <v>2120</v>
      </c>
      <c r="H8" s="505">
        <v>0</v>
      </c>
      <c r="I8" s="505">
        <v>0</v>
      </c>
      <c r="J8" s="639" t="s">
        <v>136</v>
      </c>
    </row>
    <row r="9" spans="1:10">
      <c r="A9" s="636">
        <v>600</v>
      </c>
      <c r="B9" s="637">
        <v>100</v>
      </c>
      <c r="C9" s="637">
        <v>100</v>
      </c>
      <c r="D9" s="640">
        <v>300</v>
      </c>
      <c r="E9" s="640">
        <v>10</v>
      </c>
      <c r="F9" s="640"/>
      <c r="G9" s="203" t="s">
        <v>137</v>
      </c>
      <c r="H9" s="504">
        <v>2328685</v>
      </c>
      <c r="I9" s="504">
        <v>2328685</v>
      </c>
      <c r="J9" s="639" t="s">
        <v>138</v>
      </c>
    </row>
    <row r="10" spans="1:10">
      <c r="A10" s="636">
        <v>600</v>
      </c>
      <c r="B10" s="637">
        <v>100</v>
      </c>
      <c r="C10" s="637">
        <v>100</v>
      </c>
      <c r="D10" s="640">
        <v>300</v>
      </c>
      <c r="E10" s="640">
        <v>20</v>
      </c>
      <c r="F10" s="640"/>
      <c r="G10" s="203" t="s">
        <v>139</v>
      </c>
      <c r="H10" s="504">
        <v>5100973</v>
      </c>
      <c r="I10" s="504">
        <v>2353442</v>
      </c>
      <c r="J10" s="639" t="s">
        <v>140</v>
      </c>
    </row>
    <row r="11" spans="1:10" ht="27.6">
      <c r="A11" s="636">
        <v>600</v>
      </c>
      <c r="B11" s="637">
        <v>100</v>
      </c>
      <c r="C11" s="637">
        <v>100</v>
      </c>
      <c r="D11" s="640">
        <v>400</v>
      </c>
      <c r="E11" s="640"/>
      <c r="F11" s="640"/>
      <c r="G11" s="203" t="s">
        <v>141</v>
      </c>
      <c r="H11" s="504">
        <v>0</v>
      </c>
      <c r="I11" s="504">
        <v>0</v>
      </c>
      <c r="J11" s="639" t="s">
        <v>142</v>
      </c>
    </row>
    <row r="12" spans="1:10">
      <c r="A12" s="636">
        <v>600</v>
      </c>
      <c r="B12" s="637">
        <v>100</v>
      </c>
      <c r="C12" s="637">
        <v>200</v>
      </c>
      <c r="D12" s="637"/>
      <c r="E12" s="637"/>
      <c r="F12" s="637"/>
      <c r="G12" s="638" t="s">
        <v>143</v>
      </c>
      <c r="H12" s="505">
        <v>0</v>
      </c>
      <c r="I12" s="505">
        <v>0</v>
      </c>
      <c r="J12" s="639" t="s">
        <v>144</v>
      </c>
    </row>
    <row r="13" spans="1:10">
      <c r="A13" s="636">
        <v>600</v>
      </c>
      <c r="B13" s="637">
        <v>100</v>
      </c>
      <c r="C13" s="637">
        <v>200</v>
      </c>
      <c r="D13" s="640">
        <v>100</v>
      </c>
      <c r="E13" s="640"/>
      <c r="F13" s="640"/>
      <c r="G13" s="203" t="s">
        <v>145</v>
      </c>
      <c r="H13" s="504">
        <v>0</v>
      </c>
      <c r="I13" s="504">
        <v>0</v>
      </c>
      <c r="J13" s="641"/>
    </row>
    <row r="14" spans="1:10" ht="27.6">
      <c r="A14" s="636">
        <v>600</v>
      </c>
      <c r="B14" s="637">
        <v>100</v>
      </c>
      <c r="C14" s="637">
        <v>200</v>
      </c>
      <c r="D14" s="640">
        <v>200</v>
      </c>
      <c r="E14" s="640"/>
      <c r="F14" s="640"/>
      <c r="G14" s="203" t="s">
        <v>146</v>
      </c>
      <c r="H14" s="504">
        <v>0</v>
      </c>
      <c r="I14" s="504">
        <v>0</v>
      </c>
      <c r="J14" s="642"/>
    </row>
    <row r="15" spans="1:10">
      <c r="A15" s="636">
        <v>600</v>
      </c>
      <c r="B15" s="637">
        <v>100</v>
      </c>
      <c r="C15" s="637">
        <v>200</v>
      </c>
      <c r="D15" s="640">
        <v>300</v>
      </c>
      <c r="E15" s="640"/>
      <c r="F15" s="640"/>
      <c r="G15" s="203" t="s">
        <v>147</v>
      </c>
      <c r="H15" s="504">
        <v>0</v>
      </c>
      <c r="I15" s="504">
        <v>0</v>
      </c>
      <c r="J15" s="641"/>
    </row>
    <row r="16" spans="1:10">
      <c r="A16" s="636">
        <v>600</v>
      </c>
      <c r="B16" s="637">
        <v>200</v>
      </c>
      <c r="C16" s="637"/>
      <c r="D16" s="637"/>
      <c r="E16" s="637"/>
      <c r="F16" s="637"/>
      <c r="G16" s="638" t="s">
        <v>148</v>
      </c>
      <c r="H16" s="505">
        <v>0</v>
      </c>
      <c r="I16" s="505">
        <v>0</v>
      </c>
      <c r="J16" s="639" t="s">
        <v>149</v>
      </c>
    </row>
    <row r="17" spans="1:10">
      <c r="A17" s="636">
        <v>600</v>
      </c>
      <c r="B17" s="637">
        <v>200</v>
      </c>
      <c r="C17" s="637">
        <v>100</v>
      </c>
      <c r="D17" s="637"/>
      <c r="E17" s="637"/>
      <c r="F17" s="637"/>
      <c r="G17" s="638" t="s">
        <v>150</v>
      </c>
      <c r="H17" s="505">
        <v>0</v>
      </c>
      <c r="I17" s="505">
        <v>0</v>
      </c>
      <c r="J17" s="639" t="s">
        <v>151</v>
      </c>
    </row>
    <row r="18" spans="1:10">
      <c r="A18" s="636">
        <v>600</v>
      </c>
      <c r="B18" s="637">
        <v>200</v>
      </c>
      <c r="C18" s="637">
        <v>100</v>
      </c>
      <c r="D18" s="637">
        <v>100</v>
      </c>
      <c r="E18" s="637"/>
      <c r="F18" s="637"/>
      <c r="G18" s="638" t="s">
        <v>152</v>
      </c>
      <c r="H18" s="505">
        <v>0</v>
      </c>
      <c r="I18" s="505">
        <v>0</v>
      </c>
      <c r="J18" s="639" t="s">
        <v>153</v>
      </c>
    </row>
    <row r="19" spans="1:10">
      <c r="A19" s="636">
        <v>600</v>
      </c>
      <c r="B19" s="637">
        <v>200</v>
      </c>
      <c r="C19" s="637">
        <v>100</v>
      </c>
      <c r="D19" s="637">
        <v>100</v>
      </c>
      <c r="E19" s="640">
        <v>10</v>
      </c>
      <c r="F19" s="640"/>
      <c r="G19" s="203" t="s">
        <v>154</v>
      </c>
      <c r="H19" s="504">
        <v>0</v>
      </c>
      <c r="I19" s="504">
        <v>0</v>
      </c>
      <c r="J19" s="641"/>
    </row>
    <row r="20" spans="1:10">
      <c r="A20" s="636">
        <v>600</v>
      </c>
      <c r="B20" s="637">
        <v>200</v>
      </c>
      <c r="C20" s="637">
        <v>100</v>
      </c>
      <c r="D20" s="637">
        <v>100</v>
      </c>
      <c r="E20" s="640">
        <v>20</v>
      </c>
      <c r="F20" s="640"/>
      <c r="G20" s="203" t="s">
        <v>155</v>
      </c>
      <c r="H20" s="504">
        <v>0</v>
      </c>
      <c r="I20" s="504">
        <v>0</v>
      </c>
      <c r="J20" s="641"/>
    </row>
    <row r="21" spans="1:10" ht="27.6">
      <c r="A21" s="636">
        <v>600</v>
      </c>
      <c r="B21" s="637">
        <v>200</v>
      </c>
      <c r="C21" s="637">
        <v>100</v>
      </c>
      <c r="D21" s="637">
        <v>100</v>
      </c>
      <c r="E21" s="640">
        <v>30</v>
      </c>
      <c r="F21" s="640"/>
      <c r="G21" s="203" t="s">
        <v>156</v>
      </c>
      <c r="H21" s="504">
        <v>0</v>
      </c>
      <c r="I21" s="504">
        <v>0</v>
      </c>
      <c r="J21" s="641"/>
    </row>
    <row r="22" spans="1:10" ht="27.6">
      <c r="A22" s="636">
        <v>600</v>
      </c>
      <c r="B22" s="637">
        <v>200</v>
      </c>
      <c r="C22" s="637">
        <v>100</v>
      </c>
      <c r="D22" s="637">
        <v>100</v>
      </c>
      <c r="E22" s="640">
        <v>40</v>
      </c>
      <c r="F22" s="640"/>
      <c r="G22" s="203" t="s">
        <v>157</v>
      </c>
      <c r="H22" s="504">
        <v>0</v>
      </c>
      <c r="I22" s="504">
        <v>0</v>
      </c>
      <c r="J22" s="641"/>
    </row>
    <row r="23" spans="1:10" ht="27.6">
      <c r="A23" s="636">
        <v>600</v>
      </c>
      <c r="B23" s="637">
        <v>200</v>
      </c>
      <c r="C23" s="637">
        <v>100</v>
      </c>
      <c r="D23" s="637">
        <v>100</v>
      </c>
      <c r="E23" s="640">
        <v>80</v>
      </c>
      <c r="F23" s="640"/>
      <c r="G23" s="203" t="s">
        <v>158</v>
      </c>
      <c r="H23" s="504">
        <v>173902</v>
      </c>
      <c r="I23" s="504">
        <v>104000</v>
      </c>
      <c r="J23" s="641"/>
    </row>
    <row r="24" spans="1:10" ht="27.6">
      <c r="A24" s="636">
        <v>600</v>
      </c>
      <c r="B24" s="637">
        <v>200</v>
      </c>
      <c r="C24" s="637">
        <v>100</v>
      </c>
      <c r="D24" s="637">
        <v>100</v>
      </c>
      <c r="E24" s="640">
        <v>90</v>
      </c>
      <c r="F24" s="640"/>
      <c r="G24" s="203" t="s">
        <v>159</v>
      </c>
      <c r="H24" s="504">
        <v>6712.36</v>
      </c>
      <c r="I24" s="504">
        <v>0</v>
      </c>
      <c r="J24" s="641"/>
    </row>
    <row r="25" spans="1:10" ht="27.6">
      <c r="A25" s="636">
        <v>600</v>
      </c>
      <c r="B25" s="637">
        <v>200</v>
      </c>
      <c r="C25" s="637">
        <v>100</v>
      </c>
      <c r="D25" s="643">
        <v>200</v>
      </c>
      <c r="E25" s="643"/>
      <c r="F25" s="643"/>
      <c r="G25" s="203" t="s">
        <v>2139</v>
      </c>
      <c r="H25" s="504">
        <v>0</v>
      </c>
      <c r="I25" s="504">
        <v>0</v>
      </c>
      <c r="J25" s="639" t="s">
        <v>160</v>
      </c>
    </row>
    <row r="26" spans="1:10" ht="41.4">
      <c r="A26" s="636">
        <v>600</v>
      </c>
      <c r="B26" s="637">
        <v>200</v>
      </c>
      <c r="C26" s="637">
        <v>100</v>
      </c>
      <c r="D26" s="643">
        <v>300</v>
      </c>
      <c r="E26" s="643"/>
      <c r="F26" s="643"/>
      <c r="G26" s="203" t="s">
        <v>2140</v>
      </c>
      <c r="H26" s="504">
        <v>0</v>
      </c>
      <c r="I26" s="504">
        <v>0</v>
      </c>
      <c r="J26" s="639" t="s">
        <v>161</v>
      </c>
    </row>
    <row r="27" spans="1:10">
      <c r="A27" s="636">
        <v>600</v>
      </c>
      <c r="B27" s="637">
        <v>200</v>
      </c>
      <c r="C27" s="637">
        <v>100</v>
      </c>
      <c r="D27" s="643">
        <v>400</v>
      </c>
      <c r="E27" s="643"/>
      <c r="F27" s="643"/>
      <c r="G27" s="203" t="s">
        <v>162</v>
      </c>
      <c r="H27" s="504">
        <v>0</v>
      </c>
      <c r="I27" s="504">
        <v>10073</v>
      </c>
      <c r="J27" s="639" t="s">
        <v>163</v>
      </c>
    </row>
    <row r="28" spans="1:10" ht="27.6">
      <c r="A28" s="636">
        <v>600</v>
      </c>
      <c r="B28" s="637">
        <v>200</v>
      </c>
      <c r="C28" s="637">
        <v>200</v>
      </c>
      <c r="D28" s="637"/>
      <c r="E28" s="637"/>
      <c r="F28" s="637"/>
      <c r="G28" s="638" t="s">
        <v>164</v>
      </c>
      <c r="H28" s="505">
        <v>0</v>
      </c>
      <c r="I28" s="505">
        <v>0</v>
      </c>
      <c r="J28" s="639" t="s">
        <v>165</v>
      </c>
    </row>
    <row r="29" spans="1:10" ht="27.6">
      <c r="A29" s="636">
        <v>600</v>
      </c>
      <c r="B29" s="637">
        <v>200</v>
      </c>
      <c r="C29" s="637">
        <v>200</v>
      </c>
      <c r="D29" s="643">
        <v>100</v>
      </c>
      <c r="E29" s="643"/>
      <c r="F29" s="643"/>
      <c r="G29" s="203" t="s">
        <v>166</v>
      </c>
      <c r="H29" s="504">
        <v>0</v>
      </c>
      <c r="I29" s="504">
        <v>0</v>
      </c>
      <c r="J29" s="639" t="s">
        <v>167</v>
      </c>
    </row>
    <row r="30" spans="1:10" ht="27.6">
      <c r="A30" s="636">
        <v>600</v>
      </c>
      <c r="B30" s="637">
        <v>200</v>
      </c>
      <c r="C30" s="637">
        <v>200</v>
      </c>
      <c r="D30" s="643">
        <v>200</v>
      </c>
      <c r="E30" s="643"/>
      <c r="F30" s="643"/>
      <c r="G30" s="203" t="s">
        <v>168</v>
      </c>
      <c r="H30" s="504">
        <v>0</v>
      </c>
      <c r="I30" s="504">
        <v>0</v>
      </c>
      <c r="J30" s="639" t="s">
        <v>169</v>
      </c>
    </row>
    <row r="31" spans="1:10" ht="27.6">
      <c r="A31" s="636">
        <v>600</v>
      </c>
      <c r="B31" s="637">
        <v>200</v>
      </c>
      <c r="C31" s="637">
        <v>300</v>
      </c>
      <c r="D31" s="637"/>
      <c r="E31" s="637"/>
      <c r="F31" s="637"/>
      <c r="G31" s="638" t="s">
        <v>170</v>
      </c>
      <c r="H31" s="505">
        <v>0</v>
      </c>
      <c r="I31" s="505">
        <v>0</v>
      </c>
      <c r="J31" s="639" t="s">
        <v>171</v>
      </c>
    </row>
    <row r="32" spans="1:10">
      <c r="A32" s="636">
        <v>600</v>
      </c>
      <c r="B32" s="637">
        <v>200</v>
      </c>
      <c r="C32" s="637">
        <v>300</v>
      </c>
      <c r="D32" s="637">
        <v>50</v>
      </c>
      <c r="E32" s="637"/>
      <c r="F32" s="637"/>
      <c r="G32" s="203" t="s">
        <v>172</v>
      </c>
      <c r="H32" s="624">
        <v>0</v>
      </c>
      <c r="I32" s="624">
        <v>0</v>
      </c>
      <c r="J32" s="644" t="s">
        <v>173</v>
      </c>
    </row>
    <row r="33" spans="1:10">
      <c r="A33" s="636">
        <v>600</v>
      </c>
      <c r="B33" s="637">
        <v>200</v>
      </c>
      <c r="C33" s="637">
        <v>300</v>
      </c>
      <c r="D33" s="637">
        <v>100</v>
      </c>
      <c r="E33" s="637"/>
      <c r="F33" s="637"/>
      <c r="G33" s="638" t="s">
        <v>174</v>
      </c>
      <c r="H33" s="505">
        <v>0</v>
      </c>
      <c r="I33" s="505">
        <v>0</v>
      </c>
      <c r="J33" s="639" t="s">
        <v>175</v>
      </c>
    </row>
    <row r="34" spans="1:10">
      <c r="A34" s="636">
        <v>600</v>
      </c>
      <c r="B34" s="637">
        <v>200</v>
      </c>
      <c r="C34" s="637">
        <v>300</v>
      </c>
      <c r="D34" s="637">
        <v>100</v>
      </c>
      <c r="E34" s="640">
        <v>10</v>
      </c>
      <c r="F34" s="640"/>
      <c r="G34" s="203" t="s">
        <v>176</v>
      </c>
      <c r="H34" s="504">
        <v>0</v>
      </c>
      <c r="I34" s="504">
        <v>0</v>
      </c>
      <c r="J34" s="641"/>
    </row>
    <row r="35" spans="1:10">
      <c r="A35" s="636">
        <v>600</v>
      </c>
      <c r="B35" s="637">
        <v>200</v>
      </c>
      <c r="C35" s="637">
        <v>300</v>
      </c>
      <c r="D35" s="637">
        <v>100</v>
      </c>
      <c r="E35" s="640">
        <v>20</v>
      </c>
      <c r="F35" s="640"/>
      <c r="G35" s="203" t="s">
        <v>177</v>
      </c>
      <c r="H35" s="504">
        <v>0</v>
      </c>
      <c r="I35" s="504">
        <v>0</v>
      </c>
      <c r="J35" s="641"/>
    </row>
    <row r="36" spans="1:10" ht="27.6">
      <c r="A36" s="636">
        <v>600</v>
      </c>
      <c r="B36" s="637">
        <v>200</v>
      </c>
      <c r="C36" s="637">
        <v>300</v>
      </c>
      <c r="D36" s="637">
        <v>100</v>
      </c>
      <c r="E36" s="640">
        <v>30</v>
      </c>
      <c r="F36" s="640"/>
      <c r="G36" s="203" t="s">
        <v>178</v>
      </c>
      <c r="H36" s="504">
        <v>0</v>
      </c>
      <c r="I36" s="504">
        <v>0</v>
      </c>
      <c r="J36" s="641"/>
    </row>
    <row r="37" spans="1:10">
      <c r="A37" s="636">
        <v>600</v>
      </c>
      <c r="B37" s="637">
        <v>200</v>
      </c>
      <c r="C37" s="637">
        <v>300</v>
      </c>
      <c r="D37" s="637">
        <v>100</v>
      </c>
      <c r="E37" s="640">
        <v>40</v>
      </c>
      <c r="F37" s="640"/>
      <c r="G37" s="203" t="s">
        <v>179</v>
      </c>
      <c r="H37" s="504">
        <v>0</v>
      </c>
      <c r="I37" s="504">
        <v>0</v>
      </c>
      <c r="J37" s="641"/>
    </row>
    <row r="38" spans="1:10" ht="27.6">
      <c r="A38" s="636">
        <v>600</v>
      </c>
      <c r="B38" s="637">
        <v>200</v>
      </c>
      <c r="C38" s="637">
        <v>300</v>
      </c>
      <c r="D38" s="637">
        <v>100</v>
      </c>
      <c r="E38" s="640">
        <v>80</v>
      </c>
      <c r="F38" s="645"/>
      <c r="G38" s="203" t="s">
        <v>180</v>
      </c>
      <c r="H38" s="504">
        <v>0</v>
      </c>
      <c r="I38" s="504">
        <v>0</v>
      </c>
      <c r="J38" s="641"/>
    </row>
    <row r="39" spans="1:10" ht="27.6">
      <c r="A39" s="636">
        <v>600</v>
      </c>
      <c r="B39" s="637">
        <v>200</v>
      </c>
      <c r="C39" s="637">
        <v>300</v>
      </c>
      <c r="D39" s="637">
        <v>100</v>
      </c>
      <c r="E39" s="640">
        <v>90</v>
      </c>
      <c r="F39" s="640"/>
      <c r="G39" s="203" t="s">
        <v>181</v>
      </c>
      <c r="H39" s="504">
        <v>0</v>
      </c>
      <c r="I39" s="504">
        <v>0</v>
      </c>
      <c r="J39" s="641"/>
    </row>
    <row r="40" spans="1:10">
      <c r="A40" s="636">
        <v>600</v>
      </c>
      <c r="B40" s="637">
        <v>200</v>
      </c>
      <c r="C40" s="637">
        <v>300</v>
      </c>
      <c r="D40" s="637">
        <v>200</v>
      </c>
      <c r="E40" s="643"/>
      <c r="F40" s="643"/>
      <c r="G40" s="203" t="s">
        <v>182</v>
      </c>
      <c r="H40" s="504">
        <v>0</v>
      </c>
      <c r="I40" s="504">
        <v>0</v>
      </c>
      <c r="J40" s="639" t="s">
        <v>183</v>
      </c>
    </row>
    <row r="41" spans="1:10">
      <c r="A41" s="636">
        <v>600</v>
      </c>
      <c r="B41" s="637">
        <v>200</v>
      </c>
      <c r="C41" s="637">
        <v>300</v>
      </c>
      <c r="D41" s="637">
        <v>300</v>
      </c>
      <c r="E41" s="643"/>
      <c r="F41" s="643"/>
      <c r="G41" s="203" t="s">
        <v>184</v>
      </c>
      <c r="H41" s="504">
        <v>0</v>
      </c>
      <c r="I41" s="504">
        <v>0</v>
      </c>
      <c r="J41" s="639" t="s">
        <v>185</v>
      </c>
    </row>
    <row r="42" spans="1:10" ht="55.2">
      <c r="A42" s="636">
        <v>600</v>
      </c>
      <c r="B42" s="637">
        <v>200</v>
      </c>
      <c r="C42" s="637">
        <v>300</v>
      </c>
      <c r="D42" s="643">
        <v>400</v>
      </c>
      <c r="E42" s="643"/>
      <c r="F42" s="643"/>
      <c r="G42" s="203" t="s">
        <v>186</v>
      </c>
      <c r="H42" s="504">
        <v>0</v>
      </c>
      <c r="I42" s="504">
        <v>0</v>
      </c>
      <c r="J42" s="639" t="s">
        <v>187</v>
      </c>
    </row>
    <row r="43" spans="1:10">
      <c r="A43" s="636">
        <v>600</v>
      </c>
      <c r="B43" s="637">
        <v>300</v>
      </c>
      <c r="C43" s="637"/>
      <c r="D43" s="637"/>
      <c r="E43" s="637"/>
      <c r="F43" s="637"/>
      <c r="G43" s="638" t="s">
        <v>188</v>
      </c>
      <c r="H43" s="505">
        <v>0</v>
      </c>
      <c r="I43" s="505">
        <v>0</v>
      </c>
      <c r="J43" s="639" t="s">
        <v>189</v>
      </c>
    </row>
    <row r="44" spans="1:10">
      <c r="A44" s="636">
        <v>600</v>
      </c>
      <c r="B44" s="637">
        <v>300</v>
      </c>
      <c r="C44" s="643">
        <v>100</v>
      </c>
      <c r="D44" s="643"/>
      <c r="E44" s="643"/>
      <c r="F44" s="643"/>
      <c r="G44" s="203" t="s">
        <v>190</v>
      </c>
      <c r="H44" s="504">
        <v>3176102.96</v>
      </c>
      <c r="I44" s="504">
        <v>3223609</v>
      </c>
      <c r="J44" s="639" t="s">
        <v>191</v>
      </c>
    </row>
    <row r="45" spans="1:10">
      <c r="A45" s="636">
        <v>600</v>
      </c>
      <c r="B45" s="637">
        <v>300</v>
      </c>
      <c r="C45" s="643">
        <v>200</v>
      </c>
      <c r="D45" s="643"/>
      <c r="E45" s="643"/>
      <c r="F45" s="643"/>
      <c r="G45" s="203" t="s">
        <v>192</v>
      </c>
      <c r="H45" s="504">
        <v>3980892.71</v>
      </c>
      <c r="I45" s="504">
        <v>3041725</v>
      </c>
      <c r="J45" s="639" t="s">
        <v>193</v>
      </c>
    </row>
    <row r="46" spans="1:10">
      <c r="A46" s="636">
        <v>600</v>
      </c>
      <c r="B46" s="637">
        <v>300</v>
      </c>
      <c r="C46" s="637">
        <v>300</v>
      </c>
      <c r="D46" s="637"/>
      <c r="E46" s="637"/>
      <c r="F46" s="637"/>
      <c r="G46" s="638" t="s">
        <v>194</v>
      </c>
      <c r="H46" s="607">
        <v>0</v>
      </c>
      <c r="I46" s="607">
        <v>0</v>
      </c>
      <c r="J46" s="639" t="s">
        <v>195</v>
      </c>
    </row>
    <row r="47" spans="1:10">
      <c r="A47" s="636">
        <v>600</v>
      </c>
      <c r="B47" s="637">
        <v>300</v>
      </c>
      <c r="C47" s="637">
        <v>300</v>
      </c>
      <c r="D47" s="640">
        <v>100</v>
      </c>
      <c r="E47" s="640"/>
      <c r="F47" s="640"/>
      <c r="G47" s="203" t="s">
        <v>196</v>
      </c>
      <c r="H47" s="504">
        <v>32960</v>
      </c>
      <c r="I47" s="504">
        <v>1056712</v>
      </c>
      <c r="J47" s="641"/>
    </row>
    <row r="48" spans="1:10">
      <c r="A48" s="636">
        <v>600</v>
      </c>
      <c r="B48" s="637">
        <v>300</v>
      </c>
      <c r="C48" s="637">
        <v>300</v>
      </c>
      <c r="D48" s="640">
        <v>900</v>
      </c>
      <c r="E48" s="640"/>
      <c r="F48" s="640"/>
      <c r="G48" s="203" t="s">
        <v>197</v>
      </c>
      <c r="H48" s="504">
        <v>1277835.76</v>
      </c>
      <c r="I48" s="504">
        <v>771767</v>
      </c>
      <c r="J48" s="641"/>
    </row>
    <row r="49" spans="1:10">
      <c r="A49" s="636">
        <v>600</v>
      </c>
      <c r="B49" s="637">
        <v>300</v>
      </c>
      <c r="C49" s="643">
        <v>400</v>
      </c>
      <c r="D49" s="643"/>
      <c r="E49" s="643"/>
      <c r="F49" s="643"/>
      <c r="G49" s="203" t="s">
        <v>198</v>
      </c>
      <c r="H49" s="504">
        <v>481048.5</v>
      </c>
      <c r="I49" s="504">
        <v>350700</v>
      </c>
      <c r="J49" s="639" t="s">
        <v>199</v>
      </c>
    </row>
    <row r="50" spans="1:10">
      <c r="A50" s="636">
        <v>600</v>
      </c>
      <c r="B50" s="643">
        <v>400</v>
      </c>
      <c r="C50" s="643"/>
      <c r="D50" s="643"/>
      <c r="E50" s="643"/>
      <c r="F50" s="643"/>
      <c r="G50" s="203" t="s">
        <v>200</v>
      </c>
      <c r="H50" s="504">
        <v>5000</v>
      </c>
      <c r="I50" s="504">
        <v>23618</v>
      </c>
      <c r="J50" s="639" t="s">
        <v>201</v>
      </c>
    </row>
    <row r="51" spans="1:10" ht="27.6">
      <c r="A51" s="632">
        <v>610</v>
      </c>
      <c r="B51" s="633">
        <v>0</v>
      </c>
      <c r="C51" s="633">
        <v>0</v>
      </c>
      <c r="D51" s="633">
        <v>0</v>
      </c>
      <c r="E51" s="633">
        <v>0</v>
      </c>
      <c r="F51" s="633">
        <v>0</v>
      </c>
      <c r="G51" s="646" t="s">
        <v>202</v>
      </c>
      <c r="H51" s="607">
        <v>0</v>
      </c>
      <c r="I51" s="607">
        <v>0</v>
      </c>
      <c r="J51" s="635" t="s">
        <v>203</v>
      </c>
    </row>
    <row r="52" spans="1:10" ht="41.4">
      <c r="A52" s="636">
        <v>610</v>
      </c>
      <c r="B52" s="643">
        <v>100</v>
      </c>
      <c r="C52" s="643"/>
      <c r="D52" s="643"/>
      <c r="E52" s="643"/>
      <c r="F52" s="643"/>
      <c r="G52" s="203" t="s">
        <v>204</v>
      </c>
      <c r="H52" s="504">
        <v>0</v>
      </c>
      <c r="I52" s="504">
        <v>0</v>
      </c>
      <c r="J52" s="639" t="s">
        <v>205</v>
      </c>
    </row>
    <row r="53" spans="1:10" ht="27.6">
      <c r="A53" s="636">
        <v>610</v>
      </c>
      <c r="B53" s="643">
        <v>200</v>
      </c>
      <c r="C53" s="643"/>
      <c r="D53" s="643"/>
      <c r="E53" s="643"/>
      <c r="F53" s="643"/>
      <c r="G53" s="203" t="s">
        <v>206</v>
      </c>
      <c r="H53" s="504">
        <v>0</v>
      </c>
      <c r="I53" s="504">
        <v>0</v>
      </c>
      <c r="J53" s="639" t="s">
        <v>207</v>
      </c>
    </row>
    <row r="54" spans="1:10" ht="27.6">
      <c r="A54" s="632">
        <v>620</v>
      </c>
      <c r="B54" s="633">
        <v>0</v>
      </c>
      <c r="C54" s="633">
        <v>0</v>
      </c>
      <c r="D54" s="633">
        <v>0</v>
      </c>
      <c r="E54" s="633">
        <v>0</v>
      </c>
      <c r="F54" s="633">
        <v>0</v>
      </c>
      <c r="G54" s="646" t="s">
        <v>208</v>
      </c>
      <c r="H54" s="332">
        <v>0</v>
      </c>
      <c r="I54" s="332">
        <v>0</v>
      </c>
      <c r="J54" s="647" t="s">
        <v>209</v>
      </c>
    </row>
    <row r="55" spans="1:10" ht="41.4">
      <c r="A55" s="636">
        <v>620</v>
      </c>
      <c r="B55" s="643">
        <v>50</v>
      </c>
      <c r="C55" s="643"/>
      <c r="D55" s="643"/>
      <c r="E55" s="643"/>
      <c r="F55" s="643"/>
      <c r="G55" s="203" t="s">
        <v>210</v>
      </c>
      <c r="H55" s="613">
        <v>0</v>
      </c>
      <c r="I55" s="613">
        <v>0</v>
      </c>
      <c r="J55" s="648" t="s">
        <v>211</v>
      </c>
    </row>
    <row r="56" spans="1:10" ht="41.4">
      <c r="A56" s="636">
        <v>620</v>
      </c>
      <c r="B56" s="643">
        <v>100</v>
      </c>
      <c r="C56" s="643"/>
      <c r="D56" s="643"/>
      <c r="E56" s="643"/>
      <c r="F56" s="643"/>
      <c r="G56" s="203" t="s">
        <v>212</v>
      </c>
      <c r="H56" s="504">
        <v>0</v>
      </c>
      <c r="I56" s="504">
        <v>44038</v>
      </c>
      <c r="J56" s="639" t="s">
        <v>213</v>
      </c>
    </row>
    <row r="57" spans="1:10" ht="27.6">
      <c r="A57" s="636">
        <v>620</v>
      </c>
      <c r="B57" s="643">
        <v>200</v>
      </c>
      <c r="C57" s="643"/>
      <c r="D57" s="643"/>
      <c r="E57" s="643"/>
      <c r="F57" s="643"/>
      <c r="G57" s="203" t="s">
        <v>214</v>
      </c>
      <c r="H57" s="504">
        <v>25010</v>
      </c>
      <c r="I57" s="504">
        <v>24400</v>
      </c>
      <c r="J57" s="639" t="s">
        <v>215</v>
      </c>
    </row>
    <row r="58" spans="1:10" ht="27.6">
      <c r="A58" s="636">
        <v>620</v>
      </c>
      <c r="B58" s="643">
        <v>300</v>
      </c>
      <c r="C58" s="643"/>
      <c r="D58" s="643"/>
      <c r="E58" s="643"/>
      <c r="F58" s="643"/>
      <c r="G58" s="203" t="s">
        <v>216</v>
      </c>
      <c r="H58" s="504">
        <v>1628605.86</v>
      </c>
      <c r="I58" s="504">
        <v>1086357</v>
      </c>
      <c r="J58" s="639" t="s">
        <v>217</v>
      </c>
    </row>
    <row r="59" spans="1:10" ht="27.6">
      <c r="A59" s="636">
        <v>620</v>
      </c>
      <c r="B59" s="643">
        <v>400</v>
      </c>
      <c r="C59" s="643"/>
      <c r="D59" s="643"/>
      <c r="E59" s="643"/>
      <c r="F59" s="643"/>
      <c r="G59" s="203" t="s">
        <v>218</v>
      </c>
      <c r="H59" s="504">
        <v>19666.7</v>
      </c>
      <c r="I59" s="504">
        <v>99755</v>
      </c>
      <c r="J59" s="639" t="s">
        <v>219</v>
      </c>
    </row>
    <row r="60" spans="1:10" ht="27.6">
      <c r="A60" s="632">
        <v>630</v>
      </c>
      <c r="B60" s="633">
        <v>0</v>
      </c>
      <c r="C60" s="633">
        <v>0</v>
      </c>
      <c r="D60" s="633">
        <v>0</v>
      </c>
      <c r="E60" s="633">
        <v>0</v>
      </c>
      <c r="F60" s="633">
        <v>0</v>
      </c>
      <c r="G60" s="646" t="s">
        <v>23</v>
      </c>
      <c r="H60" s="607">
        <v>0</v>
      </c>
      <c r="I60" s="607">
        <v>0</v>
      </c>
      <c r="J60" s="635" t="s">
        <v>220</v>
      </c>
    </row>
    <row r="61" spans="1:10" ht="27.6">
      <c r="A61" s="636">
        <v>630</v>
      </c>
      <c r="B61" s="637">
        <v>100</v>
      </c>
      <c r="C61" s="637"/>
      <c r="D61" s="637"/>
      <c r="E61" s="637"/>
      <c r="F61" s="637"/>
      <c r="G61" s="638" t="s">
        <v>221</v>
      </c>
      <c r="H61" s="505">
        <v>0</v>
      </c>
      <c r="I61" s="505">
        <v>0</v>
      </c>
      <c r="J61" s="639" t="s">
        <v>222</v>
      </c>
    </row>
    <row r="62" spans="1:10" ht="41.4">
      <c r="A62" s="636">
        <v>630</v>
      </c>
      <c r="B62" s="637">
        <v>100</v>
      </c>
      <c r="C62" s="637">
        <v>100</v>
      </c>
      <c r="D62" s="637"/>
      <c r="E62" s="637"/>
      <c r="F62" s="637"/>
      <c r="G62" s="638" t="s">
        <v>223</v>
      </c>
      <c r="H62" s="505">
        <v>0</v>
      </c>
      <c r="I62" s="505">
        <v>0</v>
      </c>
      <c r="J62" s="639" t="s">
        <v>224</v>
      </c>
    </row>
    <row r="63" spans="1:10">
      <c r="A63" s="636">
        <v>630</v>
      </c>
      <c r="B63" s="637">
        <v>100</v>
      </c>
      <c r="C63" s="637">
        <v>100</v>
      </c>
      <c r="D63" s="637">
        <v>100</v>
      </c>
      <c r="E63" s="637"/>
      <c r="F63" s="637"/>
      <c r="G63" s="638" t="s">
        <v>225</v>
      </c>
      <c r="H63" s="505">
        <v>0</v>
      </c>
      <c r="I63" s="505">
        <v>0</v>
      </c>
      <c r="J63" s="639" t="s">
        <v>226</v>
      </c>
    </row>
    <row r="64" spans="1:10">
      <c r="A64" s="636">
        <v>630</v>
      </c>
      <c r="B64" s="637">
        <v>100</v>
      </c>
      <c r="C64" s="637">
        <v>100</v>
      </c>
      <c r="D64" s="637">
        <v>100</v>
      </c>
      <c r="E64" s="637">
        <v>10</v>
      </c>
      <c r="F64" s="637"/>
      <c r="G64" s="203" t="s">
        <v>227</v>
      </c>
      <c r="H64" s="606">
        <v>17926340.100000001</v>
      </c>
      <c r="I64" s="606">
        <v>18528336</v>
      </c>
      <c r="J64" s="639"/>
    </row>
    <row r="65" spans="1:10">
      <c r="A65" s="636">
        <v>630</v>
      </c>
      <c r="B65" s="637">
        <v>100</v>
      </c>
      <c r="C65" s="637">
        <v>100</v>
      </c>
      <c r="D65" s="637">
        <v>100</v>
      </c>
      <c r="E65" s="637">
        <v>20</v>
      </c>
      <c r="F65" s="637"/>
      <c r="G65" s="203" t="s">
        <v>228</v>
      </c>
      <c r="H65" s="606">
        <v>56970.77</v>
      </c>
      <c r="I65" s="606">
        <v>206293</v>
      </c>
      <c r="J65" s="639"/>
    </row>
    <row r="66" spans="1:10">
      <c r="A66" s="636">
        <v>630</v>
      </c>
      <c r="B66" s="637">
        <v>100</v>
      </c>
      <c r="C66" s="637">
        <v>100</v>
      </c>
      <c r="D66" s="637">
        <v>200</v>
      </c>
      <c r="E66" s="637"/>
      <c r="F66" s="637"/>
      <c r="G66" s="638" t="s">
        <v>229</v>
      </c>
      <c r="H66" s="505">
        <v>0</v>
      </c>
      <c r="I66" s="505">
        <v>0</v>
      </c>
      <c r="J66" s="639" t="s">
        <v>230</v>
      </c>
    </row>
    <row r="67" spans="1:10">
      <c r="A67" s="636">
        <v>630</v>
      </c>
      <c r="B67" s="637">
        <v>100</v>
      </c>
      <c r="C67" s="637">
        <v>100</v>
      </c>
      <c r="D67" s="637">
        <v>200</v>
      </c>
      <c r="E67" s="640">
        <v>10</v>
      </c>
      <c r="F67" s="640"/>
      <c r="G67" s="203" t="s">
        <v>231</v>
      </c>
      <c r="H67" s="504">
        <v>5018686.0999999996</v>
      </c>
      <c r="I67" s="504">
        <v>4652265</v>
      </c>
      <c r="J67" s="641"/>
    </row>
    <row r="68" spans="1:10" ht="27.6">
      <c r="A68" s="636">
        <v>630</v>
      </c>
      <c r="B68" s="637">
        <v>100</v>
      </c>
      <c r="C68" s="637">
        <v>100</v>
      </c>
      <c r="D68" s="637">
        <v>200</v>
      </c>
      <c r="E68" s="640">
        <v>20</v>
      </c>
      <c r="F68" s="640"/>
      <c r="G68" s="203" t="s">
        <v>232</v>
      </c>
      <c r="H68" s="504">
        <v>585623.96</v>
      </c>
      <c r="I68" s="504">
        <v>484866</v>
      </c>
      <c r="J68" s="641"/>
    </row>
    <row r="69" spans="1:10">
      <c r="A69" s="636">
        <v>630</v>
      </c>
      <c r="B69" s="637">
        <v>100</v>
      </c>
      <c r="C69" s="637">
        <v>100</v>
      </c>
      <c r="D69" s="637">
        <v>250</v>
      </c>
      <c r="E69" s="637"/>
      <c r="F69" s="637"/>
      <c r="G69" s="638" t="s">
        <v>2118</v>
      </c>
      <c r="H69" s="504">
        <v>0</v>
      </c>
      <c r="I69" s="504">
        <v>0</v>
      </c>
      <c r="J69" s="639" t="s">
        <v>233</v>
      </c>
    </row>
    <row r="70" spans="1:10">
      <c r="A70" s="636">
        <v>630</v>
      </c>
      <c r="B70" s="637">
        <v>100</v>
      </c>
      <c r="C70" s="637">
        <v>100</v>
      </c>
      <c r="D70" s="637">
        <v>300</v>
      </c>
      <c r="E70" s="643"/>
      <c r="F70" s="643"/>
      <c r="G70" s="203" t="s">
        <v>234</v>
      </c>
      <c r="H70" s="504">
        <v>0</v>
      </c>
      <c r="I70" s="504">
        <v>0</v>
      </c>
      <c r="J70" s="639" t="s">
        <v>235</v>
      </c>
    </row>
    <row r="71" spans="1:10">
      <c r="A71" s="636">
        <v>630</v>
      </c>
      <c r="B71" s="637">
        <v>100</v>
      </c>
      <c r="C71" s="637">
        <v>100</v>
      </c>
      <c r="D71" s="637">
        <v>400</v>
      </c>
      <c r="E71" s="643"/>
      <c r="F71" s="643"/>
      <c r="G71" s="203" t="s">
        <v>236</v>
      </c>
      <c r="H71" s="504">
        <v>436421.71</v>
      </c>
      <c r="I71" s="504">
        <v>456611</v>
      </c>
      <c r="J71" s="639" t="s">
        <v>237</v>
      </c>
    </row>
    <row r="72" spans="1:10">
      <c r="A72" s="636">
        <v>630</v>
      </c>
      <c r="B72" s="637">
        <v>100</v>
      </c>
      <c r="C72" s="637">
        <v>100</v>
      </c>
      <c r="D72" s="637">
        <v>500</v>
      </c>
      <c r="E72" s="643"/>
      <c r="F72" s="643"/>
      <c r="G72" s="203" t="s">
        <v>238</v>
      </c>
      <c r="H72" s="504">
        <v>0</v>
      </c>
      <c r="I72" s="504">
        <v>0</v>
      </c>
      <c r="J72" s="639" t="s">
        <v>239</v>
      </c>
    </row>
    <row r="73" spans="1:10">
      <c r="A73" s="636">
        <v>630</v>
      </c>
      <c r="B73" s="637">
        <v>100</v>
      </c>
      <c r="C73" s="637">
        <v>100</v>
      </c>
      <c r="D73" s="637">
        <v>600</v>
      </c>
      <c r="E73" s="643"/>
      <c r="F73" s="643"/>
      <c r="G73" s="203" t="s">
        <v>240</v>
      </c>
      <c r="H73" s="504">
        <v>0</v>
      </c>
      <c r="I73" s="504">
        <v>0</v>
      </c>
      <c r="J73" s="639" t="s">
        <v>241</v>
      </c>
    </row>
    <row r="74" spans="1:10">
      <c r="A74" s="636">
        <v>630</v>
      </c>
      <c r="B74" s="637">
        <v>100</v>
      </c>
      <c r="C74" s="637">
        <v>100</v>
      </c>
      <c r="D74" s="637">
        <v>700</v>
      </c>
      <c r="E74" s="643"/>
      <c r="F74" s="643"/>
      <c r="G74" s="203" t="s">
        <v>242</v>
      </c>
      <c r="H74" s="504">
        <v>0</v>
      </c>
      <c r="I74" s="504">
        <v>0</v>
      </c>
      <c r="J74" s="639" t="s">
        <v>243</v>
      </c>
    </row>
    <row r="75" spans="1:10">
      <c r="A75" s="636">
        <v>630</v>
      </c>
      <c r="B75" s="637">
        <v>100</v>
      </c>
      <c r="C75" s="637">
        <v>100</v>
      </c>
      <c r="D75" s="637">
        <v>800</v>
      </c>
      <c r="E75" s="643"/>
      <c r="F75" s="643"/>
      <c r="G75" s="203" t="s">
        <v>244</v>
      </c>
      <c r="H75" s="504">
        <v>0</v>
      </c>
      <c r="I75" s="504">
        <v>0</v>
      </c>
      <c r="J75" s="639" t="s">
        <v>245</v>
      </c>
    </row>
    <row r="76" spans="1:10">
      <c r="A76" s="636">
        <v>630</v>
      </c>
      <c r="B76" s="637">
        <v>100</v>
      </c>
      <c r="C76" s="637">
        <v>100</v>
      </c>
      <c r="D76" s="643">
        <v>810</v>
      </c>
      <c r="E76" s="643"/>
      <c r="F76" s="643"/>
      <c r="G76" s="203" t="s">
        <v>246</v>
      </c>
      <c r="H76" s="504">
        <v>0</v>
      </c>
      <c r="I76" s="504">
        <v>0</v>
      </c>
      <c r="J76" s="639" t="s">
        <v>247</v>
      </c>
    </row>
    <row r="77" spans="1:10">
      <c r="A77" s="636">
        <v>630</v>
      </c>
      <c r="B77" s="637">
        <v>100</v>
      </c>
      <c r="C77" s="637">
        <v>100</v>
      </c>
      <c r="D77" s="643">
        <v>820</v>
      </c>
      <c r="E77" s="643"/>
      <c r="F77" s="643"/>
      <c r="G77" s="203" t="s">
        <v>248</v>
      </c>
      <c r="H77" s="504">
        <v>0</v>
      </c>
      <c r="I77" s="504">
        <v>0</v>
      </c>
      <c r="J77" s="639" t="s">
        <v>249</v>
      </c>
    </row>
    <row r="78" spans="1:10">
      <c r="A78" s="636">
        <v>630</v>
      </c>
      <c r="B78" s="637">
        <v>100</v>
      </c>
      <c r="C78" s="637">
        <v>100</v>
      </c>
      <c r="D78" s="643">
        <v>830</v>
      </c>
      <c r="E78" s="643"/>
      <c r="F78" s="643"/>
      <c r="G78" s="203" t="s">
        <v>250</v>
      </c>
      <c r="H78" s="504">
        <v>0</v>
      </c>
      <c r="I78" s="504">
        <v>0</v>
      </c>
      <c r="J78" s="639" t="s">
        <v>251</v>
      </c>
    </row>
    <row r="79" spans="1:10">
      <c r="A79" s="636">
        <v>630</v>
      </c>
      <c r="B79" s="637">
        <v>100</v>
      </c>
      <c r="C79" s="637">
        <v>100</v>
      </c>
      <c r="D79" s="643">
        <v>840</v>
      </c>
      <c r="E79" s="643"/>
      <c r="F79" s="643"/>
      <c r="G79" s="203" t="s">
        <v>252</v>
      </c>
      <c r="H79" s="504">
        <v>0</v>
      </c>
      <c r="I79" s="504">
        <v>0</v>
      </c>
      <c r="J79" s="639" t="s">
        <v>253</v>
      </c>
    </row>
    <row r="80" spans="1:10">
      <c r="A80" s="636">
        <v>630</v>
      </c>
      <c r="B80" s="637">
        <v>100</v>
      </c>
      <c r="C80" s="637">
        <v>100</v>
      </c>
      <c r="D80" s="643">
        <v>850</v>
      </c>
      <c r="E80" s="643"/>
      <c r="F80" s="643"/>
      <c r="G80" s="203" t="s">
        <v>254</v>
      </c>
      <c r="H80" s="504">
        <v>0</v>
      </c>
      <c r="I80" s="504">
        <v>0</v>
      </c>
      <c r="J80" s="639" t="s">
        <v>255</v>
      </c>
    </row>
    <row r="81" spans="1:10" ht="27.6">
      <c r="A81" s="636">
        <v>630</v>
      </c>
      <c r="B81" s="637">
        <v>100</v>
      </c>
      <c r="C81" s="637">
        <v>100</v>
      </c>
      <c r="D81" s="637">
        <v>900</v>
      </c>
      <c r="E81" s="637"/>
      <c r="F81" s="637"/>
      <c r="G81" s="638" t="s">
        <v>256</v>
      </c>
      <c r="H81" s="505">
        <v>0</v>
      </c>
      <c r="I81" s="505">
        <v>0</v>
      </c>
      <c r="J81" s="639" t="s">
        <v>257</v>
      </c>
    </row>
    <row r="82" spans="1:10">
      <c r="A82" s="636">
        <v>630</v>
      </c>
      <c r="B82" s="637">
        <v>100</v>
      </c>
      <c r="C82" s="637">
        <v>100</v>
      </c>
      <c r="D82" s="637">
        <v>900</v>
      </c>
      <c r="E82" s="643">
        <v>10</v>
      </c>
      <c r="F82" s="643"/>
      <c r="G82" s="203" t="s">
        <v>258</v>
      </c>
      <c r="H82" s="504">
        <v>25416.01</v>
      </c>
      <c r="I82" s="504">
        <v>9772</v>
      </c>
      <c r="J82" s="639"/>
    </row>
    <row r="83" spans="1:10" ht="27.6">
      <c r="A83" s="636">
        <v>630</v>
      </c>
      <c r="B83" s="637">
        <v>100</v>
      </c>
      <c r="C83" s="637">
        <v>100</v>
      </c>
      <c r="D83" s="637">
        <v>900</v>
      </c>
      <c r="E83" s="643">
        <v>90</v>
      </c>
      <c r="F83" s="643"/>
      <c r="G83" s="203" t="s">
        <v>256</v>
      </c>
      <c r="H83" s="504">
        <v>171338.36</v>
      </c>
      <c r="I83" s="504">
        <v>159185</v>
      </c>
      <c r="J83" s="639"/>
    </row>
    <row r="84" spans="1:10" ht="27.6">
      <c r="A84" s="636">
        <v>630</v>
      </c>
      <c r="B84" s="637">
        <v>100</v>
      </c>
      <c r="C84" s="643">
        <v>200</v>
      </c>
      <c r="D84" s="643"/>
      <c r="E84" s="643"/>
      <c r="F84" s="643"/>
      <c r="G84" s="203" t="s">
        <v>259</v>
      </c>
      <c r="H84" s="504">
        <v>0</v>
      </c>
      <c r="I84" s="504">
        <v>0</v>
      </c>
      <c r="J84" s="639" t="s">
        <v>260</v>
      </c>
    </row>
    <row r="85" spans="1:10" ht="27.6">
      <c r="A85" s="636">
        <v>630</v>
      </c>
      <c r="B85" s="637">
        <v>100</v>
      </c>
      <c r="C85" s="637">
        <v>300</v>
      </c>
      <c r="D85" s="637"/>
      <c r="E85" s="637"/>
      <c r="F85" s="637"/>
      <c r="G85" s="638" t="s">
        <v>261</v>
      </c>
      <c r="H85" s="505">
        <v>0</v>
      </c>
      <c r="I85" s="505">
        <v>0</v>
      </c>
      <c r="J85" s="639" t="s">
        <v>262</v>
      </c>
    </row>
    <row r="86" spans="1:10">
      <c r="A86" s="636">
        <v>630</v>
      </c>
      <c r="B86" s="637">
        <v>100</v>
      </c>
      <c r="C86" s="637">
        <v>300</v>
      </c>
      <c r="D86" s="637">
        <v>100</v>
      </c>
      <c r="E86" s="637"/>
      <c r="F86" s="637"/>
      <c r="G86" s="638" t="s">
        <v>225</v>
      </c>
      <c r="H86" s="505">
        <v>0</v>
      </c>
      <c r="I86" s="505">
        <v>0</v>
      </c>
      <c r="J86" s="639" t="s">
        <v>263</v>
      </c>
    </row>
    <row r="87" spans="1:10" ht="27.6">
      <c r="A87" s="636">
        <v>630</v>
      </c>
      <c r="B87" s="637">
        <v>100</v>
      </c>
      <c r="C87" s="637">
        <v>300</v>
      </c>
      <c r="D87" s="637">
        <v>100</v>
      </c>
      <c r="E87" s="640">
        <v>10</v>
      </c>
      <c r="F87" s="640"/>
      <c r="G87" s="203" t="s">
        <v>264</v>
      </c>
      <c r="H87" s="504">
        <v>4665359</v>
      </c>
      <c r="I87" s="504">
        <v>4425810</v>
      </c>
      <c r="J87" s="641"/>
    </row>
    <row r="88" spans="1:10">
      <c r="A88" s="636">
        <v>630</v>
      </c>
      <c r="B88" s="637">
        <v>100</v>
      </c>
      <c r="C88" s="637">
        <v>300</v>
      </c>
      <c r="D88" s="637">
        <v>100</v>
      </c>
      <c r="E88" s="640">
        <v>20</v>
      </c>
      <c r="F88" s="640"/>
      <c r="G88" s="203" t="s">
        <v>228</v>
      </c>
      <c r="H88" s="504">
        <v>0</v>
      </c>
      <c r="I88" s="504">
        <v>0</v>
      </c>
      <c r="J88" s="641"/>
    </row>
    <row r="89" spans="1:10">
      <c r="A89" s="636">
        <v>630</v>
      </c>
      <c r="B89" s="637">
        <v>100</v>
      </c>
      <c r="C89" s="637">
        <v>300</v>
      </c>
      <c r="D89" s="637">
        <v>150</v>
      </c>
      <c r="E89" s="637"/>
      <c r="F89" s="637"/>
      <c r="G89" s="638" t="s">
        <v>265</v>
      </c>
      <c r="H89" s="505">
        <v>0</v>
      </c>
      <c r="I89" s="505">
        <v>0</v>
      </c>
      <c r="J89" s="639" t="s">
        <v>266</v>
      </c>
    </row>
    <row r="90" spans="1:10" ht="27.6">
      <c r="A90" s="636">
        <v>630</v>
      </c>
      <c r="B90" s="637">
        <v>100</v>
      </c>
      <c r="C90" s="637">
        <v>300</v>
      </c>
      <c r="D90" s="637">
        <v>150</v>
      </c>
      <c r="E90" s="640">
        <v>100</v>
      </c>
      <c r="F90" s="640"/>
      <c r="G90" s="203" t="s">
        <v>267</v>
      </c>
      <c r="H90" s="504">
        <v>867818</v>
      </c>
      <c r="I90" s="504">
        <v>841871</v>
      </c>
      <c r="J90" s="641"/>
    </row>
    <row r="91" spans="1:10" ht="27.6">
      <c r="A91" s="636">
        <v>630</v>
      </c>
      <c r="B91" s="637">
        <v>100</v>
      </c>
      <c r="C91" s="637">
        <v>300</v>
      </c>
      <c r="D91" s="637">
        <v>150</v>
      </c>
      <c r="E91" s="640">
        <v>200</v>
      </c>
      <c r="F91" s="640"/>
      <c r="G91" s="203" t="s">
        <v>232</v>
      </c>
      <c r="H91" s="504">
        <v>0</v>
      </c>
      <c r="I91" s="504">
        <v>82182</v>
      </c>
      <c r="J91" s="641"/>
    </row>
    <row r="92" spans="1:10">
      <c r="A92" s="636">
        <v>630</v>
      </c>
      <c r="B92" s="637">
        <v>100</v>
      </c>
      <c r="C92" s="637">
        <v>300</v>
      </c>
      <c r="D92" s="643">
        <v>160</v>
      </c>
      <c r="E92" s="640"/>
      <c r="F92" s="640"/>
      <c r="G92" s="203" t="s">
        <v>268</v>
      </c>
      <c r="H92" s="504">
        <v>0</v>
      </c>
      <c r="I92" s="504">
        <v>0</v>
      </c>
      <c r="J92" s="639" t="s">
        <v>269</v>
      </c>
    </row>
    <row r="93" spans="1:10" ht="27.6">
      <c r="A93" s="636">
        <v>630</v>
      </c>
      <c r="B93" s="637">
        <v>100</v>
      </c>
      <c r="C93" s="637">
        <v>300</v>
      </c>
      <c r="D93" s="643">
        <v>200</v>
      </c>
      <c r="E93" s="643"/>
      <c r="F93" s="643"/>
      <c r="G93" s="203" t="s">
        <v>270</v>
      </c>
      <c r="H93" s="504">
        <v>0</v>
      </c>
      <c r="I93" s="504">
        <v>0</v>
      </c>
      <c r="J93" s="639" t="s">
        <v>271</v>
      </c>
    </row>
    <row r="94" spans="1:10">
      <c r="A94" s="636">
        <v>630</v>
      </c>
      <c r="B94" s="637">
        <v>100</v>
      </c>
      <c r="C94" s="637">
        <v>300</v>
      </c>
      <c r="D94" s="643">
        <v>250</v>
      </c>
      <c r="E94" s="643"/>
      <c r="F94" s="643"/>
      <c r="G94" s="203" t="s">
        <v>236</v>
      </c>
      <c r="H94" s="504">
        <v>0</v>
      </c>
      <c r="I94" s="504">
        <v>0</v>
      </c>
      <c r="J94" s="639" t="s">
        <v>272</v>
      </c>
    </row>
    <row r="95" spans="1:10" ht="27.6">
      <c r="A95" s="636">
        <v>630</v>
      </c>
      <c r="B95" s="637">
        <v>100</v>
      </c>
      <c r="C95" s="637">
        <v>300</v>
      </c>
      <c r="D95" s="643">
        <v>300</v>
      </c>
      <c r="E95" s="643"/>
      <c r="F95" s="643"/>
      <c r="G95" s="203" t="s">
        <v>273</v>
      </c>
      <c r="H95" s="504">
        <v>0</v>
      </c>
      <c r="I95" s="504">
        <v>0</v>
      </c>
      <c r="J95" s="639" t="s">
        <v>274</v>
      </c>
    </row>
    <row r="96" spans="1:10" ht="27.6">
      <c r="A96" s="636">
        <v>630</v>
      </c>
      <c r="B96" s="637">
        <v>100</v>
      </c>
      <c r="C96" s="637">
        <v>300</v>
      </c>
      <c r="D96" s="643">
        <v>350</v>
      </c>
      <c r="E96" s="643"/>
      <c r="F96" s="643"/>
      <c r="G96" s="203" t="s">
        <v>275</v>
      </c>
      <c r="H96" s="504">
        <v>0</v>
      </c>
      <c r="I96" s="504">
        <v>0</v>
      </c>
      <c r="J96" s="639" t="s">
        <v>276</v>
      </c>
    </row>
    <row r="97" spans="1:10">
      <c r="A97" s="636">
        <v>630</v>
      </c>
      <c r="B97" s="637">
        <v>100</v>
      </c>
      <c r="C97" s="637">
        <v>300</v>
      </c>
      <c r="D97" s="643">
        <v>400</v>
      </c>
      <c r="E97" s="643"/>
      <c r="F97" s="643"/>
      <c r="G97" s="203" t="s">
        <v>277</v>
      </c>
      <c r="H97" s="504">
        <v>0</v>
      </c>
      <c r="I97" s="504">
        <v>0</v>
      </c>
      <c r="J97" s="639" t="s">
        <v>278</v>
      </c>
    </row>
    <row r="98" spans="1:10" ht="27.6">
      <c r="A98" s="636">
        <v>630</v>
      </c>
      <c r="B98" s="637">
        <v>100</v>
      </c>
      <c r="C98" s="637">
        <v>300</v>
      </c>
      <c r="D98" s="643">
        <v>450</v>
      </c>
      <c r="E98" s="643"/>
      <c r="F98" s="643"/>
      <c r="G98" s="203" t="s">
        <v>279</v>
      </c>
      <c r="H98" s="504">
        <v>0</v>
      </c>
      <c r="I98" s="504">
        <v>0</v>
      </c>
      <c r="J98" s="639" t="s">
        <v>280</v>
      </c>
    </row>
    <row r="99" spans="1:10" ht="27.6">
      <c r="A99" s="636">
        <v>630</v>
      </c>
      <c r="B99" s="637">
        <v>100</v>
      </c>
      <c r="C99" s="637">
        <v>300</v>
      </c>
      <c r="D99" s="643">
        <v>510</v>
      </c>
      <c r="E99" s="643"/>
      <c r="F99" s="643"/>
      <c r="G99" s="203" t="s">
        <v>281</v>
      </c>
      <c r="H99" s="504">
        <v>0</v>
      </c>
      <c r="I99" s="504">
        <v>0</v>
      </c>
      <c r="J99" s="639" t="s">
        <v>282</v>
      </c>
    </row>
    <row r="100" spans="1:10">
      <c r="A100" s="636">
        <v>630</v>
      </c>
      <c r="B100" s="637">
        <v>100</v>
      </c>
      <c r="C100" s="637">
        <v>300</v>
      </c>
      <c r="D100" s="643">
        <v>520</v>
      </c>
      <c r="E100" s="643"/>
      <c r="F100" s="643"/>
      <c r="G100" s="203" t="s">
        <v>283</v>
      </c>
      <c r="H100" s="504">
        <v>0</v>
      </c>
      <c r="I100" s="504">
        <v>0</v>
      </c>
      <c r="J100" s="639" t="s">
        <v>284</v>
      </c>
    </row>
    <row r="101" spans="1:10" ht="27.6">
      <c r="A101" s="636">
        <v>630</v>
      </c>
      <c r="B101" s="637">
        <v>100</v>
      </c>
      <c r="C101" s="637">
        <v>300</v>
      </c>
      <c r="D101" s="643">
        <v>550</v>
      </c>
      <c r="E101" s="643"/>
      <c r="F101" s="643"/>
      <c r="G101" s="203" t="s">
        <v>285</v>
      </c>
      <c r="H101" s="504">
        <v>0</v>
      </c>
      <c r="I101" s="504">
        <v>0</v>
      </c>
      <c r="J101" s="639" t="s">
        <v>286</v>
      </c>
    </row>
    <row r="102" spans="1:10">
      <c r="A102" s="636">
        <v>630</v>
      </c>
      <c r="B102" s="637">
        <v>100</v>
      </c>
      <c r="C102" s="637">
        <v>300</v>
      </c>
      <c r="D102" s="643">
        <v>600</v>
      </c>
      <c r="E102" s="643"/>
      <c r="F102" s="643"/>
      <c r="G102" s="203" t="s">
        <v>288</v>
      </c>
      <c r="H102" s="504">
        <v>0</v>
      </c>
      <c r="I102" s="504">
        <v>0</v>
      </c>
      <c r="J102" s="639" t="s">
        <v>287</v>
      </c>
    </row>
    <row r="103" spans="1:10" ht="27.6">
      <c r="A103" s="636">
        <v>630</v>
      </c>
      <c r="B103" s="637">
        <v>100</v>
      </c>
      <c r="C103" s="637">
        <v>300</v>
      </c>
      <c r="D103" s="643">
        <v>610</v>
      </c>
      <c r="E103" s="643"/>
      <c r="F103" s="643"/>
      <c r="G103" s="203" t="s">
        <v>289</v>
      </c>
      <c r="H103" s="504">
        <v>0</v>
      </c>
      <c r="I103" s="504">
        <v>407</v>
      </c>
      <c r="J103" s="639" t="s">
        <v>290</v>
      </c>
    </row>
    <row r="104" spans="1:10" ht="27.6">
      <c r="A104" s="636">
        <v>630</v>
      </c>
      <c r="B104" s="637">
        <v>100</v>
      </c>
      <c r="C104" s="637">
        <v>300</v>
      </c>
      <c r="D104" s="637">
        <v>650</v>
      </c>
      <c r="E104" s="637"/>
      <c r="F104" s="637"/>
      <c r="G104" s="638" t="s">
        <v>291</v>
      </c>
      <c r="H104" s="505">
        <v>0</v>
      </c>
      <c r="I104" s="505">
        <v>0</v>
      </c>
      <c r="J104" s="639" t="s">
        <v>292</v>
      </c>
    </row>
    <row r="105" spans="1:10" ht="27.6">
      <c r="A105" s="636">
        <v>630</v>
      </c>
      <c r="B105" s="637">
        <v>100</v>
      </c>
      <c r="C105" s="637">
        <v>300</v>
      </c>
      <c r="D105" s="637">
        <v>650</v>
      </c>
      <c r="E105" s="643">
        <v>10</v>
      </c>
      <c r="F105" s="643"/>
      <c r="G105" s="203" t="s">
        <v>293</v>
      </c>
      <c r="H105" s="504">
        <v>0</v>
      </c>
      <c r="I105" s="504">
        <v>0</v>
      </c>
      <c r="J105" s="639" t="s">
        <v>294</v>
      </c>
    </row>
    <row r="106" spans="1:10" ht="27.6">
      <c r="A106" s="636">
        <v>630</v>
      </c>
      <c r="B106" s="637">
        <v>100</v>
      </c>
      <c r="C106" s="637">
        <v>300</v>
      </c>
      <c r="D106" s="637">
        <v>650</v>
      </c>
      <c r="E106" s="637">
        <v>20</v>
      </c>
      <c r="F106" s="637"/>
      <c r="G106" s="638" t="s">
        <v>295</v>
      </c>
      <c r="H106" s="505">
        <v>0</v>
      </c>
      <c r="I106" s="505">
        <v>0</v>
      </c>
      <c r="J106" s="639" t="s">
        <v>296</v>
      </c>
    </row>
    <row r="107" spans="1:10">
      <c r="A107" s="636">
        <v>630</v>
      </c>
      <c r="B107" s="637">
        <v>100</v>
      </c>
      <c r="C107" s="637">
        <v>300</v>
      </c>
      <c r="D107" s="637">
        <v>650</v>
      </c>
      <c r="E107" s="637">
        <v>20</v>
      </c>
      <c r="F107" s="640">
        <v>10</v>
      </c>
      <c r="G107" s="203" t="s">
        <v>258</v>
      </c>
      <c r="H107" s="504">
        <v>0</v>
      </c>
      <c r="I107" s="504">
        <v>0</v>
      </c>
      <c r="J107" s="641"/>
    </row>
    <row r="108" spans="1:10" ht="27.6">
      <c r="A108" s="636">
        <v>630</v>
      </c>
      <c r="B108" s="637">
        <v>100</v>
      </c>
      <c r="C108" s="637">
        <v>300</v>
      </c>
      <c r="D108" s="637">
        <v>650</v>
      </c>
      <c r="E108" s="637">
        <v>20</v>
      </c>
      <c r="F108" s="640">
        <v>20</v>
      </c>
      <c r="G108" s="203" t="s">
        <v>295</v>
      </c>
      <c r="H108" s="504">
        <v>123050.96</v>
      </c>
      <c r="I108" s="504">
        <v>86742</v>
      </c>
      <c r="J108" s="641"/>
    </row>
    <row r="109" spans="1:10" ht="27.6">
      <c r="A109" s="636">
        <v>630</v>
      </c>
      <c r="B109" s="637">
        <v>100</v>
      </c>
      <c r="C109" s="637">
        <v>300</v>
      </c>
      <c r="D109" s="643">
        <v>700</v>
      </c>
      <c r="E109" s="643"/>
      <c r="F109" s="643"/>
      <c r="G109" s="203" t="s">
        <v>297</v>
      </c>
      <c r="H109" s="504">
        <v>28529</v>
      </c>
      <c r="I109" s="504">
        <v>49425</v>
      </c>
      <c r="J109" s="639" t="s">
        <v>298</v>
      </c>
    </row>
    <row r="110" spans="1:10" ht="27.6">
      <c r="A110" s="636">
        <v>630</v>
      </c>
      <c r="B110" s="637">
        <v>100</v>
      </c>
      <c r="C110" s="637">
        <v>300</v>
      </c>
      <c r="D110" s="643">
        <v>800</v>
      </c>
      <c r="E110" s="643"/>
      <c r="F110" s="643"/>
      <c r="G110" s="203" t="s">
        <v>299</v>
      </c>
      <c r="H110" s="504">
        <v>0</v>
      </c>
      <c r="I110" s="504">
        <v>0</v>
      </c>
      <c r="J110" s="639" t="s">
        <v>300</v>
      </c>
    </row>
    <row r="111" spans="1:10" ht="41.4">
      <c r="A111" s="636">
        <v>630</v>
      </c>
      <c r="B111" s="637">
        <v>100</v>
      </c>
      <c r="C111" s="637">
        <v>300</v>
      </c>
      <c r="D111" s="643">
        <v>900</v>
      </c>
      <c r="E111" s="643"/>
      <c r="F111" s="643"/>
      <c r="G111" s="203" t="s">
        <v>301</v>
      </c>
      <c r="H111" s="504">
        <v>0</v>
      </c>
      <c r="I111" s="504">
        <v>0</v>
      </c>
      <c r="J111" s="639" t="s">
        <v>302</v>
      </c>
    </row>
    <row r="112" spans="1:10" ht="41.4">
      <c r="A112" s="636">
        <v>630</v>
      </c>
      <c r="B112" s="637">
        <v>200</v>
      </c>
      <c r="C112" s="637"/>
      <c r="D112" s="637"/>
      <c r="E112" s="637"/>
      <c r="F112" s="637"/>
      <c r="G112" s="638" t="s">
        <v>303</v>
      </c>
      <c r="H112" s="505">
        <v>0</v>
      </c>
      <c r="I112" s="505">
        <v>0</v>
      </c>
      <c r="J112" s="639" t="s">
        <v>304</v>
      </c>
    </row>
    <row r="113" spans="1:10" ht="27.6">
      <c r="A113" s="636">
        <v>630</v>
      </c>
      <c r="B113" s="637">
        <v>200</v>
      </c>
      <c r="C113" s="643">
        <v>100</v>
      </c>
      <c r="D113" s="643"/>
      <c r="E113" s="643"/>
      <c r="F113" s="643"/>
      <c r="G113" s="203" t="s">
        <v>305</v>
      </c>
      <c r="H113" s="504">
        <v>0</v>
      </c>
      <c r="I113" s="504">
        <v>0</v>
      </c>
      <c r="J113" s="639" t="s">
        <v>306</v>
      </c>
    </row>
    <row r="114" spans="1:10" ht="27.6">
      <c r="A114" s="636">
        <v>630</v>
      </c>
      <c r="B114" s="637">
        <v>200</v>
      </c>
      <c r="C114" s="643">
        <v>200</v>
      </c>
      <c r="D114" s="643"/>
      <c r="E114" s="643"/>
      <c r="F114" s="643"/>
      <c r="G114" s="203" t="s">
        <v>307</v>
      </c>
      <c r="H114" s="504">
        <v>0</v>
      </c>
      <c r="I114" s="504">
        <v>0</v>
      </c>
      <c r="J114" s="639" t="s">
        <v>308</v>
      </c>
    </row>
    <row r="115" spans="1:10" ht="27.6">
      <c r="A115" s="636">
        <v>630</v>
      </c>
      <c r="B115" s="637">
        <v>200</v>
      </c>
      <c r="C115" s="643">
        <v>250</v>
      </c>
      <c r="D115" s="643"/>
      <c r="E115" s="643"/>
      <c r="F115" s="643"/>
      <c r="G115" s="203" t="s">
        <v>309</v>
      </c>
      <c r="H115" s="504">
        <v>0</v>
      </c>
      <c r="I115" s="504">
        <v>0</v>
      </c>
      <c r="J115" s="639" t="s">
        <v>310</v>
      </c>
    </row>
    <row r="116" spans="1:10" ht="27.6">
      <c r="A116" s="636">
        <v>630</v>
      </c>
      <c r="B116" s="637">
        <v>200</v>
      </c>
      <c r="C116" s="643">
        <v>300</v>
      </c>
      <c r="D116" s="643"/>
      <c r="E116" s="643"/>
      <c r="F116" s="643"/>
      <c r="G116" s="203" t="s">
        <v>311</v>
      </c>
      <c r="H116" s="504">
        <v>0</v>
      </c>
      <c r="I116" s="504">
        <v>0</v>
      </c>
      <c r="J116" s="639" t="s">
        <v>312</v>
      </c>
    </row>
    <row r="117" spans="1:10" ht="41.4">
      <c r="A117" s="636">
        <v>630</v>
      </c>
      <c r="B117" s="637">
        <v>200</v>
      </c>
      <c r="C117" s="643">
        <v>400</v>
      </c>
      <c r="D117" s="643"/>
      <c r="E117" s="643"/>
      <c r="F117" s="643"/>
      <c r="G117" s="203" t="s">
        <v>313</v>
      </c>
      <c r="H117" s="504">
        <v>0</v>
      </c>
      <c r="I117" s="504">
        <v>0</v>
      </c>
      <c r="J117" s="639" t="s">
        <v>314</v>
      </c>
    </row>
    <row r="118" spans="1:10" ht="27.6">
      <c r="A118" s="636">
        <v>630</v>
      </c>
      <c r="B118" s="637">
        <v>300</v>
      </c>
      <c r="C118" s="637"/>
      <c r="D118" s="637"/>
      <c r="E118" s="637"/>
      <c r="F118" s="637"/>
      <c r="G118" s="638" t="s">
        <v>315</v>
      </c>
      <c r="H118" s="505">
        <v>0</v>
      </c>
      <c r="I118" s="505">
        <v>0</v>
      </c>
      <c r="J118" s="639" t="s">
        <v>316</v>
      </c>
    </row>
    <row r="119" spans="1:10">
      <c r="A119" s="636">
        <v>630</v>
      </c>
      <c r="B119" s="637">
        <v>300</v>
      </c>
      <c r="C119" s="649">
        <v>100</v>
      </c>
      <c r="D119" s="649"/>
      <c r="E119" s="649"/>
      <c r="F119" s="649"/>
      <c r="G119" s="638" t="s">
        <v>317</v>
      </c>
      <c r="H119" s="505">
        <v>0</v>
      </c>
      <c r="I119" s="505">
        <v>0</v>
      </c>
      <c r="J119" s="641"/>
    </row>
    <row r="120" spans="1:10">
      <c r="A120" s="636">
        <v>630</v>
      </c>
      <c r="B120" s="637">
        <v>300</v>
      </c>
      <c r="C120" s="649">
        <v>100</v>
      </c>
      <c r="D120" s="640">
        <v>100</v>
      </c>
      <c r="E120" s="640"/>
      <c r="F120" s="640"/>
      <c r="G120" s="203" t="s">
        <v>225</v>
      </c>
      <c r="H120" s="504">
        <v>606343.66</v>
      </c>
      <c r="I120" s="504">
        <v>1093850</v>
      </c>
      <c r="J120" s="641"/>
    </row>
    <row r="121" spans="1:10">
      <c r="A121" s="636">
        <v>630</v>
      </c>
      <c r="B121" s="637">
        <v>300</v>
      </c>
      <c r="C121" s="649">
        <v>100</v>
      </c>
      <c r="D121" s="640">
        <v>200</v>
      </c>
      <c r="E121" s="640"/>
      <c r="F121" s="640"/>
      <c r="G121" s="203" t="s">
        <v>318</v>
      </c>
      <c r="H121" s="504">
        <v>0</v>
      </c>
      <c r="I121" s="504">
        <v>0</v>
      </c>
      <c r="J121" s="641"/>
    </row>
    <row r="122" spans="1:10">
      <c r="A122" s="636">
        <v>630</v>
      </c>
      <c r="B122" s="637">
        <v>300</v>
      </c>
      <c r="C122" s="649">
        <v>100</v>
      </c>
      <c r="D122" s="640">
        <v>300</v>
      </c>
      <c r="E122" s="640"/>
      <c r="F122" s="640"/>
      <c r="G122" s="203" t="s">
        <v>319</v>
      </c>
      <c r="H122" s="504">
        <v>0</v>
      </c>
      <c r="I122" s="504">
        <v>0</v>
      </c>
      <c r="J122" s="641"/>
    </row>
    <row r="123" spans="1:10">
      <c r="A123" s="636">
        <v>630</v>
      </c>
      <c r="B123" s="637">
        <v>300</v>
      </c>
      <c r="C123" s="649">
        <v>100</v>
      </c>
      <c r="D123" s="640">
        <v>400</v>
      </c>
      <c r="E123" s="640"/>
      <c r="F123" s="640"/>
      <c r="G123" s="203" t="s">
        <v>265</v>
      </c>
      <c r="H123" s="504">
        <v>228911.54</v>
      </c>
      <c r="I123" s="504">
        <v>304952</v>
      </c>
      <c r="J123" s="641"/>
    </row>
    <row r="124" spans="1:10">
      <c r="A124" s="636">
        <v>630</v>
      </c>
      <c r="B124" s="637">
        <v>300</v>
      </c>
      <c r="C124" s="649">
        <v>100</v>
      </c>
      <c r="D124" s="640">
        <v>500</v>
      </c>
      <c r="E124" s="640"/>
      <c r="F124" s="640"/>
      <c r="G124" s="203" t="s">
        <v>320</v>
      </c>
      <c r="H124" s="504">
        <v>0</v>
      </c>
      <c r="I124" s="504">
        <v>0</v>
      </c>
      <c r="J124" s="641"/>
    </row>
    <row r="125" spans="1:10">
      <c r="A125" s="636">
        <v>630</v>
      </c>
      <c r="B125" s="637">
        <v>300</v>
      </c>
      <c r="C125" s="649">
        <v>100</v>
      </c>
      <c r="D125" s="640">
        <v>600</v>
      </c>
      <c r="E125" s="640"/>
      <c r="F125" s="640"/>
      <c r="G125" s="203" t="s">
        <v>321</v>
      </c>
      <c r="H125" s="504">
        <v>0</v>
      </c>
      <c r="I125" s="504">
        <v>0</v>
      </c>
      <c r="J125" s="641"/>
    </row>
    <row r="126" spans="1:10">
      <c r="A126" s="636">
        <v>630</v>
      </c>
      <c r="B126" s="637">
        <v>300</v>
      </c>
      <c r="C126" s="649">
        <v>100</v>
      </c>
      <c r="D126" s="640">
        <v>900</v>
      </c>
      <c r="E126" s="640"/>
      <c r="F126" s="640"/>
      <c r="G126" s="203" t="s">
        <v>322</v>
      </c>
      <c r="H126" s="504">
        <v>0</v>
      </c>
      <c r="I126" s="504">
        <v>0</v>
      </c>
      <c r="J126" s="641"/>
    </row>
    <row r="127" spans="1:10">
      <c r="A127" s="636">
        <v>630</v>
      </c>
      <c r="B127" s="637">
        <v>300</v>
      </c>
      <c r="C127" s="649">
        <v>200</v>
      </c>
      <c r="D127" s="649"/>
      <c r="E127" s="649"/>
      <c r="F127" s="649"/>
      <c r="G127" s="638" t="s">
        <v>323</v>
      </c>
      <c r="H127" s="505">
        <v>0</v>
      </c>
      <c r="I127" s="505">
        <v>0</v>
      </c>
      <c r="J127" s="641"/>
    </row>
    <row r="128" spans="1:10">
      <c r="A128" s="636">
        <v>630</v>
      </c>
      <c r="B128" s="637">
        <v>300</v>
      </c>
      <c r="C128" s="649">
        <v>200</v>
      </c>
      <c r="D128" s="640">
        <v>50</v>
      </c>
      <c r="E128" s="640"/>
      <c r="F128" s="640"/>
      <c r="G128" s="203" t="s">
        <v>324</v>
      </c>
      <c r="H128" s="504">
        <v>0</v>
      </c>
      <c r="I128" s="504">
        <v>0</v>
      </c>
      <c r="J128" s="641"/>
    </row>
    <row r="129" spans="1:10">
      <c r="A129" s="636">
        <v>630</v>
      </c>
      <c r="B129" s="637">
        <v>300</v>
      </c>
      <c r="C129" s="649">
        <v>200</v>
      </c>
      <c r="D129" s="640">
        <v>100</v>
      </c>
      <c r="E129" s="640"/>
      <c r="F129" s="640"/>
      <c r="G129" s="203" t="s">
        <v>325</v>
      </c>
      <c r="H129" s="504">
        <v>0</v>
      </c>
      <c r="I129" s="504">
        <v>0</v>
      </c>
      <c r="J129" s="641"/>
    </row>
    <row r="130" spans="1:10">
      <c r="A130" s="636">
        <v>630</v>
      </c>
      <c r="B130" s="637">
        <v>300</v>
      </c>
      <c r="C130" s="649">
        <v>200</v>
      </c>
      <c r="D130" s="640">
        <v>150</v>
      </c>
      <c r="E130" s="640"/>
      <c r="F130" s="640"/>
      <c r="G130" s="203" t="s">
        <v>326</v>
      </c>
      <c r="H130" s="504">
        <v>0</v>
      </c>
      <c r="I130" s="504">
        <v>0</v>
      </c>
      <c r="J130" s="641"/>
    </row>
    <row r="131" spans="1:10">
      <c r="A131" s="636">
        <v>630</v>
      </c>
      <c r="B131" s="637">
        <v>300</v>
      </c>
      <c r="C131" s="649">
        <v>200</v>
      </c>
      <c r="D131" s="640">
        <v>200</v>
      </c>
      <c r="E131" s="640"/>
      <c r="F131" s="640"/>
      <c r="G131" s="203" t="s">
        <v>327</v>
      </c>
      <c r="H131" s="504">
        <v>0</v>
      </c>
      <c r="I131" s="504">
        <v>0</v>
      </c>
      <c r="J131" s="641"/>
    </row>
    <row r="132" spans="1:10">
      <c r="A132" s="636">
        <v>630</v>
      </c>
      <c r="B132" s="637">
        <v>300</v>
      </c>
      <c r="C132" s="649">
        <v>200</v>
      </c>
      <c r="D132" s="640">
        <v>250</v>
      </c>
      <c r="E132" s="640"/>
      <c r="F132" s="640"/>
      <c r="G132" s="203" t="s">
        <v>328</v>
      </c>
      <c r="H132" s="504">
        <v>0</v>
      </c>
      <c r="I132" s="504">
        <v>0</v>
      </c>
      <c r="J132" s="641"/>
    </row>
    <row r="133" spans="1:10">
      <c r="A133" s="636">
        <v>630</v>
      </c>
      <c r="B133" s="637">
        <v>300</v>
      </c>
      <c r="C133" s="649">
        <v>200</v>
      </c>
      <c r="D133" s="640">
        <v>300</v>
      </c>
      <c r="E133" s="640"/>
      <c r="F133" s="640"/>
      <c r="G133" s="203" t="s">
        <v>329</v>
      </c>
      <c r="H133" s="504">
        <v>0</v>
      </c>
      <c r="I133" s="504">
        <v>0</v>
      </c>
      <c r="J133" s="641"/>
    </row>
    <row r="134" spans="1:10">
      <c r="A134" s="636">
        <v>630</v>
      </c>
      <c r="B134" s="637">
        <v>300</v>
      </c>
      <c r="C134" s="649">
        <v>200</v>
      </c>
      <c r="D134" s="640">
        <v>350</v>
      </c>
      <c r="E134" s="640"/>
      <c r="F134" s="640"/>
      <c r="G134" s="203" t="s">
        <v>330</v>
      </c>
      <c r="H134" s="504">
        <v>0</v>
      </c>
      <c r="I134" s="504">
        <v>0</v>
      </c>
      <c r="J134" s="641"/>
    </row>
    <row r="135" spans="1:10">
      <c r="A135" s="636">
        <v>630</v>
      </c>
      <c r="B135" s="637">
        <v>300</v>
      </c>
      <c r="C135" s="649">
        <v>200</v>
      </c>
      <c r="D135" s="640">
        <v>400</v>
      </c>
      <c r="E135" s="640"/>
      <c r="F135" s="640"/>
      <c r="G135" s="203" t="s">
        <v>331</v>
      </c>
      <c r="H135" s="504">
        <v>0</v>
      </c>
      <c r="I135" s="504">
        <v>0</v>
      </c>
      <c r="J135" s="641"/>
    </row>
    <row r="136" spans="1:10">
      <c r="A136" s="636">
        <v>630</v>
      </c>
      <c r="B136" s="637">
        <v>300</v>
      </c>
      <c r="C136" s="649">
        <v>200</v>
      </c>
      <c r="D136" s="640">
        <v>450</v>
      </c>
      <c r="E136" s="640"/>
      <c r="F136" s="640"/>
      <c r="G136" s="203" t="s">
        <v>332</v>
      </c>
      <c r="H136" s="504">
        <v>0</v>
      </c>
      <c r="I136" s="504">
        <v>0</v>
      </c>
      <c r="J136" s="641"/>
    </row>
    <row r="137" spans="1:10">
      <c r="A137" s="636">
        <v>630</v>
      </c>
      <c r="B137" s="637">
        <v>300</v>
      </c>
      <c r="C137" s="649">
        <v>200</v>
      </c>
      <c r="D137" s="640">
        <v>500</v>
      </c>
      <c r="E137" s="640"/>
      <c r="F137" s="640"/>
      <c r="G137" s="203" t="s">
        <v>333</v>
      </c>
      <c r="H137" s="504">
        <v>0</v>
      </c>
      <c r="I137" s="504">
        <v>0</v>
      </c>
      <c r="J137" s="641"/>
    </row>
    <row r="138" spans="1:10">
      <c r="A138" s="636">
        <v>630</v>
      </c>
      <c r="B138" s="637">
        <v>300</v>
      </c>
      <c r="C138" s="649">
        <v>200</v>
      </c>
      <c r="D138" s="640">
        <v>550</v>
      </c>
      <c r="E138" s="640"/>
      <c r="F138" s="640"/>
      <c r="G138" s="203" t="s">
        <v>334</v>
      </c>
      <c r="H138" s="504">
        <v>0</v>
      </c>
      <c r="I138" s="504">
        <v>0</v>
      </c>
      <c r="J138" s="641"/>
    </row>
    <row r="139" spans="1:10">
      <c r="A139" s="636">
        <v>630</v>
      </c>
      <c r="B139" s="637">
        <v>300</v>
      </c>
      <c r="C139" s="649">
        <v>200</v>
      </c>
      <c r="D139" s="640">
        <v>600</v>
      </c>
      <c r="E139" s="640"/>
      <c r="F139" s="640"/>
      <c r="G139" s="203" t="s">
        <v>335</v>
      </c>
      <c r="H139" s="504">
        <v>0</v>
      </c>
      <c r="I139" s="504">
        <v>0</v>
      </c>
      <c r="J139" s="641"/>
    </row>
    <row r="140" spans="1:10">
      <c r="A140" s="636">
        <v>630</v>
      </c>
      <c r="B140" s="637">
        <v>300</v>
      </c>
      <c r="C140" s="649">
        <v>200</v>
      </c>
      <c r="D140" s="640">
        <v>650</v>
      </c>
      <c r="E140" s="640"/>
      <c r="F140" s="640"/>
      <c r="G140" s="203" t="s">
        <v>336</v>
      </c>
      <c r="H140" s="504">
        <v>0</v>
      </c>
      <c r="I140" s="504">
        <v>0</v>
      </c>
      <c r="J140" s="641"/>
    </row>
    <row r="141" spans="1:10">
      <c r="A141" s="636">
        <v>630</v>
      </c>
      <c r="B141" s="637">
        <v>300</v>
      </c>
      <c r="C141" s="649">
        <v>200</v>
      </c>
      <c r="D141" s="640">
        <v>700</v>
      </c>
      <c r="E141" s="640"/>
      <c r="F141" s="640"/>
      <c r="G141" s="203" t="s">
        <v>337</v>
      </c>
      <c r="H141" s="504">
        <v>0</v>
      </c>
      <c r="I141" s="504">
        <v>0</v>
      </c>
      <c r="J141" s="641"/>
    </row>
    <row r="142" spans="1:10">
      <c r="A142" s="636">
        <v>630</v>
      </c>
      <c r="B142" s="637">
        <v>300</v>
      </c>
      <c r="C142" s="649">
        <v>200</v>
      </c>
      <c r="D142" s="649">
        <v>750</v>
      </c>
      <c r="E142" s="649"/>
      <c r="F142" s="649"/>
      <c r="G142" s="638" t="s">
        <v>338</v>
      </c>
      <c r="H142" s="505">
        <v>0</v>
      </c>
      <c r="I142" s="505">
        <v>0</v>
      </c>
      <c r="J142" s="641"/>
    </row>
    <row r="143" spans="1:10">
      <c r="A143" s="636">
        <v>630</v>
      </c>
      <c r="B143" s="637">
        <v>300</v>
      </c>
      <c r="C143" s="649">
        <v>200</v>
      </c>
      <c r="D143" s="649">
        <v>750</v>
      </c>
      <c r="E143" s="640">
        <v>10</v>
      </c>
      <c r="F143" s="640"/>
      <c r="G143" s="203" t="s">
        <v>339</v>
      </c>
      <c r="H143" s="504">
        <v>0</v>
      </c>
      <c r="I143" s="504">
        <v>0</v>
      </c>
      <c r="J143" s="641"/>
    </row>
    <row r="144" spans="1:10">
      <c r="A144" s="636">
        <v>630</v>
      </c>
      <c r="B144" s="637">
        <v>300</v>
      </c>
      <c r="C144" s="649">
        <v>200</v>
      </c>
      <c r="D144" s="649">
        <v>750</v>
      </c>
      <c r="E144" s="640">
        <v>20</v>
      </c>
      <c r="F144" s="640"/>
      <c r="G144" s="203" t="s">
        <v>340</v>
      </c>
      <c r="H144" s="504">
        <v>0</v>
      </c>
      <c r="I144" s="504">
        <v>0</v>
      </c>
      <c r="J144" s="641"/>
    </row>
    <row r="145" spans="1:10">
      <c r="A145" s="636">
        <v>630</v>
      </c>
      <c r="B145" s="637">
        <v>300</v>
      </c>
      <c r="C145" s="649">
        <v>200</v>
      </c>
      <c r="D145" s="640">
        <v>900</v>
      </c>
      <c r="E145" s="640"/>
      <c r="F145" s="640"/>
      <c r="G145" s="203" t="s">
        <v>341</v>
      </c>
      <c r="H145" s="504">
        <v>0</v>
      </c>
      <c r="I145" s="504">
        <v>0</v>
      </c>
      <c r="J145" s="641"/>
    </row>
    <row r="146" spans="1:10">
      <c r="A146" s="636">
        <v>630</v>
      </c>
      <c r="B146" s="637">
        <v>300</v>
      </c>
      <c r="C146" s="640">
        <v>300</v>
      </c>
      <c r="D146" s="640"/>
      <c r="E146" s="640"/>
      <c r="F146" s="640"/>
      <c r="G146" s="203" t="s">
        <v>342</v>
      </c>
      <c r="H146" s="504">
        <v>0</v>
      </c>
      <c r="I146" s="504">
        <v>0</v>
      </c>
      <c r="J146" s="641"/>
    </row>
    <row r="147" spans="1:10">
      <c r="A147" s="636">
        <v>630</v>
      </c>
      <c r="B147" s="637">
        <v>300</v>
      </c>
      <c r="C147" s="640">
        <v>400</v>
      </c>
      <c r="D147" s="640"/>
      <c r="E147" s="640"/>
      <c r="F147" s="640"/>
      <c r="G147" s="203" t="s">
        <v>343</v>
      </c>
      <c r="H147" s="504">
        <v>0</v>
      </c>
      <c r="I147" s="504">
        <v>0</v>
      </c>
      <c r="J147" s="641"/>
    </row>
    <row r="148" spans="1:10">
      <c r="A148" s="636">
        <v>630</v>
      </c>
      <c r="B148" s="637">
        <v>300</v>
      </c>
      <c r="C148" s="640">
        <v>500</v>
      </c>
      <c r="D148" s="640"/>
      <c r="E148" s="640"/>
      <c r="F148" s="640"/>
      <c r="G148" s="203" t="s">
        <v>344</v>
      </c>
      <c r="H148" s="504">
        <v>7589.52</v>
      </c>
      <c r="I148" s="504">
        <v>12019</v>
      </c>
      <c r="J148" s="641"/>
    </row>
    <row r="149" spans="1:10">
      <c r="A149" s="636">
        <v>630</v>
      </c>
      <c r="B149" s="637">
        <v>300</v>
      </c>
      <c r="C149" s="640">
        <v>600</v>
      </c>
      <c r="D149" s="640"/>
      <c r="E149" s="640"/>
      <c r="F149" s="640"/>
      <c r="G149" s="203" t="s">
        <v>345</v>
      </c>
      <c r="H149" s="504">
        <v>0</v>
      </c>
      <c r="I149" s="504">
        <v>0</v>
      </c>
      <c r="J149" s="641"/>
    </row>
    <row r="150" spans="1:10">
      <c r="A150" s="636">
        <v>630</v>
      </c>
      <c r="B150" s="637">
        <v>300</v>
      </c>
      <c r="C150" s="640">
        <v>700</v>
      </c>
      <c r="D150" s="640"/>
      <c r="E150" s="640"/>
      <c r="F150" s="640"/>
      <c r="G150" s="203" t="s">
        <v>346</v>
      </c>
      <c r="H150" s="504">
        <v>25438</v>
      </c>
      <c r="I150" s="504">
        <v>19399</v>
      </c>
      <c r="J150" s="641"/>
    </row>
    <row r="151" spans="1:10">
      <c r="A151" s="636">
        <v>630</v>
      </c>
      <c r="B151" s="637">
        <v>300</v>
      </c>
      <c r="C151" s="640">
        <v>800</v>
      </c>
      <c r="D151" s="640"/>
      <c r="E151" s="640"/>
      <c r="F151" s="640"/>
      <c r="G151" s="203" t="s">
        <v>347</v>
      </c>
      <c r="H151" s="504">
        <v>0</v>
      </c>
      <c r="I151" s="504">
        <v>0</v>
      </c>
      <c r="J151" s="641"/>
    </row>
    <row r="152" spans="1:10">
      <c r="A152" s="636">
        <v>630</v>
      </c>
      <c r="B152" s="637">
        <v>300</v>
      </c>
      <c r="C152" s="649">
        <v>900</v>
      </c>
      <c r="D152" s="649"/>
      <c r="E152" s="649"/>
      <c r="F152" s="649"/>
      <c r="G152" s="638" t="s">
        <v>348</v>
      </c>
      <c r="H152" s="505">
        <v>0</v>
      </c>
      <c r="I152" s="505">
        <v>0</v>
      </c>
      <c r="J152" s="641"/>
    </row>
    <row r="153" spans="1:10">
      <c r="A153" s="636">
        <v>630</v>
      </c>
      <c r="B153" s="637">
        <v>300</v>
      </c>
      <c r="C153" s="649">
        <v>900</v>
      </c>
      <c r="D153" s="640">
        <v>100</v>
      </c>
      <c r="E153" s="640"/>
      <c r="F153" s="640"/>
      <c r="G153" s="203" t="s">
        <v>349</v>
      </c>
      <c r="H153" s="504">
        <v>0</v>
      </c>
      <c r="I153" s="504">
        <v>0</v>
      </c>
      <c r="J153" s="641"/>
    </row>
    <row r="154" spans="1:10">
      <c r="A154" s="636">
        <v>630</v>
      </c>
      <c r="B154" s="637">
        <v>300</v>
      </c>
      <c r="C154" s="649">
        <v>900</v>
      </c>
      <c r="D154" s="640">
        <v>900</v>
      </c>
      <c r="E154" s="640"/>
      <c r="F154" s="640"/>
      <c r="G154" s="203" t="s">
        <v>350</v>
      </c>
      <c r="H154" s="504">
        <v>0</v>
      </c>
      <c r="I154" s="504">
        <v>0</v>
      </c>
      <c r="J154" s="641"/>
    </row>
    <row r="155" spans="1:10" ht="27.6">
      <c r="A155" s="636">
        <v>630</v>
      </c>
      <c r="B155" s="637">
        <v>400</v>
      </c>
      <c r="C155" s="649"/>
      <c r="D155" s="637"/>
      <c r="E155" s="637"/>
      <c r="F155" s="637"/>
      <c r="G155" s="638" t="s">
        <v>351</v>
      </c>
      <c r="H155" s="505">
        <v>0</v>
      </c>
      <c r="I155" s="505">
        <v>0</v>
      </c>
      <c r="J155" s="639"/>
    </row>
    <row r="156" spans="1:10" ht="27.6">
      <c r="A156" s="636">
        <v>630</v>
      </c>
      <c r="B156" s="637">
        <v>400</v>
      </c>
      <c r="C156" s="643">
        <v>100</v>
      </c>
      <c r="D156" s="643"/>
      <c r="E156" s="643"/>
      <c r="F156" s="643"/>
      <c r="G156" s="203" t="s">
        <v>352</v>
      </c>
      <c r="H156" s="504">
        <v>84884.99</v>
      </c>
      <c r="I156" s="504">
        <v>18504</v>
      </c>
      <c r="J156" s="639" t="s">
        <v>353</v>
      </c>
    </row>
    <row r="157" spans="1:10" ht="27.6">
      <c r="A157" s="636">
        <v>630</v>
      </c>
      <c r="B157" s="637">
        <v>400</v>
      </c>
      <c r="C157" s="643">
        <v>200</v>
      </c>
      <c r="D157" s="643"/>
      <c r="E157" s="643"/>
      <c r="F157" s="643"/>
      <c r="G157" s="203" t="s">
        <v>354</v>
      </c>
      <c r="H157" s="504">
        <v>535626</v>
      </c>
      <c r="I157" s="504">
        <v>716703</v>
      </c>
      <c r="J157" s="639" t="s">
        <v>355</v>
      </c>
    </row>
    <row r="158" spans="1:10" ht="27.6">
      <c r="A158" s="636">
        <v>630</v>
      </c>
      <c r="B158" s="637">
        <v>400</v>
      </c>
      <c r="C158" s="643">
        <v>300</v>
      </c>
      <c r="D158" s="643"/>
      <c r="E158" s="643"/>
      <c r="F158" s="643"/>
      <c r="G158" s="203" t="s">
        <v>356</v>
      </c>
      <c r="H158" s="504">
        <v>0</v>
      </c>
      <c r="I158" s="504">
        <v>0</v>
      </c>
      <c r="J158" s="639" t="s">
        <v>357</v>
      </c>
    </row>
    <row r="159" spans="1:10" ht="27.6">
      <c r="A159" s="636">
        <v>630</v>
      </c>
      <c r="B159" s="637">
        <v>400</v>
      </c>
      <c r="C159" s="643">
        <v>400</v>
      </c>
      <c r="D159" s="643"/>
      <c r="E159" s="643"/>
      <c r="F159" s="643"/>
      <c r="G159" s="203" t="s">
        <v>358</v>
      </c>
      <c r="H159" s="504">
        <v>90416.53</v>
      </c>
      <c r="I159" s="504">
        <v>116837</v>
      </c>
      <c r="J159" s="639" t="s">
        <v>359</v>
      </c>
    </row>
    <row r="160" spans="1:10" ht="41.4">
      <c r="A160" s="636">
        <v>630</v>
      </c>
      <c r="B160" s="637">
        <v>400</v>
      </c>
      <c r="C160" s="637">
        <v>500</v>
      </c>
      <c r="D160" s="643"/>
      <c r="E160" s="643"/>
      <c r="F160" s="643"/>
      <c r="G160" s="203" t="s">
        <v>360</v>
      </c>
      <c r="H160" s="504">
        <v>62744.28</v>
      </c>
      <c r="I160" s="504">
        <v>104178</v>
      </c>
      <c r="J160" s="639" t="s">
        <v>361</v>
      </c>
    </row>
    <row r="161" spans="1:10">
      <c r="A161" s="636">
        <v>630</v>
      </c>
      <c r="B161" s="637">
        <v>400</v>
      </c>
      <c r="C161" s="643">
        <v>600</v>
      </c>
      <c r="D161" s="643"/>
      <c r="E161" s="643"/>
      <c r="F161" s="643"/>
      <c r="G161" s="203" t="s">
        <v>362</v>
      </c>
      <c r="H161" s="504">
        <v>8515.18</v>
      </c>
      <c r="I161" s="504">
        <v>10580</v>
      </c>
      <c r="J161" s="639" t="s">
        <v>363</v>
      </c>
    </row>
    <row r="162" spans="1:10" ht="27.6">
      <c r="A162" s="636">
        <v>630</v>
      </c>
      <c r="B162" s="637">
        <v>400</v>
      </c>
      <c r="C162" s="637">
        <v>700</v>
      </c>
      <c r="D162" s="643"/>
      <c r="E162" s="643"/>
      <c r="F162" s="643"/>
      <c r="G162" s="203" t="s">
        <v>364</v>
      </c>
      <c r="H162" s="504">
        <v>0</v>
      </c>
      <c r="I162" s="504">
        <v>0</v>
      </c>
      <c r="J162" s="639" t="s">
        <v>365</v>
      </c>
    </row>
    <row r="163" spans="1:10">
      <c r="A163" s="632">
        <v>640</v>
      </c>
      <c r="B163" s="633">
        <v>0</v>
      </c>
      <c r="C163" s="633">
        <v>0</v>
      </c>
      <c r="D163" s="633">
        <v>0</v>
      </c>
      <c r="E163" s="633">
        <v>0</v>
      </c>
      <c r="F163" s="633">
        <v>0</v>
      </c>
      <c r="G163" s="646" t="s">
        <v>366</v>
      </c>
      <c r="H163" s="607">
        <v>0</v>
      </c>
      <c r="I163" s="607">
        <v>0</v>
      </c>
      <c r="J163" s="635"/>
    </row>
    <row r="164" spans="1:10">
      <c r="A164" s="636">
        <v>640</v>
      </c>
      <c r="B164" s="643">
        <v>100</v>
      </c>
      <c r="C164" s="643"/>
      <c r="D164" s="643"/>
      <c r="E164" s="643"/>
      <c r="F164" s="643"/>
      <c r="G164" s="203" t="s">
        <v>367</v>
      </c>
      <c r="H164" s="504">
        <v>6500</v>
      </c>
      <c r="I164" s="504">
        <v>0</v>
      </c>
      <c r="J164" s="639" t="s">
        <v>368</v>
      </c>
    </row>
    <row r="165" spans="1:10">
      <c r="A165" s="636">
        <v>640</v>
      </c>
      <c r="B165" s="637">
        <v>200</v>
      </c>
      <c r="C165" s="637"/>
      <c r="D165" s="637"/>
      <c r="E165" s="637"/>
      <c r="F165" s="637"/>
      <c r="G165" s="638" t="s">
        <v>369</v>
      </c>
      <c r="H165" s="505">
        <v>0</v>
      </c>
      <c r="I165" s="505">
        <v>0</v>
      </c>
      <c r="J165" s="639"/>
    </row>
    <row r="166" spans="1:10" ht="27.6">
      <c r="A166" s="636">
        <v>640</v>
      </c>
      <c r="B166" s="637">
        <v>200</v>
      </c>
      <c r="C166" s="643">
        <v>100</v>
      </c>
      <c r="D166" s="643"/>
      <c r="E166" s="643"/>
      <c r="F166" s="643"/>
      <c r="G166" s="203" t="s">
        <v>370</v>
      </c>
      <c r="H166" s="504">
        <v>0</v>
      </c>
      <c r="I166" s="504">
        <v>0</v>
      </c>
      <c r="J166" s="639" t="s">
        <v>371</v>
      </c>
    </row>
    <row r="167" spans="1:10">
      <c r="A167" s="636">
        <v>640</v>
      </c>
      <c r="B167" s="637">
        <v>200</v>
      </c>
      <c r="C167" s="643">
        <v>200</v>
      </c>
      <c r="D167" s="643"/>
      <c r="E167" s="643"/>
      <c r="F167" s="643"/>
      <c r="G167" s="203" t="s">
        <v>372</v>
      </c>
      <c r="H167" s="504">
        <v>0</v>
      </c>
      <c r="I167" s="504">
        <v>0</v>
      </c>
      <c r="J167" s="639" t="s">
        <v>373</v>
      </c>
    </row>
    <row r="168" spans="1:10" ht="27.6">
      <c r="A168" s="636">
        <v>640</v>
      </c>
      <c r="B168" s="637">
        <v>300</v>
      </c>
      <c r="C168" s="637"/>
      <c r="D168" s="637"/>
      <c r="E168" s="637"/>
      <c r="F168" s="637"/>
      <c r="G168" s="638" t="s">
        <v>374</v>
      </c>
      <c r="H168" s="505">
        <v>0</v>
      </c>
      <c r="I168" s="505">
        <v>0</v>
      </c>
      <c r="J168" s="639"/>
    </row>
    <row r="169" spans="1:10" ht="41.4">
      <c r="A169" s="636">
        <v>640</v>
      </c>
      <c r="B169" s="637">
        <v>300</v>
      </c>
      <c r="C169" s="637">
        <v>100</v>
      </c>
      <c r="D169" s="643"/>
      <c r="E169" s="643"/>
      <c r="F169" s="643"/>
      <c r="G169" s="203" t="s">
        <v>375</v>
      </c>
      <c r="H169" s="504">
        <v>0</v>
      </c>
      <c r="I169" s="504">
        <v>0</v>
      </c>
      <c r="J169" s="639" t="s">
        <v>376</v>
      </c>
    </row>
    <row r="170" spans="1:10" ht="27.6">
      <c r="A170" s="636">
        <v>640</v>
      </c>
      <c r="B170" s="637">
        <v>300</v>
      </c>
      <c r="C170" s="637">
        <v>200</v>
      </c>
      <c r="D170" s="643"/>
      <c r="E170" s="643"/>
      <c r="F170" s="643"/>
      <c r="G170" s="203" t="s">
        <v>377</v>
      </c>
      <c r="H170" s="504">
        <v>0</v>
      </c>
      <c r="I170" s="504">
        <v>82</v>
      </c>
      <c r="J170" s="639" t="s">
        <v>378</v>
      </c>
    </row>
    <row r="171" spans="1:10" ht="27.6">
      <c r="A171" s="636">
        <v>640</v>
      </c>
      <c r="B171" s="637">
        <v>300</v>
      </c>
      <c r="C171" s="637">
        <v>300</v>
      </c>
      <c r="D171" s="643"/>
      <c r="E171" s="643"/>
      <c r="F171" s="643"/>
      <c r="G171" s="638" t="s">
        <v>379</v>
      </c>
      <c r="H171" s="505">
        <v>0</v>
      </c>
      <c r="I171" s="505">
        <v>0</v>
      </c>
      <c r="J171" s="639" t="s">
        <v>380</v>
      </c>
    </row>
    <row r="172" spans="1:10">
      <c r="A172" s="636">
        <v>640</v>
      </c>
      <c r="B172" s="637">
        <v>300</v>
      </c>
      <c r="C172" s="637">
        <v>300</v>
      </c>
      <c r="D172" s="643">
        <v>100</v>
      </c>
      <c r="E172" s="643"/>
      <c r="F172" s="643"/>
      <c r="G172" s="203" t="s">
        <v>342</v>
      </c>
      <c r="H172" s="504">
        <v>142550</v>
      </c>
      <c r="I172" s="504">
        <v>146102</v>
      </c>
      <c r="J172" s="639"/>
    </row>
    <row r="173" spans="1:10">
      <c r="A173" s="636">
        <v>640</v>
      </c>
      <c r="B173" s="637">
        <v>300</v>
      </c>
      <c r="C173" s="637">
        <v>300</v>
      </c>
      <c r="D173" s="643">
        <v>200</v>
      </c>
      <c r="E173" s="643"/>
      <c r="F173" s="643"/>
      <c r="G173" s="203" t="s">
        <v>381</v>
      </c>
      <c r="H173" s="504">
        <v>0</v>
      </c>
      <c r="I173" s="504">
        <v>0</v>
      </c>
      <c r="J173" s="639"/>
    </row>
    <row r="174" spans="1:10">
      <c r="A174" s="636">
        <v>640</v>
      </c>
      <c r="B174" s="637">
        <v>300</v>
      </c>
      <c r="C174" s="637">
        <v>300</v>
      </c>
      <c r="D174" s="643">
        <v>900</v>
      </c>
      <c r="E174" s="643"/>
      <c r="F174" s="643"/>
      <c r="G174" s="203" t="s">
        <v>382</v>
      </c>
      <c r="H174" s="504">
        <v>62729.39</v>
      </c>
      <c r="I174" s="504">
        <v>239601</v>
      </c>
      <c r="J174" s="639"/>
    </row>
    <row r="175" spans="1:10" ht="27.6">
      <c r="A175" s="636">
        <v>640</v>
      </c>
      <c r="B175" s="637">
        <v>300</v>
      </c>
      <c r="C175" s="637">
        <v>400</v>
      </c>
      <c r="D175" s="637"/>
      <c r="E175" s="637"/>
      <c r="F175" s="637"/>
      <c r="G175" s="638" t="s">
        <v>383</v>
      </c>
      <c r="H175" s="504">
        <v>0</v>
      </c>
      <c r="I175" s="504">
        <v>0</v>
      </c>
      <c r="J175" s="639" t="s">
        <v>384</v>
      </c>
    </row>
    <row r="176" spans="1:10">
      <c r="A176" s="636">
        <v>640</v>
      </c>
      <c r="B176" s="637">
        <v>400</v>
      </c>
      <c r="C176" s="637"/>
      <c r="D176" s="637"/>
      <c r="E176" s="637"/>
      <c r="F176" s="637"/>
      <c r="G176" s="638" t="s">
        <v>385</v>
      </c>
      <c r="H176" s="505">
        <v>0</v>
      </c>
      <c r="I176" s="505">
        <v>0</v>
      </c>
      <c r="J176" s="639" t="s">
        <v>386</v>
      </c>
    </row>
    <row r="177" spans="1:10" ht="41.4">
      <c r="A177" s="636">
        <v>640</v>
      </c>
      <c r="B177" s="637">
        <v>400</v>
      </c>
      <c r="C177" s="643">
        <v>100</v>
      </c>
      <c r="D177" s="643"/>
      <c r="E177" s="643"/>
      <c r="F177" s="643"/>
      <c r="G177" s="203" t="s">
        <v>387</v>
      </c>
      <c r="H177" s="504">
        <v>64827.19</v>
      </c>
      <c r="I177" s="504">
        <v>43110</v>
      </c>
      <c r="J177" s="639" t="s">
        <v>388</v>
      </c>
    </row>
    <row r="178" spans="1:10" ht="27.6">
      <c r="A178" s="636">
        <v>640</v>
      </c>
      <c r="B178" s="637">
        <v>400</v>
      </c>
      <c r="C178" s="643">
        <v>200</v>
      </c>
      <c r="D178" s="643"/>
      <c r="E178" s="643"/>
      <c r="F178" s="643"/>
      <c r="G178" s="203" t="s">
        <v>389</v>
      </c>
      <c r="H178" s="504">
        <v>0</v>
      </c>
      <c r="I178" s="504">
        <v>28162</v>
      </c>
      <c r="J178" s="639" t="s">
        <v>390</v>
      </c>
    </row>
    <row r="179" spans="1:10" ht="27.6">
      <c r="A179" s="636">
        <v>640</v>
      </c>
      <c r="B179" s="637">
        <v>400</v>
      </c>
      <c r="C179" s="637">
        <v>300</v>
      </c>
      <c r="D179" s="637"/>
      <c r="E179" s="637"/>
      <c r="F179" s="637"/>
      <c r="G179" s="638" t="s">
        <v>391</v>
      </c>
      <c r="H179" s="505">
        <v>0</v>
      </c>
      <c r="I179" s="505">
        <v>0</v>
      </c>
      <c r="J179" s="639" t="s">
        <v>392</v>
      </c>
    </row>
    <row r="180" spans="1:10">
      <c r="A180" s="636">
        <v>640</v>
      </c>
      <c r="B180" s="637">
        <v>400</v>
      </c>
      <c r="C180" s="637">
        <v>300</v>
      </c>
      <c r="D180" s="640">
        <v>100</v>
      </c>
      <c r="E180" s="640"/>
      <c r="F180" s="640"/>
      <c r="G180" s="203" t="s">
        <v>393</v>
      </c>
      <c r="H180" s="504">
        <v>0</v>
      </c>
      <c r="I180" s="504">
        <v>0</v>
      </c>
      <c r="J180" s="641"/>
    </row>
    <row r="181" spans="1:10">
      <c r="A181" s="636">
        <v>640</v>
      </c>
      <c r="B181" s="637">
        <v>400</v>
      </c>
      <c r="C181" s="637">
        <v>300</v>
      </c>
      <c r="D181" s="640">
        <v>200</v>
      </c>
      <c r="E181" s="640"/>
      <c r="F181" s="640"/>
      <c r="G181" s="203" t="s">
        <v>394</v>
      </c>
      <c r="H181" s="504">
        <v>0</v>
      </c>
      <c r="I181" s="504">
        <v>0</v>
      </c>
      <c r="J181" s="641"/>
    </row>
    <row r="182" spans="1:10">
      <c r="A182" s="636">
        <v>640</v>
      </c>
      <c r="B182" s="637">
        <v>400</v>
      </c>
      <c r="C182" s="637">
        <v>300</v>
      </c>
      <c r="D182" s="640">
        <v>300</v>
      </c>
      <c r="E182" s="640"/>
      <c r="F182" s="640"/>
      <c r="G182" s="203" t="s">
        <v>395</v>
      </c>
      <c r="H182" s="504">
        <v>61046.84</v>
      </c>
      <c r="I182" s="504">
        <v>49573</v>
      </c>
      <c r="J182" s="641"/>
    </row>
    <row r="183" spans="1:10">
      <c r="A183" s="636">
        <v>640</v>
      </c>
      <c r="B183" s="637">
        <v>400</v>
      </c>
      <c r="C183" s="637">
        <v>300</v>
      </c>
      <c r="D183" s="640">
        <v>400</v>
      </c>
      <c r="E183" s="640"/>
      <c r="F183" s="640"/>
      <c r="G183" s="203" t="s">
        <v>396</v>
      </c>
      <c r="H183" s="504">
        <v>35</v>
      </c>
      <c r="I183" s="504">
        <v>0</v>
      </c>
      <c r="J183" s="641"/>
    </row>
    <row r="184" spans="1:10">
      <c r="A184" s="636">
        <v>640</v>
      </c>
      <c r="B184" s="637">
        <v>400</v>
      </c>
      <c r="C184" s="637">
        <v>300</v>
      </c>
      <c r="D184" s="640">
        <v>500</v>
      </c>
      <c r="E184" s="640"/>
      <c r="F184" s="640"/>
      <c r="G184" s="203" t="s">
        <v>397</v>
      </c>
      <c r="H184" s="504">
        <v>0</v>
      </c>
      <c r="I184" s="504">
        <v>9775</v>
      </c>
      <c r="J184" s="641"/>
    </row>
    <row r="185" spans="1:10" ht="27.6">
      <c r="A185" s="636">
        <v>640</v>
      </c>
      <c r="B185" s="637">
        <v>400</v>
      </c>
      <c r="C185" s="637">
        <v>300</v>
      </c>
      <c r="D185" s="640">
        <v>900</v>
      </c>
      <c r="E185" s="640"/>
      <c r="F185" s="640"/>
      <c r="G185" s="203" t="s">
        <v>391</v>
      </c>
      <c r="H185" s="504">
        <v>80510.02</v>
      </c>
      <c r="I185" s="504">
        <v>81975</v>
      </c>
      <c r="J185" s="641"/>
    </row>
    <row r="186" spans="1:10">
      <c r="A186" s="636">
        <v>640</v>
      </c>
      <c r="B186" s="637">
        <v>500</v>
      </c>
      <c r="C186" s="637"/>
      <c r="D186" s="637"/>
      <c r="E186" s="637"/>
      <c r="F186" s="637"/>
      <c r="G186" s="638" t="s">
        <v>398</v>
      </c>
      <c r="H186" s="505">
        <v>0</v>
      </c>
      <c r="I186" s="505">
        <v>0</v>
      </c>
      <c r="J186" s="639" t="s">
        <v>399</v>
      </c>
    </row>
    <row r="187" spans="1:10">
      <c r="A187" s="636">
        <v>640</v>
      </c>
      <c r="B187" s="637">
        <v>500</v>
      </c>
      <c r="C187" s="637">
        <v>100</v>
      </c>
      <c r="D187" s="637"/>
      <c r="E187" s="637"/>
      <c r="F187" s="637"/>
      <c r="G187" s="638" t="s">
        <v>400</v>
      </c>
      <c r="H187" s="505">
        <v>0</v>
      </c>
      <c r="I187" s="505">
        <v>0</v>
      </c>
      <c r="J187" s="639" t="s">
        <v>401</v>
      </c>
    </row>
    <row r="188" spans="1:10" ht="27.6">
      <c r="A188" s="636">
        <v>640</v>
      </c>
      <c r="B188" s="637">
        <v>500</v>
      </c>
      <c r="C188" s="637">
        <v>100</v>
      </c>
      <c r="D188" s="643">
        <v>100</v>
      </c>
      <c r="E188" s="643"/>
      <c r="F188" s="643"/>
      <c r="G188" s="203" t="s">
        <v>402</v>
      </c>
      <c r="H188" s="504">
        <v>0</v>
      </c>
      <c r="I188" s="504">
        <v>62267</v>
      </c>
      <c r="J188" s="639" t="s">
        <v>403</v>
      </c>
    </row>
    <row r="189" spans="1:10" ht="27.6">
      <c r="A189" s="636">
        <v>640</v>
      </c>
      <c r="B189" s="637">
        <v>500</v>
      </c>
      <c r="C189" s="637">
        <v>100</v>
      </c>
      <c r="D189" s="643">
        <v>200</v>
      </c>
      <c r="E189" s="643"/>
      <c r="F189" s="643"/>
      <c r="G189" s="203" t="s">
        <v>404</v>
      </c>
      <c r="H189" s="504">
        <v>239964.65</v>
      </c>
      <c r="I189" s="504">
        <v>1169120</v>
      </c>
      <c r="J189" s="639" t="s">
        <v>405</v>
      </c>
    </row>
    <row r="190" spans="1:10">
      <c r="A190" s="636">
        <v>640</v>
      </c>
      <c r="B190" s="637">
        <v>500</v>
      </c>
      <c r="C190" s="637">
        <v>100</v>
      </c>
      <c r="D190" s="643">
        <v>300</v>
      </c>
      <c r="E190" s="643"/>
      <c r="F190" s="643"/>
      <c r="G190" s="203" t="s">
        <v>406</v>
      </c>
      <c r="H190" s="504">
        <v>48867.35</v>
      </c>
      <c r="I190" s="504">
        <v>0</v>
      </c>
      <c r="J190" s="639" t="s">
        <v>407</v>
      </c>
    </row>
    <row r="191" spans="1:10">
      <c r="A191" s="636">
        <v>640</v>
      </c>
      <c r="B191" s="637">
        <v>500</v>
      </c>
      <c r="C191" s="637">
        <v>150</v>
      </c>
      <c r="D191" s="643"/>
      <c r="E191" s="643"/>
      <c r="F191" s="643"/>
      <c r="G191" s="203" t="s">
        <v>408</v>
      </c>
      <c r="H191" s="504">
        <v>0</v>
      </c>
      <c r="I191" s="504">
        <v>0</v>
      </c>
      <c r="J191" s="639" t="s">
        <v>409</v>
      </c>
    </row>
    <row r="192" spans="1:10">
      <c r="A192" s="636">
        <v>640</v>
      </c>
      <c r="B192" s="637">
        <v>500</v>
      </c>
      <c r="C192" s="637">
        <v>200</v>
      </c>
      <c r="D192" s="637"/>
      <c r="E192" s="637"/>
      <c r="F192" s="637"/>
      <c r="G192" s="638" t="s">
        <v>410</v>
      </c>
      <c r="H192" s="505">
        <v>0</v>
      </c>
      <c r="I192" s="505">
        <v>0</v>
      </c>
      <c r="J192" s="639" t="s">
        <v>411</v>
      </c>
    </row>
    <row r="193" spans="1:10">
      <c r="A193" s="636">
        <v>640</v>
      </c>
      <c r="B193" s="637">
        <v>500</v>
      </c>
      <c r="C193" s="637">
        <v>200</v>
      </c>
      <c r="D193" s="640">
        <v>50</v>
      </c>
      <c r="E193" s="640"/>
      <c r="F193" s="640"/>
      <c r="G193" s="203" t="s">
        <v>412</v>
      </c>
      <c r="H193" s="504">
        <v>0</v>
      </c>
      <c r="I193" s="504">
        <v>0</v>
      </c>
      <c r="J193" s="641"/>
    </row>
    <row r="194" spans="1:10" ht="27.6">
      <c r="A194" s="636">
        <v>640</v>
      </c>
      <c r="B194" s="637">
        <v>500</v>
      </c>
      <c r="C194" s="637">
        <v>200</v>
      </c>
      <c r="D194" s="640">
        <v>100</v>
      </c>
      <c r="E194" s="640"/>
      <c r="F194" s="640"/>
      <c r="G194" s="203" t="s">
        <v>413</v>
      </c>
      <c r="H194" s="504">
        <v>23827.47</v>
      </c>
      <c r="I194" s="504">
        <v>24925</v>
      </c>
      <c r="J194" s="641"/>
    </row>
    <row r="195" spans="1:10" ht="27.6">
      <c r="A195" s="636">
        <v>640</v>
      </c>
      <c r="B195" s="637">
        <v>500</v>
      </c>
      <c r="C195" s="637">
        <v>200</v>
      </c>
      <c r="D195" s="640">
        <v>150</v>
      </c>
      <c r="E195" s="640"/>
      <c r="F195" s="640"/>
      <c r="G195" s="203" t="s">
        <v>414</v>
      </c>
      <c r="H195" s="504">
        <v>0</v>
      </c>
      <c r="I195" s="504">
        <v>0</v>
      </c>
      <c r="J195" s="641"/>
    </row>
    <row r="196" spans="1:10">
      <c r="A196" s="636">
        <v>640</v>
      </c>
      <c r="B196" s="637">
        <v>500</v>
      </c>
      <c r="C196" s="637">
        <v>200</v>
      </c>
      <c r="D196" s="640">
        <v>200</v>
      </c>
      <c r="E196" s="640"/>
      <c r="F196" s="640"/>
      <c r="G196" s="203" t="s">
        <v>415</v>
      </c>
      <c r="H196" s="504">
        <v>9862</v>
      </c>
      <c r="I196" s="504">
        <v>13374</v>
      </c>
      <c r="J196" s="641"/>
    </row>
    <row r="197" spans="1:10">
      <c r="A197" s="636">
        <v>640</v>
      </c>
      <c r="B197" s="637">
        <v>500</v>
      </c>
      <c r="C197" s="637">
        <v>200</v>
      </c>
      <c r="D197" s="640">
        <v>250</v>
      </c>
      <c r="E197" s="640"/>
      <c r="F197" s="640"/>
      <c r="G197" s="203" t="s">
        <v>416</v>
      </c>
      <c r="H197" s="504">
        <v>0</v>
      </c>
      <c r="I197" s="504">
        <v>0</v>
      </c>
      <c r="J197" s="641"/>
    </row>
    <row r="198" spans="1:10">
      <c r="A198" s="636">
        <v>640</v>
      </c>
      <c r="B198" s="637">
        <v>500</v>
      </c>
      <c r="C198" s="637">
        <v>200</v>
      </c>
      <c r="D198" s="640">
        <v>300</v>
      </c>
      <c r="E198" s="640"/>
      <c r="F198" s="640"/>
      <c r="G198" s="203" t="s">
        <v>417</v>
      </c>
      <c r="H198" s="504">
        <v>0</v>
      </c>
      <c r="I198" s="504">
        <v>0</v>
      </c>
      <c r="J198" s="641"/>
    </row>
    <row r="199" spans="1:10">
      <c r="A199" s="636">
        <v>640</v>
      </c>
      <c r="B199" s="637">
        <v>500</v>
      </c>
      <c r="C199" s="637">
        <v>200</v>
      </c>
      <c r="D199" s="640">
        <v>350</v>
      </c>
      <c r="E199" s="640"/>
      <c r="F199" s="640"/>
      <c r="G199" s="203" t="s">
        <v>418</v>
      </c>
      <c r="H199" s="504">
        <v>0</v>
      </c>
      <c r="I199" s="504">
        <v>0</v>
      </c>
      <c r="J199" s="641"/>
    </row>
    <row r="200" spans="1:10">
      <c r="A200" s="636">
        <v>640</v>
      </c>
      <c r="B200" s="637">
        <v>500</v>
      </c>
      <c r="C200" s="637">
        <v>200</v>
      </c>
      <c r="D200" s="640">
        <v>400</v>
      </c>
      <c r="E200" s="640"/>
      <c r="F200" s="640"/>
      <c r="G200" s="203" t="s">
        <v>419</v>
      </c>
      <c r="H200" s="504">
        <v>6353.89</v>
      </c>
      <c r="I200" s="504">
        <v>6384</v>
      </c>
      <c r="J200" s="641"/>
    </row>
    <row r="201" spans="1:10">
      <c r="A201" s="636">
        <v>640</v>
      </c>
      <c r="B201" s="637">
        <v>500</v>
      </c>
      <c r="C201" s="637">
        <v>200</v>
      </c>
      <c r="D201" s="640">
        <v>450</v>
      </c>
      <c r="E201" s="640"/>
      <c r="F201" s="640"/>
      <c r="G201" s="203" t="s">
        <v>420</v>
      </c>
      <c r="H201" s="504">
        <v>774.75</v>
      </c>
      <c r="I201" s="504">
        <v>1033</v>
      </c>
      <c r="J201" s="641"/>
    </row>
    <row r="202" spans="1:10" ht="27.6">
      <c r="A202" s="636">
        <v>640</v>
      </c>
      <c r="B202" s="637">
        <v>500</v>
      </c>
      <c r="C202" s="637">
        <v>200</v>
      </c>
      <c r="D202" s="640">
        <v>500</v>
      </c>
      <c r="E202" s="640"/>
      <c r="F202" s="640"/>
      <c r="G202" s="203" t="s">
        <v>421</v>
      </c>
      <c r="H202" s="504">
        <v>21955.9</v>
      </c>
      <c r="I202" s="504">
        <v>31238</v>
      </c>
      <c r="J202" s="641"/>
    </row>
    <row r="203" spans="1:10">
      <c r="A203" s="636">
        <v>640</v>
      </c>
      <c r="B203" s="637">
        <v>500</v>
      </c>
      <c r="C203" s="637">
        <v>200</v>
      </c>
      <c r="D203" s="640">
        <v>550</v>
      </c>
      <c r="E203" s="640"/>
      <c r="F203" s="640"/>
      <c r="G203" s="203" t="s">
        <v>422</v>
      </c>
      <c r="H203" s="504">
        <v>0</v>
      </c>
      <c r="I203" s="504">
        <v>0</v>
      </c>
      <c r="J203" s="641"/>
    </row>
    <row r="204" spans="1:10">
      <c r="A204" s="637">
        <v>640</v>
      </c>
      <c r="B204" s="637">
        <v>500</v>
      </c>
      <c r="C204" s="637">
        <v>200</v>
      </c>
      <c r="D204" s="640">
        <v>600</v>
      </c>
      <c r="E204" s="640"/>
      <c r="F204" s="640"/>
      <c r="G204" s="203" t="s">
        <v>423</v>
      </c>
      <c r="H204" s="504">
        <v>0</v>
      </c>
      <c r="I204" s="504">
        <v>0</v>
      </c>
      <c r="J204" s="1476"/>
    </row>
    <row r="205" spans="1:10">
      <c r="A205" s="637">
        <v>640</v>
      </c>
      <c r="B205" s="637">
        <v>500</v>
      </c>
      <c r="C205" s="637">
        <v>200</v>
      </c>
      <c r="D205" s="640">
        <v>900</v>
      </c>
      <c r="E205" s="640"/>
      <c r="F205" s="640"/>
      <c r="G205" s="203" t="s">
        <v>410</v>
      </c>
      <c r="H205" s="504">
        <v>9431.1200000000008</v>
      </c>
      <c r="I205" s="504">
        <v>55286</v>
      </c>
      <c r="J205" s="1476"/>
    </row>
    <row r="206" spans="1:10" ht="27.6">
      <c r="A206" s="662">
        <v>650</v>
      </c>
      <c r="B206" s="662">
        <v>0</v>
      </c>
      <c r="C206" s="662">
        <v>0</v>
      </c>
      <c r="D206" s="662">
        <v>0</v>
      </c>
      <c r="E206" s="662">
        <v>0</v>
      </c>
      <c r="F206" s="662">
        <v>0</v>
      </c>
      <c r="G206" s="646" t="s">
        <v>424</v>
      </c>
      <c r="H206" s="612">
        <v>0</v>
      </c>
      <c r="I206" s="612">
        <v>0</v>
      </c>
      <c r="J206" s="1475" t="s">
        <v>425</v>
      </c>
    </row>
    <row r="207" spans="1:10" ht="41.4">
      <c r="A207" s="636">
        <v>650</v>
      </c>
      <c r="B207" s="643">
        <v>100</v>
      </c>
      <c r="C207" s="643"/>
      <c r="D207" s="643"/>
      <c r="E207" s="643"/>
      <c r="F207" s="643"/>
      <c r="G207" s="203" t="s">
        <v>2121</v>
      </c>
      <c r="H207" s="504">
        <v>1341910.3</v>
      </c>
      <c r="I207" s="504">
        <v>1865874</v>
      </c>
      <c r="J207" s="639" t="s">
        <v>426</v>
      </c>
    </row>
    <row r="208" spans="1:10" ht="27.6">
      <c r="A208" s="636">
        <v>650</v>
      </c>
      <c r="B208" s="643">
        <v>200</v>
      </c>
      <c r="C208" s="643"/>
      <c r="D208" s="643"/>
      <c r="E208" s="643"/>
      <c r="F208" s="643"/>
      <c r="G208" s="203" t="s">
        <v>427</v>
      </c>
      <c r="H208" s="504">
        <v>5152.3</v>
      </c>
      <c r="I208" s="504">
        <v>12118</v>
      </c>
      <c r="J208" s="639" t="s">
        <v>428</v>
      </c>
    </row>
    <row r="209" spans="1:10" ht="27.6">
      <c r="A209" s="636">
        <v>650</v>
      </c>
      <c r="B209" s="643">
        <v>300</v>
      </c>
      <c r="C209" s="643"/>
      <c r="D209" s="643"/>
      <c r="E209" s="643"/>
      <c r="F209" s="643"/>
      <c r="G209" s="203" t="s">
        <v>429</v>
      </c>
      <c r="H209" s="504">
        <v>0</v>
      </c>
      <c r="I209" s="504">
        <v>0</v>
      </c>
      <c r="J209" s="639" t="s">
        <v>430</v>
      </c>
    </row>
    <row r="210" spans="1:10">
      <c r="A210" s="632">
        <v>660</v>
      </c>
      <c r="B210" s="633">
        <v>0</v>
      </c>
      <c r="C210" s="633">
        <v>0</v>
      </c>
      <c r="D210" s="633">
        <v>0</v>
      </c>
      <c r="E210" s="633">
        <v>0</v>
      </c>
      <c r="F210" s="633">
        <v>0</v>
      </c>
      <c r="G210" s="646" t="s">
        <v>431</v>
      </c>
      <c r="H210" s="607">
        <v>0</v>
      </c>
      <c r="I210" s="607">
        <v>0</v>
      </c>
      <c r="J210" s="635" t="s">
        <v>432</v>
      </c>
    </row>
    <row r="211" spans="1:10" ht="27.6">
      <c r="A211" s="636">
        <v>660</v>
      </c>
      <c r="B211" s="643">
        <v>100</v>
      </c>
      <c r="C211" s="643"/>
      <c r="D211" s="643"/>
      <c r="E211" s="643"/>
      <c r="F211" s="643"/>
      <c r="G211" s="203" t="s">
        <v>433</v>
      </c>
      <c r="H211" s="504">
        <v>410009.41</v>
      </c>
      <c r="I211" s="504">
        <v>308548</v>
      </c>
      <c r="J211" s="639" t="s">
        <v>434</v>
      </c>
    </row>
    <row r="212" spans="1:10" ht="27.6">
      <c r="A212" s="636">
        <v>660</v>
      </c>
      <c r="B212" s="643">
        <v>200</v>
      </c>
      <c r="C212" s="643"/>
      <c r="D212" s="643"/>
      <c r="E212" s="643"/>
      <c r="F212" s="643"/>
      <c r="G212" s="203" t="s">
        <v>435</v>
      </c>
      <c r="H212" s="504">
        <v>948505.87</v>
      </c>
      <c r="I212" s="504">
        <v>688376</v>
      </c>
      <c r="J212" s="639" t="s">
        <v>436</v>
      </c>
    </row>
    <row r="213" spans="1:10" ht="27.6">
      <c r="A213" s="636">
        <v>660</v>
      </c>
      <c r="B213" s="643">
        <v>300</v>
      </c>
      <c r="C213" s="643"/>
      <c r="D213" s="643"/>
      <c r="E213" s="643"/>
      <c r="F213" s="643"/>
      <c r="G213" s="203" t="s">
        <v>437</v>
      </c>
      <c r="H213" s="504">
        <v>0</v>
      </c>
      <c r="I213" s="504">
        <v>0</v>
      </c>
      <c r="J213" s="639" t="s">
        <v>438</v>
      </c>
    </row>
    <row r="214" spans="1:10" ht="27.6">
      <c r="A214" s="636">
        <v>660</v>
      </c>
      <c r="B214" s="643">
        <v>400</v>
      </c>
      <c r="C214" s="643"/>
      <c r="D214" s="643"/>
      <c r="E214" s="643"/>
      <c r="F214" s="643"/>
      <c r="G214" s="203" t="s">
        <v>439</v>
      </c>
      <c r="H214" s="504">
        <v>0</v>
      </c>
      <c r="I214" s="504">
        <v>0</v>
      </c>
      <c r="J214" s="639" t="s">
        <v>440</v>
      </c>
    </row>
    <row r="215" spans="1:10" ht="27.6">
      <c r="A215" s="636">
        <v>660</v>
      </c>
      <c r="B215" s="643">
        <v>500</v>
      </c>
      <c r="C215" s="643"/>
      <c r="D215" s="643"/>
      <c r="E215" s="643"/>
      <c r="F215" s="643"/>
      <c r="G215" s="203" t="s">
        <v>441</v>
      </c>
      <c r="H215" s="504">
        <v>0</v>
      </c>
      <c r="I215" s="504">
        <v>0</v>
      </c>
      <c r="J215" s="639" t="s">
        <v>442</v>
      </c>
    </row>
    <row r="216" spans="1:10" ht="27.6">
      <c r="A216" s="636">
        <v>660</v>
      </c>
      <c r="B216" s="643">
        <v>600</v>
      </c>
      <c r="C216" s="643"/>
      <c r="D216" s="643"/>
      <c r="E216" s="643"/>
      <c r="F216" s="643"/>
      <c r="G216" s="203" t="s">
        <v>443</v>
      </c>
      <c r="H216" s="504">
        <v>798121.98</v>
      </c>
      <c r="I216" s="504">
        <v>718849</v>
      </c>
      <c r="J216" s="639" t="s">
        <v>444</v>
      </c>
    </row>
    <row r="217" spans="1:10">
      <c r="A217" s="650">
        <v>670</v>
      </c>
      <c r="B217" s="651">
        <v>0</v>
      </c>
      <c r="C217" s="651">
        <v>0</v>
      </c>
      <c r="D217" s="651">
        <v>0</v>
      </c>
      <c r="E217" s="651">
        <v>0</v>
      </c>
      <c r="F217" s="651">
        <v>0</v>
      </c>
      <c r="G217" s="652" t="s">
        <v>30</v>
      </c>
      <c r="H217" s="613">
        <v>0</v>
      </c>
      <c r="I217" s="613">
        <v>0</v>
      </c>
      <c r="J217" s="648" t="s">
        <v>445</v>
      </c>
    </row>
    <row r="218" spans="1:10">
      <c r="A218" s="632">
        <v>680</v>
      </c>
      <c r="B218" s="633">
        <v>0</v>
      </c>
      <c r="C218" s="633">
        <v>0</v>
      </c>
      <c r="D218" s="633">
        <v>0</v>
      </c>
      <c r="E218" s="633">
        <v>0</v>
      </c>
      <c r="F218" s="633">
        <v>0</v>
      </c>
      <c r="G218" s="646" t="s">
        <v>31</v>
      </c>
      <c r="H218" s="607">
        <v>0</v>
      </c>
      <c r="I218" s="607">
        <v>0</v>
      </c>
      <c r="J218" s="635" t="s">
        <v>446</v>
      </c>
    </row>
    <row r="219" spans="1:10">
      <c r="A219" s="636">
        <v>680</v>
      </c>
      <c r="B219" s="637">
        <v>100</v>
      </c>
      <c r="C219" s="637"/>
      <c r="D219" s="637"/>
      <c r="E219" s="637"/>
      <c r="F219" s="637"/>
      <c r="G219" s="638" t="s">
        <v>447</v>
      </c>
      <c r="H219" s="505">
        <v>0</v>
      </c>
      <c r="I219" s="505">
        <v>0</v>
      </c>
      <c r="J219" s="639" t="s">
        <v>448</v>
      </c>
    </row>
    <row r="220" spans="1:10">
      <c r="A220" s="636">
        <v>680</v>
      </c>
      <c r="B220" s="637">
        <v>100</v>
      </c>
      <c r="C220" s="640">
        <v>100</v>
      </c>
      <c r="D220" s="640"/>
      <c r="E220" s="640"/>
      <c r="F220" s="640"/>
      <c r="G220" s="203" t="s">
        <v>449</v>
      </c>
      <c r="H220" s="504">
        <v>0</v>
      </c>
      <c r="I220" s="504">
        <v>0</v>
      </c>
      <c r="J220" s="641"/>
    </row>
    <row r="221" spans="1:10">
      <c r="A221" s="636">
        <v>680</v>
      </c>
      <c r="B221" s="637">
        <v>100</v>
      </c>
      <c r="C221" s="640">
        <v>200</v>
      </c>
      <c r="D221" s="640"/>
      <c r="E221" s="640"/>
      <c r="F221" s="640"/>
      <c r="G221" s="203" t="s">
        <v>450</v>
      </c>
      <c r="H221" s="504">
        <v>0</v>
      </c>
      <c r="I221" s="504">
        <v>0</v>
      </c>
      <c r="J221" s="641"/>
    </row>
    <row r="222" spans="1:10">
      <c r="A222" s="636">
        <v>680</v>
      </c>
      <c r="B222" s="637">
        <v>100</v>
      </c>
      <c r="C222" s="640">
        <v>900</v>
      </c>
      <c r="D222" s="640"/>
      <c r="E222" s="640"/>
      <c r="F222" s="640"/>
      <c r="G222" s="203" t="s">
        <v>451</v>
      </c>
      <c r="H222" s="504">
        <v>132518</v>
      </c>
      <c r="I222" s="504">
        <v>0</v>
      </c>
      <c r="J222" s="641"/>
    </row>
    <row r="223" spans="1:10">
      <c r="A223" s="636">
        <v>680</v>
      </c>
      <c r="B223" s="637">
        <v>200</v>
      </c>
      <c r="C223" s="637"/>
      <c r="D223" s="637"/>
      <c r="E223" s="637"/>
      <c r="F223" s="637"/>
      <c r="G223" s="638" t="s">
        <v>452</v>
      </c>
      <c r="H223" s="505">
        <v>0</v>
      </c>
      <c r="I223" s="505">
        <v>0</v>
      </c>
      <c r="J223" s="639" t="s">
        <v>453</v>
      </c>
    </row>
    <row r="224" spans="1:10">
      <c r="A224" s="636">
        <v>680</v>
      </c>
      <c r="B224" s="637">
        <v>200</v>
      </c>
      <c r="C224" s="640">
        <v>100</v>
      </c>
      <c r="D224" s="640"/>
      <c r="E224" s="640"/>
      <c r="F224" s="640"/>
      <c r="G224" s="203" t="s">
        <v>454</v>
      </c>
      <c r="H224" s="504">
        <v>0</v>
      </c>
      <c r="I224" s="504">
        <v>0</v>
      </c>
      <c r="J224" s="641"/>
    </row>
    <row r="225" spans="1:10">
      <c r="A225" s="636">
        <v>680</v>
      </c>
      <c r="B225" s="637">
        <v>200</v>
      </c>
      <c r="C225" s="640">
        <v>200</v>
      </c>
      <c r="D225" s="640"/>
      <c r="E225" s="640"/>
      <c r="F225" s="640"/>
      <c r="G225" s="203" t="s">
        <v>455</v>
      </c>
      <c r="H225" s="504">
        <v>15276.24</v>
      </c>
      <c r="I225" s="504">
        <v>19240</v>
      </c>
      <c r="J225" s="641"/>
    </row>
    <row r="226" spans="1:10">
      <c r="A226" s="636">
        <v>680</v>
      </c>
      <c r="B226" s="637">
        <v>200</v>
      </c>
      <c r="C226" s="640">
        <v>900</v>
      </c>
      <c r="D226" s="640"/>
      <c r="E226" s="640"/>
      <c r="F226" s="640"/>
      <c r="G226" s="203" t="s">
        <v>456</v>
      </c>
      <c r="H226" s="504">
        <v>0</v>
      </c>
      <c r="I226" s="504">
        <v>0</v>
      </c>
      <c r="J226" s="641"/>
    </row>
    <row r="227" spans="1:10">
      <c r="A227" s="636">
        <v>680</v>
      </c>
      <c r="B227" s="653">
        <v>300</v>
      </c>
      <c r="C227" s="637"/>
      <c r="D227" s="637"/>
      <c r="E227" s="637"/>
      <c r="F227" s="637"/>
      <c r="G227" s="654" t="s">
        <v>457</v>
      </c>
      <c r="H227" s="505">
        <v>0</v>
      </c>
      <c r="I227" s="505">
        <v>0</v>
      </c>
      <c r="J227" s="639" t="s">
        <v>458</v>
      </c>
    </row>
    <row r="228" spans="1:10">
      <c r="A228" s="636">
        <v>680</v>
      </c>
      <c r="B228" s="653">
        <v>300</v>
      </c>
      <c r="C228" s="640">
        <v>100</v>
      </c>
      <c r="D228" s="640"/>
      <c r="E228" s="640"/>
      <c r="F228" s="640"/>
      <c r="G228" s="203" t="s">
        <v>459</v>
      </c>
      <c r="H228" s="504">
        <v>0</v>
      </c>
      <c r="I228" s="504">
        <v>0</v>
      </c>
      <c r="J228" s="641"/>
    </row>
    <row r="229" spans="1:10">
      <c r="A229" s="636">
        <v>680</v>
      </c>
      <c r="B229" s="653">
        <v>300</v>
      </c>
      <c r="C229" s="640">
        <v>200</v>
      </c>
      <c r="D229" s="640"/>
      <c r="E229" s="640"/>
      <c r="F229" s="640"/>
      <c r="G229" s="203" t="s">
        <v>460</v>
      </c>
      <c r="H229" s="504">
        <v>0</v>
      </c>
      <c r="I229" s="504">
        <v>0</v>
      </c>
      <c r="J229" s="641"/>
    </row>
    <row r="230" spans="1:10">
      <c r="A230" s="636">
        <v>680</v>
      </c>
      <c r="B230" s="637">
        <v>300</v>
      </c>
      <c r="C230" s="640">
        <v>900</v>
      </c>
      <c r="D230" s="640"/>
      <c r="E230" s="640"/>
      <c r="F230" s="640"/>
      <c r="G230" s="203" t="s">
        <v>457</v>
      </c>
      <c r="H230" s="504">
        <v>183324.01</v>
      </c>
      <c r="I230" s="504">
        <v>199922</v>
      </c>
      <c r="J230" s="641"/>
    </row>
    <row r="231" spans="1:10">
      <c r="A231" s="632">
        <v>690</v>
      </c>
      <c r="B231" s="633">
        <v>0</v>
      </c>
      <c r="C231" s="633">
        <v>0</v>
      </c>
      <c r="D231" s="633">
        <v>0</v>
      </c>
      <c r="E231" s="633">
        <v>0</v>
      </c>
      <c r="F231" s="633">
        <v>0</v>
      </c>
      <c r="G231" s="646" t="s">
        <v>461</v>
      </c>
      <c r="H231" s="607">
        <v>0</v>
      </c>
      <c r="I231" s="607">
        <v>0</v>
      </c>
      <c r="J231" s="635" t="s">
        <v>462</v>
      </c>
    </row>
    <row r="232" spans="1:10">
      <c r="A232" s="655">
        <v>690</v>
      </c>
      <c r="B232" s="640">
        <v>100</v>
      </c>
      <c r="C232" s="640"/>
      <c r="D232" s="640"/>
      <c r="E232" s="640"/>
      <c r="F232" s="640"/>
      <c r="G232" s="203" t="s">
        <v>463</v>
      </c>
      <c r="H232" s="504">
        <v>0.05</v>
      </c>
      <c r="I232" s="504">
        <v>0</v>
      </c>
      <c r="J232" s="641" t="s">
        <v>464</v>
      </c>
    </row>
    <row r="233" spans="1:10">
      <c r="A233" s="655">
        <v>690</v>
      </c>
      <c r="B233" s="649">
        <v>200</v>
      </c>
      <c r="C233" s="649"/>
      <c r="D233" s="649"/>
      <c r="E233" s="649"/>
      <c r="F233" s="649"/>
      <c r="G233" s="638" t="s">
        <v>465</v>
      </c>
      <c r="H233" s="505">
        <v>0</v>
      </c>
      <c r="I233" s="505">
        <v>0</v>
      </c>
      <c r="J233" s="641" t="s">
        <v>466</v>
      </c>
    </row>
    <row r="234" spans="1:10">
      <c r="A234" s="655">
        <v>690</v>
      </c>
      <c r="B234" s="649">
        <v>200</v>
      </c>
      <c r="C234" s="640">
        <v>100</v>
      </c>
      <c r="D234" s="640"/>
      <c r="E234" s="640"/>
      <c r="F234" s="640"/>
      <c r="G234" s="656" t="s">
        <v>467</v>
      </c>
      <c r="H234" s="504">
        <v>1.34</v>
      </c>
      <c r="I234" s="504">
        <v>1</v>
      </c>
      <c r="J234" s="641"/>
    </row>
    <row r="235" spans="1:10">
      <c r="A235" s="655">
        <v>690</v>
      </c>
      <c r="B235" s="649">
        <v>200</v>
      </c>
      <c r="C235" s="657">
        <v>200</v>
      </c>
      <c r="D235" s="657"/>
      <c r="E235" s="657"/>
      <c r="F235" s="657"/>
      <c r="G235" s="658" t="s">
        <v>468</v>
      </c>
      <c r="H235" s="504">
        <v>0</v>
      </c>
      <c r="I235" s="504">
        <v>11</v>
      </c>
      <c r="J235" s="641"/>
    </row>
    <row r="236" spans="1:10">
      <c r="A236" s="655">
        <v>690</v>
      </c>
      <c r="B236" s="649">
        <v>300</v>
      </c>
      <c r="C236" s="649"/>
      <c r="D236" s="649"/>
      <c r="E236" s="649"/>
      <c r="F236" s="649"/>
      <c r="G236" s="638" t="s">
        <v>469</v>
      </c>
      <c r="H236" s="505">
        <v>0</v>
      </c>
      <c r="I236" s="505">
        <v>0</v>
      </c>
      <c r="J236" s="641" t="s">
        <v>470</v>
      </c>
    </row>
    <row r="237" spans="1:10">
      <c r="A237" s="655">
        <v>690</v>
      </c>
      <c r="B237" s="649">
        <v>300</v>
      </c>
      <c r="C237" s="640">
        <v>100</v>
      </c>
      <c r="D237" s="640"/>
      <c r="E237" s="640"/>
      <c r="F237" s="640"/>
      <c r="G237" s="656" t="s">
        <v>471</v>
      </c>
      <c r="H237" s="504">
        <v>0</v>
      </c>
      <c r="I237" s="504">
        <v>0</v>
      </c>
      <c r="J237" s="641"/>
    </row>
    <row r="238" spans="1:10">
      <c r="A238" s="655">
        <v>690</v>
      </c>
      <c r="B238" s="649">
        <v>300</v>
      </c>
      <c r="C238" s="640">
        <v>200</v>
      </c>
      <c r="D238" s="640"/>
      <c r="E238" s="640"/>
      <c r="F238" s="640"/>
      <c r="G238" s="656" t="s">
        <v>472</v>
      </c>
      <c r="H238" s="504">
        <v>0</v>
      </c>
      <c r="I238" s="504">
        <v>0</v>
      </c>
      <c r="J238" s="641"/>
    </row>
    <row r="239" spans="1:10">
      <c r="A239" s="659">
        <v>690</v>
      </c>
      <c r="B239" s="660">
        <v>300</v>
      </c>
      <c r="C239" s="657">
        <v>900</v>
      </c>
      <c r="D239" s="657"/>
      <c r="E239" s="657"/>
      <c r="F239" s="657"/>
      <c r="G239" s="658" t="s">
        <v>469</v>
      </c>
      <c r="H239" s="504">
        <v>0</v>
      </c>
      <c r="I239" s="504">
        <v>0</v>
      </c>
      <c r="J239" s="641"/>
    </row>
    <row r="240" spans="1:10">
      <c r="A240" s="661">
        <v>700</v>
      </c>
      <c r="B240" s="662">
        <v>0</v>
      </c>
      <c r="C240" s="662">
        <v>0</v>
      </c>
      <c r="D240" s="662">
        <v>0</v>
      </c>
      <c r="E240" s="662">
        <v>0</v>
      </c>
      <c r="F240" s="662">
        <v>0</v>
      </c>
      <c r="G240" s="646" t="s">
        <v>473</v>
      </c>
      <c r="H240" s="607">
        <v>0</v>
      </c>
      <c r="I240" s="607">
        <v>0</v>
      </c>
      <c r="J240" s="635" t="s">
        <v>474</v>
      </c>
    </row>
    <row r="241" spans="1:189">
      <c r="A241" s="655">
        <v>700</v>
      </c>
      <c r="B241" s="640">
        <v>100</v>
      </c>
      <c r="C241" s="640"/>
      <c r="D241" s="640"/>
      <c r="E241" s="640"/>
      <c r="F241" s="640"/>
      <c r="G241" s="203" t="s">
        <v>475</v>
      </c>
      <c r="H241" s="504">
        <v>0</v>
      </c>
      <c r="I241" s="504">
        <v>0</v>
      </c>
      <c r="J241" s="641" t="s">
        <v>476</v>
      </c>
    </row>
    <row r="242" spans="1:189">
      <c r="A242" s="655">
        <v>700</v>
      </c>
      <c r="B242" s="640">
        <v>200</v>
      </c>
      <c r="C242" s="640"/>
      <c r="D242" s="640"/>
      <c r="E242" s="640"/>
      <c r="F242" s="640"/>
      <c r="G242" s="203" t="s">
        <v>477</v>
      </c>
      <c r="H242" s="504">
        <v>0</v>
      </c>
      <c r="I242" s="504">
        <v>0</v>
      </c>
      <c r="J242" s="641" t="s">
        <v>478</v>
      </c>
    </row>
    <row r="243" spans="1:189">
      <c r="A243" s="655">
        <v>700</v>
      </c>
      <c r="B243" s="640">
        <v>300</v>
      </c>
      <c r="C243" s="640"/>
      <c r="D243" s="640"/>
      <c r="E243" s="640"/>
      <c r="F243" s="640"/>
      <c r="G243" s="203" t="s">
        <v>479</v>
      </c>
      <c r="H243" s="504">
        <v>0</v>
      </c>
      <c r="I243" s="504">
        <v>0</v>
      </c>
      <c r="J243" s="641" t="s">
        <v>480</v>
      </c>
    </row>
    <row r="244" spans="1:189">
      <c r="A244" s="655">
        <v>700</v>
      </c>
      <c r="B244" s="640">
        <v>400</v>
      </c>
      <c r="C244" s="640"/>
      <c r="D244" s="640"/>
      <c r="E244" s="640"/>
      <c r="F244" s="640"/>
      <c r="G244" s="203" t="s">
        <v>481</v>
      </c>
      <c r="H244" s="504">
        <v>0</v>
      </c>
      <c r="I244" s="504">
        <v>0</v>
      </c>
      <c r="J244" s="641" t="s">
        <v>482</v>
      </c>
    </row>
    <row r="245" spans="1:189">
      <c r="A245" s="655">
        <v>700</v>
      </c>
      <c r="B245" s="640">
        <v>500</v>
      </c>
      <c r="C245" s="640"/>
      <c r="D245" s="640"/>
      <c r="E245" s="640"/>
      <c r="F245" s="640"/>
      <c r="G245" s="203" t="s">
        <v>483</v>
      </c>
      <c r="H245" s="504">
        <v>0</v>
      </c>
      <c r="I245" s="504">
        <v>0</v>
      </c>
      <c r="J245" s="641" t="s">
        <v>484</v>
      </c>
    </row>
    <row r="246" spans="1:189">
      <c r="A246" s="650">
        <v>710</v>
      </c>
      <c r="B246" s="651">
        <v>0</v>
      </c>
      <c r="C246" s="651">
        <v>0</v>
      </c>
      <c r="D246" s="651">
        <v>0</v>
      </c>
      <c r="E246" s="651">
        <v>0</v>
      </c>
      <c r="F246" s="651">
        <v>0</v>
      </c>
      <c r="G246" s="652" t="s">
        <v>485</v>
      </c>
      <c r="H246" s="613">
        <v>0</v>
      </c>
      <c r="I246" s="613">
        <v>0</v>
      </c>
      <c r="J246" s="648" t="s">
        <v>486</v>
      </c>
      <c r="K246" s="663"/>
      <c r="L246" s="663"/>
      <c r="M246" s="663"/>
      <c r="N246" s="663"/>
      <c r="O246" s="663"/>
      <c r="P246" s="663"/>
      <c r="Q246" s="663"/>
      <c r="R246" s="663"/>
      <c r="S246" s="663"/>
      <c r="T246" s="663"/>
      <c r="U246" s="663"/>
      <c r="V246" s="663"/>
      <c r="W246" s="663"/>
      <c r="X246" s="663"/>
      <c r="Y246" s="663"/>
      <c r="Z246" s="663"/>
      <c r="AA246" s="663"/>
      <c r="AB246" s="663"/>
      <c r="AC246" s="663"/>
      <c r="AD246" s="663"/>
      <c r="AE246" s="663"/>
      <c r="AF246" s="663"/>
      <c r="AG246" s="663"/>
      <c r="AH246" s="663"/>
      <c r="AI246" s="663"/>
      <c r="AJ246" s="663"/>
      <c r="AK246" s="663"/>
      <c r="AL246" s="663"/>
      <c r="AM246" s="663"/>
      <c r="AN246" s="663"/>
      <c r="AO246" s="663"/>
      <c r="AP246" s="663"/>
      <c r="AQ246" s="663"/>
      <c r="AR246" s="663"/>
      <c r="AS246" s="663"/>
      <c r="AT246" s="663"/>
      <c r="AU246" s="663"/>
      <c r="AV246" s="663"/>
      <c r="AW246" s="663"/>
      <c r="AX246" s="663"/>
      <c r="AY246" s="663"/>
      <c r="AZ246" s="663"/>
      <c r="BA246" s="663"/>
      <c r="BB246" s="663"/>
      <c r="BC246" s="663"/>
      <c r="BD246" s="663"/>
      <c r="BE246" s="663"/>
      <c r="BF246" s="663"/>
      <c r="BG246" s="663"/>
      <c r="BH246" s="663"/>
      <c r="BI246" s="663"/>
      <c r="BJ246" s="663"/>
      <c r="BK246" s="663"/>
      <c r="BL246" s="663"/>
      <c r="BM246" s="663"/>
      <c r="BN246" s="663"/>
      <c r="BO246" s="663"/>
      <c r="BP246" s="663"/>
      <c r="BQ246" s="663"/>
      <c r="BR246" s="663"/>
      <c r="BS246" s="663"/>
      <c r="BT246" s="663"/>
      <c r="BU246" s="663"/>
      <c r="BV246" s="663"/>
      <c r="BW246" s="663"/>
      <c r="BX246" s="663"/>
      <c r="BY246" s="663"/>
      <c r="BZ246" s="663"/>
      <c r="CA246" s="663"/>
      <c r="CB246" s="663"/>
      <c r="CC246" s="663"/>
      <c r="CD246" s="663"/>
      <c r="CE246" s="663"/>
      <c r="CF246" s="663"/>
      <c r="CG246" s="663"/>
      <c r="CH246" s="663"/>
      <c r="CI246" s="663"/>
      <c r="CJ246" s="663"/>
      <c r="CK246" s="663"/>
      <c r="CL246" s="663"/>
      <c r="CM246" s="663"/>
      <c r="CN246" s="663"/>
      <c r="CO246" s="663"/>
      <c r="CP246" s="663"/>
      <c r="CQ246" s="663"/>
      <c r="CR246" s="663"/>
      <c r="CS246" s="663"/>
      <c r="CT246" s="663"/>
      <c r="CU246" s="663"/>
      <c r="CV246" s="663"/>
      <c r="CW246" s="663"/>
      <c r="CX246" s="663"/>
      <c r="CY246" s="663"/>
      <c r="CZ246" s="663"/>
      <c r="DA246" s="663"/>
      <c r="DB246" s="663"/>
      <c r="DC246" s="663"/>
      <c r="DD246" s="663"/>
      <c r="DE246" s="663"/>
      <c r="DF246" s="663"/>
      <c r="DG246" s="663"/>
      <c r="DH246" s="663"/>
      <c r="DI246" s="663"/>
      <c r="DJ246" s="663"/>
      <c r="DK246" s="663"/>
      <c r="DL246" s="663"/>
      <c r="DM246" s="663"/>
      <c r="DN246" s="663"/>
      <c r="DO246" s="663"/>
      <c r="DP246" s="663"/>
      <c r="DQ246" s="663"/>
      <c r="DR246" s="663"/>
      <c r="DS246" s="663"/>
      <c r="DT246" s="663"/>
      <c r="DU246" s="663"/>
      <c r="DV246" s="663"/>
      <c r="DW246" s="663"/>
      <c r="DX246" s="663"/>
      <c r="DY246" s="663"/>
      <c r="DZ246" s="663"/>
      <c r="EA246" s="663"/>
      <c r="EB246" s="663"/>
      <c r="EC246" s="663"/>
      <c r="ED246" s="663"/>
      <c r="EE246" s="663"/>
      <c r="EF246" s="663"/>
      <c r="EG246" s="663"/>
      <c r="EH246" s="663"/>
      <c r="EI246" s="663"/>
      <c r="EJ246" s="663"/>
      <c r="EK246" s="663"/>
      <c r="EL246" s="663"/>
      <c r="EM246" s="663"/>
      <c r="EN246" s="663"/>
      <c r="EO246" s="663"/>
      <c r="EP246" s="663"/>
      <c r="EQ246" s="663"/>
      <c r="ER246" s="663"/>
      <c r="ES246" s="663"/>
      <c r="ET246" s="663"/>
      <c r="EU246" s="663"/>
      <c r="EV246" s="663"/>
      <c r="EW246" s="663"/>
      <c r="EX246" s="663"/>
      <c r="EY246" s="663"/>
      <c r="EZ246" s="663"/>
      <c r="FA246" s="663"/>
      <c r="FB246" s="663"/>
      <c r="FC246" s="663"/>
      <c r="FD246" s="663"/>
      <c r="FE246" s="663"/>
      <c r="FF246" s="663"/>
      <c r="FG246" s="663"/>
      <c r="FH246" s="663"/>
      <c r="FI246" s="663"/>
      <c r="FJ246" s="663"/>
      <c r="FK246" s="663"/>
      <c r="FL246" s="663"/>
      <c r="FM246" s="663"/>
      <c r="FN246" s="663"/>
      <c r="FO246" s="663"/>
      <c r="FP246" s="663"/>
      <c r="FQ246" s="663"/>
      <c r="FR246" s="663"/>
      <c r="FS246" s="663"/>
      <c r="FT246" s="663"/>
      <c r="FU246" s="663"/>
      <c r="FV246" s="663"/>
      <c r="FW246" s="663"/>
      <c r="FX246" s="663"/>
      <c r="FY246" s="663"/>
      <c r="FZ246" s="663"/>
      <c r="GA246" s="663"/>
      <c r="GB246" s="663"/>
      <c r="GC246" s="663"/>
      <c r="GD246" s="663"/>
      <c r="GE246" s="663"/>
      <c r="GF246" s="663"/>
      <c r="GG246" s="663"/>
    </row>
    <row r="247" spans="1:189">
      <c r="A247" s="632">
        <v>720</v>
      </c>
      <c r="B247" s="633">
        <v>0</v>
      </c>
      <c r="C247" s="633">
        <v>0</v>
      </c>
      <c r="D247" s="633">
        <v>0</v>
      </c>
      <c r="E247" s="633">
        <v>0</v>
      </c>
      <c r="F247" s="633">
        <v>0</v>
      </c>
      <c r="G247" s="646" t="s">
        <v>99</v>
      </c>
      <c r="H247" s="607">
        <v>0</v>
      </c>
      <c r="I247" s="607">
        <v>0</v>
      </c>
      <c r="J247" s="635" t="s">
        <v>487</v>
      </c>
      <c r="K247" s="663"/>
      <c r="L247" s="663"/>
      <c r="M247" s="663"/>
      <c r="N247" s="663"/>
      <c r="O247" s="663"/>
      <c r="P247" s="663"/>
      <c r="Q247" s="663"/>
      <c r="R247" s="663"/>
      <c r="S247" s="663"/>
      <c r="T247" s="663"/>
      <c r="U247" s="663"/>
      <c r="V247" s="663"/>
      <c r="W247" s="663"/>
      <c r="X247" s="663"/>
      <c r="Y247" s="663"/>
      <c r="Z247" s="663"/>
      <c r="AA247" s="663"/>
      <c r="AB247" s="663"/>
      <c r="AC247" s="663"/>
      <c r="AD247" s="663"/>
      <c r="AE247" s="663"/>
      <c r="AF247" s="663"/>
      <c r="AG247" s="663"/>
      <c r="AH247" s="663"/>
      <c r="AI247" s="663"/>
      <c r="AJ247" s="663"/>
      <c r="AK247" s="663"/>
      <c r="AL247" s="663"/>
      <c r="AM247" s="663"/>
      <c r="AN247" s="663"/>
      <c r="AO247" s="663"/>
      <c r="AP247" s="663"/>
      <c r="AQ247" s="663"/>
      <c r="AR247" s="663"/>
      <c r="AS247" s="663"/>
      <c r="AT247" s="663"/>
      <c r="AU247" s="663"/>
      <c r="AV247" s="663"/>
      <c r="AW247" s="663"/>
      <c r="AX247" s="663"/>
      <c r="AY247" s="663"/>
      <c r="AZ247" s="663"/>
      <c r="BA247" s="663"/>
      <c r="BB247" s="663"/>
      <c r="BC247" s="663"/>
      <c r="BD247" s="663"/>
      <c r="BE247" s="663"/>
      <c r="BF247" s="663"/>
      <c r="BG247" s="663"/>
      <c r="BH247" s="663"/>
      <c r="BI247" s="663"/>
      <c r="BJ247" s="663"/>
      <c r="BK247" s="663"/>
      <c r="BL247" s="663"/>
      <c r="BM247" s="663"/>
      <c r="BN247" s="663"/>
      <c r="BO247" s="663"/>
      <c r="BP247" s="663"/>
      <c r="BQ247" s="663"/>
      <c r="BR247" s="663"/>
      <c r="BS247" s="663"/>
      <c r="BT247" s="663"/>
      <c r="BU247" s="663"/>
      <c r="BV247" s="663"/>
      <c r="BW247" s="663"/>
      <c r="BX247" s="663"/>
      <c r="BY247" s="663"/>
      <c r="BZ247" s="663"/>
      <c r="CA247" s="663"/>
      <c r="CB247" s="663"/>
      <c r="CC247" s="663"/>
      <c r="CD247" s="663"/>
      <c r="CE247" s="663"/>
      <c r="CF247" s="663"/>
      <c r="CG247" s="663"/>
      <c r="CH247" s="663"/>
      <c r="CI247" s="663"/>
      <c r="CJ247" s="663"/>
      <c r="CK247" s="663"/>
      <c r="CL247" s="663"/>
      <c r="CM247" s="663"/>
      <c r="CN247" s="663"/>
      <c r="CO247" s="663"/>
      <c r="CP247" s="663"/>
      <c r="CQ247" s="663"/>
      <c r="CR247" s="663"/>
      <c r="CS247" s="663"/>
      <c r="CT247" s="663"/>
      <c r="CU247" s="663"/>
      <c r="CV247" s="663"/>
      <c r="CW247" s="663"/>
      <c r="CX247" s="663"/>
      <c r="CY247" s="663"/>
      <c r="CZ247" s="663"/>
      <c r="DA247" s="663"/>
      <c r="DB247" s="663"/>
      <c r="DC247" s="663"/>
      <c r="DD247" s="663"/>
      <c r="DE247" s="663"/>
      <c r="DF247" s="663"/>
      <c r="DG247" s="663"/>
      <c r="DH247" s="663"/>
      <c r="DI247" s="663"/>
      <c r="DJ247" s="663"/>
      <c r="DK247" s="663"/>
      <c r="DL247" s="663"/>
      <c r="DM247" s="663"/>
      <c r="DN247" s="663"/>
      <c r="DO247" s="663"/>
      <c r="DP247" s="663"/>
      <c r="DQ247" s="663"/>
      <c r="DR247" s="663"/>
      <c r="DS247" s="663"/>
      <c r="DT247" s="663"/>
      <c r="DU247" s="663"/>
      <c r="DV247" s="663"/>
      <c r="DW247" s="663"/>
      <c r="DX247" s="663"/>
      <c r="DY247" s="663"/>
      <c r="DZ247" s="663"/>
      <c r="EA247" s="663"/>
      <c r="EB247" s="663"/>
      <c r="EC247" s="663"/>
      <c r="ED247" s="663"/>
      <c r="EE247" s="663"/>
      <c r="EF247" s="663"/>
      <c r="EG247" s="663"/>
      <c r="EH247" s="663"/>
      <c r="EI247" s="663"/>
      <c r="EJ247" s="663"/>
      <c r="EK247" s="663"/>
      <c r="EL247" s="663"/>
      <c r="EM247" s="663"/>
      <c r="EN247" s="663"/>
      <c r="EO247" s="663"/>
      <c r="EP247" s="663"/>
      <c r="EQ247" s="663"/>
      <c r="ER247" s="663"/>
      <c r="ES247" s="663"/>
      <c r="ET247" s="663"/>
      <c r="EU247" s="663"/>
      <c r="EV247" s="663"/>
      <c r="EW247" s="663"/>
      <c r="EX247" s="663"/>
      <c r="EY247" s="663"/>
      <c r="EZ247" s="663"/>
      <c r="FA247" s="663"/>
      <c r="FB247" s="663"/>
      <c r="FC247" s="663"/>
      <c r="FD247" s="663"/>
      <c r="FE247" s="663"/>
      <c r="FF247" s="663"/>
      <c r="FG247" s="663"/>
      <c r="FH247" s="663"/>
      <c r="FI247" s="663"/>
      <c r="FJ247" s="663"/>
      <c r="FK247" s="663"/>
      <c r="FL247" s="663"/>
      <c r="FM247" s="663"/>
      <c r="FN247" s="663"/>
      <c r="FO247" s="663"/>
      <c r="FP247" s="663"/>
      <c r="FQ247" s="663"/>
      <c r="FR247" s="663"/>
      <c r="FS247" s="663"/>
      <c r="FT247" s="663"/>
      <c r="FU247" s="663"/>
      <c r="FV247" s="663"/>
      <c r="FW247" s="663"/>
      <c r="FX247" s="663"/>
      <c r="FY247" s="663"/>
      <c r="FZ247" s="663"/>
      <c r="GA247" s="663"/>
      <c r="GB247" s="663"/>
      <c r="GC247" s="663"/>
      <c r="GD247" s="663"/>
      <c r="GE247" s="663"/>
      <c r="GF247" s="663"/>
      <c r="GG247" s="663"/>
    </row>
    <row r="248" spans="1:189">
      <c r="A248" s="655">
        <v>720</v>
      </c>
      <c r="B248" s="640">
        <v>100</v>
      </c>
      <c r="C248" s="640"/>
      <c r="D248" s="640"/>
      <c r="E248" s="640"/>
      <c r="F248" s="640"/>
      <c r="G248" s="203" t="s">
        <v>488</v>
      </c>
      <c r="H248" s="504">
        <v>0</v>
      </c>
      <c r="I248" s="504">
        <v>0</v>
      </c>
      <c r="J248" s="641" t="s">
        <v>489</v>
      </c>
      <c r="K248" s="663"/>
      <c r="L248" s="663"/>
      <c r="M248" s="663"/>
      <c r="N248" s="663"/>
      <c r="O248" s="663"/>
      <c r="P248" s="663"/>
      <c r="Q248" s="663"/>
      <c r="R248" s="663"/>
      <c r="S248" s="663"/>
      <c r="T248" s="663"/>
      <c r="U248" s="663"/>
      <c r="V248" s="663"/>
      <c r="W248" s="663"/>
      <c r="X248" s="663"/>
      <c r="Y248" s="663"/>
      <c r="Z248" s="663"/>
      <c r="AA248" s="663"/>
      <c r="AB248" s="663"/>
      <c r="AC248" s="663"/>
      <c r="AD248" s="663"/>
      <c r="AE248" s="663"/>
      <c r="AF248" s="663"/>
      <c r="AG248" s="663"/>
      <c r="AH248" s="663"/>
      <c r="AI248" s="663"/>
      <c r="AJ248" s="663"/>
      <c r="AK248" s="663"/>
      <c r="AL248" s="663"/>
      <c r="AM248" s="663"/>
      <c r="AN248" s="663"/>
      <c r="AO248" s="663"/>
      <c r="AP248" s="663"/>
      <c r="AQ248" s="663"/>
      <c r="AR248" s="663"/>
      <c r="AS248" s="663"/>
      <c r="AT248" s="663"/>
      <c r="AU248" s="663"/>
      <c r="AV248" s="663"/>
      <c r="AW248" s="663"/>
      <c r="AX248" s="663"/>
      <c r="AY248" s="663"/>
      <c r="AZ248" s="663"/>
      <c r="BA248" s="663"/>
      <c r="BB248" s="663"/>
      <c r="BC248" s="663"/>
      <c r="BD248" s="663"/>
      <c r="BE248" s="663"/>
      <c r="BF248" s="663"/>
      <c r="BG248" s="663"/>
      <c r="BH248" s="663"/>
      <c r="BI248" s="663"/>
      <c r="BJ248" s="663"/>
      <c r="BK248" s="663"/>
      <c r="BL248" s="663"/>
      <c r="BM248" s="663"/>
      <c r="BN248" s="663"/>
      <c r="BO248" s="663"/>
      <c r="BP248" s="663"/>
      <c r="BQ248" s="663"/>
      <c r="BR248" s="663"/>
      <c r="BS248" s="663"/>
      <c r="BT248" s="663"/>
      <c r="BU248" s="663"/>
      <c r="BV248" s="663"/>
      <c r="BW248" s="663"/>
      <c r="BX248" s="663"/>
      <c r="BY248" s="663"/>
      <c r="BZ248" s="663"/>
      <c r="CA248" s="663"/>
      <c r="CB248" s="663"/>
      <c r="CC248" s="663"/>
      <c r="CD248" s="663"/>
      <c r="CE248" s="663"/>
      <c r="CF248" s="663"/>
      <c r="CG248" s="663"/>
      <c r="CH248" s="663"/>
      <c r="CI248" s="663"/>
      <c r="CJ248" s="663"/>
      <c r="CK248" s="663"/>
      <c r="CL248" s="663"/>
      <c r="CM248" s="663"/>
      <c r="CN248" s="663"/>
      <c r="CO248" s="663"/>
      <c r="CP248" s="663"/>
      <c r="CQ248" s="663"/>
      <c r="CR248" s="663"/>
      <c r="CS248" s="663"/>
      <c r="CT248" s="663"/>
      <c r="CU248" s="663"/>
      <c r="CV248" s="663"/>
      <c r="CW248" s="663"/>
      <c r="CX248" s="663"/>
      <c r="CY248" s="663"/>
      <c r="CZ248" s="663"/>
      <c r="DA248" s="663"/>
      <c r="DB248" s="663"/>
      <c r="DC248" s="663"/>
      <c r="DD248" s="663"/>
      <c r="DE248" s="663"/>
      <c r="DF248" s="663"/>
      <c r="DG248" s="663"/>
      <c r="DH248" s="663"/>
      <c r="DI248" s="663"/>
      <c r="DJ248" s="663"/>
      <c r="DK248" s="663"/>
      <c r="DL248" s="663"/>
      <c r="DM248" s="663"/>
      <c r="DN248" s="663"/>
      <c r="DO248" s="663"/>
      <c r="DP248" s="663"/>
      <c r="DQ248" s="663"/>
      <c r="DR248" s="663"/>
      <c r="DS248" s="663"/>
      <c r="DT248" s="663"/>
      <c r="DU248" s="663"/>
      <c r="DV248" s="663"/>
      <c r="DW248" s="663"/>
      <c r="DX248" s="663"/>
      <c r="DY248" s="663"/>
      <c r="DZ248" s="663"/>
      <c r="EA248" s="663"/>
      <c r="EB248" s="663"/>
      <c r="EC248" s="663"/>
      <c r="ED248" s="663"/>
      <c r="EE248" s="663"/>
      <c r="EF248" s="663"/>
      <c r="EG248" s="663"/>
      <c r="EH248" s="663"/>
      <c r="EI248" s="663"/>
      <c r="EJ248" s="663"/>
      <c r="EK248" s="663"/>
      <c r="EL248" s="663"/>
      <c r="EM248" s="663"/>
      <c r="EN248" s="663"/>
      <c r="EO248" s="663"/>
      <c r="EP248" s="663"/>
      <c r="EQ248" s="663"/>
      <c r="ER248" s="663"/>
      <c r="ES248" s="663"/>
      <c r="ET248" s="663"/>
      <c r="EU248" s="663"/>
      <c r="EV248" s="663"/>
      <c r="EW248" s="663"/>
      <c r="EX248" s="663"/>
      <c r="EY248" s="663"/>
      <c r="EZ248" s="663"/>
      <c r="FA248" s="663"/>
      <c r="FB248" s="663"/>
      <c r="FC248" s="663"/>
      <c r="FD248" s="663"/>
      <c r="FE248" s="663"/>
      <c r="FF248" s="663"/>
      <c r="FG248" s="663"/>
      <c r="FH248" s="663"/>
      <c r="FI248" s="663"/>
      <c r="FJ248" s="663"/>
      <c r="FK248" s="663"/>
      <c r="FL248" s="663"/>
      <c r="FM248" s="663"/>
      <c r="FN248" s="663"/>
      <c r="FO248" s="663"/>
      <c r="FP248" s="663"/>
      <c r="FQ248" s="663"/>
      <c r="FR248" s="663"/>
      <c r="FS248" s="663"/>
      <c r="FT248" s="663"/>
      <c r="FU248" s="663"/>
      <c r="FV248" s="663"/>
      <c r="FW248" s="663"/>
      <c r="FX248" s="663"/>
      <c r="FY248" s="663"/>
      <c r="FZ248" s="663"/>
      <c r="GA248" s="663"/>
      <c r="GB248" s="663"/>
      <c r="GC248" s="663"/>
      <c r="GD248" s="663"/>
      <c r="GE248" s="663"/>
      <c r="GF248" s="663"/>
      <c r="GG248" s="663"/>
    </row>
    <row r="249" spans="1:189">
      <c r="A249" s="655">
        <v>720</v>
      </c>
      <c r="B249" s="649">
        <v>200</v>
      </c>
      <c r="C249" s="649"/>
      <c r="D249" s="649"/>
      <c r="E249" s="649"/>
      <c r="F249" s="649"/>
      <c r="G249" s="638" t="s">
        <v>490</v>
      </c>
      <c r="H249" s="505">
        <v>0</v>
      </c>
      <c r="I249" s="505">
        <v>0</v>
      </c>
      <c r="J249" s="641" t="s">
        <v>491</v>
      </c>
      <c r="K249" s="663"/>
      <c r="L249" s="663"/>
      <c r="M249" s="663"/>
      <c r="N249" s="663"/>
      <c r="O249" s="663"/>
      <c r="P249" s="663"/>
      <c r="Q249" s="663"/>
      <c r="R249" s="663"/>
      <c r="S249" s="663"/>
      <c r="T249" s="663"/>
      <c r="U249" s="663"/>
      <c r="V249" s="663"/>
      <c r="W249" s="663"/>
      <c r="X249" s="663"/>
      <c r="Y249" s="663"/>
      <c r="Z249" s="663"/>
      <c r="AA249" s="663"/>
      <c r="AB249" s="663"/>
      <c r="AC249" s="663"/>
      <c r="AD249" s="663"/>
      <c r="AE249" s="663"/>
      <c r="AF249" s="663"/>
      <c r="AG249" s="663"/>
      <c r="AH249" s="663"/>
      <c r="AI249" s="663"/>
      <c r="AJ249" s="663"/>
      <c r="AK249" s="663"/>
      <c r="AL249" s="663"/>
      <c r="AM249" s="663"/>
      <c r="AN249" s="663"/>
      <c r="AO249" s="663"/>
      <c r="AP249" s="663"/>
      <c r="AQ249" s="663"/>
      <c r="AR249" s="663"/>
      <c r="AS249" s="663"/>
      <c r="AT249" s="663"/>
      <c r="AU249" s="663"/>
      <c r="AV249" s="663"/>
      <c r="AW249" s="663"/>
      <c r="AX249" s="663"/>
      <c r="AY249" s="663"/>
      <c r="AZ249" s="663"/>
      <c r="BA249" s="663"/>
      <c r="BB249" s="663"/>
      <c r="BC249" s="663"/>
      <c r="BD249" s="663"/>
      <c r="BE249" s="663"/>
      <c r="BF249" s="663"/>
      <c r="BG249" s="663"/>
      <c r="BH249" s="663"/>
      <c r="BI249" s="663"/>
      <c r="BJ249" s="663"/>
      <c r="BK249" s="663"/>
      <c r="BL249" s="663"/>
      <c r="BM249" s="663"/>
      <c r="BN249" s="663"/>
      <c r="BO249" s="663"/>
      <c r="BP249" s="663"/>
      <c r="BQ249" s="663"/>
      <c r="BR249" s="663"/>
      <c r="BS249" s="663"/>
      <c r="BT249" s="663"/>
      <c r="BU249" s="663"/>
      <c r="BV249" s="663"/>
      <c r="BW249" s="663"/>
      <c r="BX249" s="663"/>
      <c r="BY249" s="663"/>
      <c r="BZ249" s="663"/>
      <c r="CA249" s="663"/>
      <c r="CB249" s="663"/>
      <c r="CC249" s="663"/>
      <c r="CD249" s="663"/>
      <c r="CE249" s="663"/>
      <c r="CF249" s="663"/>
      <c r="CG249" s="663"/>
      <c r="CH249" s="663"/>
      <c r="CI249" s="663"/>
      <c r="CJ249" s="663"/>
      <c r="CK249" s="663"/>
      <c r="CL249" s="663"/>
      <c r="CM249" s="663"/>
      <c r="CN249" s="663"/>
      <c r="CO249" s="663"/>
      <c r="CP249" s="663"/>
      <c r="CQ249" s="663"/>
      <c r="CR249" s="663"/>
      <c r="CS249" s="663"/>
      <c r="CT249" s="663"/>
      <c r="CU249" s="663"/>
      <c r="CV249" s="663"/>
      <c r="CW249" s="663"/>
      <c r="CX249" s="663"/>
      <c r="CY249" s="663"/>
      <c r="CZ249" s="663"/>
      <c r="DA249" s="663"/>
      <c r="DB249" s="663"/>
      <c r="DC249" s="663"/>
      <c r="DD249" s="663"/>
      <c r="DE249" s="663"/>
      <c r="DF249" s="663"/>
      <c r="DG249" s="663"/>
      <c r="DH249" s="663"/>
      <c r="DI249" s="663"/>
      <c r="DJ249" s="663"/>
      <c r="DK249" s="663"/>
      <c r="DL249" s="663"/>
      <c r="DM249" s="663"/>
      <c r="DN249" s="663"/>
      <c r="DO249" s="663"/>
      <c r="DP249" s="663"/>
      <c r="DQ249" s="663"/>
      <c r="DR249" s="663"/>
      <c r="DS249" s="663"/>
      <c r="DT249" s="663"/>
      <c r="DU249" s="663"/>
      <c r="DV249" s="663"/>
      <c r="DW249" s="663"/>
      <c r="DX249" s="663"/>
      <c r="DY249" s="663"/>
      <c r="DZ249" s="663"/>
      <c r="EA249" s="663"/>
      <c r="EB249" s="663"/>
      <c r="EC249" s="663"/>
      <c r="ED249" s="663"/>
      <c r="EE249" s="663"/>
      <c r="EF249" s="663"/>
      <c r="EG249" s="663"/>
      <c r="EH249" s="663"/>
      <c r="EI249" s="663"/>
      <c r="EJ249" s="663"/>
      <c r="EK249" s="663"/>
      <c r="EL249" s="663"/>
      <c r="EM249" s="663"/>
      <c r="EN249" s="663"/>
      <c r="EO249" s="663"/>
      <c r="EP249" s="663"/>
      <c r="EQ249" s="663"/>
      <c r="ER249" s="663"/>
      <c r="ES249" s="663"/>
      <c r="ET249" s="663"/>
      <c r="EU249" s="663"/>
      <c r="EV249" s="663"/>
      <c r="EW249" s="663"/>
      <c r="EX249" s="663"/>
      <c r="EY249" s="663"/>
      <c r="EZ249" s="663"/>
      <c r="FA249" s="663"/>
      <c r="FB249" s="663"/>
      <c r="FC249" s="663"/>
      <c r="FD249" s="663"/>
      <c r="FE249" s="663"/>
      <c r="FF249" s="663"/>
      <c r="FG249" s="663"/>
      <c r="FH249" s="663"/>
      <c r="FI249" s="663"/>
      <c r="FJ249" s="663"/>
      <c r="FK249" s="663"/>
      <c r="FL249" s="663"/>
      <c r="FM249" s="663"/>
      <c r="FN249" s="663"/>
      <c r="FO249" s="663"/>
      <c r="FP249" s="663"/>
      <c r="FQ249" s="663"/>
      <c r="FR249" s="663"/>
      <c r="FS249" s="663"/>
      <c r="FT249" s="663"/>
      <c r="FU249" s="663"/>
      <c r="FV249" s="663"/>
      <c r="FW249" s="663"/>
      <c r="FX249" s="663"/>
      <c r="FY249" s="663"/>
      <c r="FZ249" s="663"/>
      <c r="GA249" s="663"/>
      <c r="GB249" s="663"/>
      <c r="GC249" s="663"/>
      <c r="GD249" s="663"/>
      <c r="GE249" s="663"/>
      <c r="GF249" s="663"/>
      <c r="GG249" s="663"/>
    </row>
    <row r="250" spans="1:189">
      <c r="A250" s="655">
        <v>720</v>
      </c>
      <c r="B250" s="649">
        <v>200</v>
      </c>
      <c r="C250" s="649">
        <v>100</v>
      </c>
      <c r="D250" s="649"/>
      <c r="E250" s="649"/>
      <c r="F250" s="649"/>
      <c r="G250" s="638" t="s">
        <v>492</v>
      </c>
      <c r="H250" s="504">
        <v>17269.060000000001</v>
      </c>
      <c r="I250" s="504">
        <v>18176</v>
      </c>
      <c r="J250" s="641" t="s">
        <v>493</v>
      </c>
      <c r="K250" s="663"/>
      <c r="L250" s="663"/>
      <c r="M250" s="663"/>
      <c r="N250" s="663"/>
      <c r="O250" s="663"/>
      <c r="P250" s="663"/>
      <c r="Q250" s="663"/>
      <c r="R250" s="663"/>
      <c r="S250" s="663"/>
      <c r="T250" s="663"/>
      <c r="U250" s="663"/>
      <c r="V250" s="663"/>
      <c r="W250" s="663"/>
      <c r="X250" s="663"/>
      <c r="Y250" s="663"/>
      <c r="Z250" s="663"/>
      <c r="AA250" s="663"/>
      <c r="AB250" s="663"/>
      <c r="AC250" s="663"/>
      <c r="AD250" s="663"/>
      <c r="AE250" s="663"/>
      <c r="AF250" s="663"/>
      <c r="AG250" s="663"/>
      <c r="AH250" s="663"/>
      <c r="AI250" s="663"/>
      <c r="AJ250" s="663"/>
      <c r="AK250" s="663"/>
      <c r="AL250" s="663"/>
      <c r="AM250" s="663"/>
      <c r="AN250" s="663"/>
      <c r="AO250" s="663"/>
      <c r="AP250" s="663"/>
      <c r="AQ250" s="663"/>
      <c r="AR250" s="663"/>
      <c r="AS250" s="663"/>
      <c r="AT250" s="663"/>
      <c r="AU250" s="663"/>
      <c r="AV250" s="663"/>
      <c r="AW250" s="663"/>
      <c r="AX250" s="663"/>
      <c r="AY250" s="663"/>
      <c r="AZ250" s="663"/>
      <c r="BA250" s="663"/>
      <c r="BB250" s="663"/>
      <c r="BC250" s="663"/>
      <c r="BD250" s="663"/>
      <c r="BE250" s="663"/>
      <c r="BF250" s="663"/>
      <c r="BG250" s="663"/>
      <c r="BH250" s="663"/>
      <c r="BI250" s="663"/>
      <c r="BJ250" s="663"/>
      <c r="BK250" s="663"/>
      <c r="BL250" s="663"/>
      <c r="BM250" s="663"/>
      <c r="BN250" s="663"/>
      <c r="BO250" s="663"/>
      <c r="BP250" s="663"/>
      <c r="BQ250" s="663"/>
      <c r="BR250" s="663"/>
      <c r="BS250" s="663"/>
      <c r="BT250" s="663"/>
      <c r="BU250" s="663"/>
      <c r="BV250" s="663"/>
      <c r="BW250" s="663"/>
      <c r="BX250" s="663"/>
      <c r="BY250" s="663"/>
      <c r="BZ250" s="663"/>
      <c r="CA250" s="663"/>
      <c r="CB250" s="663"/>
      <c r="CC250" s="663"/>
      <c r="CD250" s="663"/>
      <c r="CE250" s="663"/>
      <c r="CF250" s="663"/>
      <c r="CG250" s="663"/>
      <c r="CH250" s="663"/>
      <c r="CI250" s="663"/>
      <c r="CJ250" s="663"/>
      <c r="CK250" s="663"/>
      <c r="CL250" s="663"/>
      <c r="CM250" s="663"/>
      <c r="CN250" s="663"/>
      <c r="CO250" s="663"/>
      <c r="CP250" s="663"/>
      <c r="CQ250" s="663"/>
      <c r="CR250" s="663"/>
      <c r="CS250" s="663"/>
      <c r="CT250" s="663"/>
      <c r="CU250" s="663"/>
      <c r="CV250" s="663"/>
      <c r="CW250" s="663"/>
      <c r="CX250" s="663"/>
      <c r="CY250" s="663"/>
      <c r="CZ250" s="663"/>
      <c r="DA250" s="663"/>
      <c r="DB250" s="663"/>
      <c r="DC250" s="663"/>
      <c r="DD250" s="663"/>
      <c r="DE250" s="663"/>
      <c r="DF250" s="663"/>
      <c r="DG250" s="663"/>
      <c r="DH250" s="663"/>
      <c r="DI250" s="663"/>
      <c r="DJ250" s="663"/>
      <c r="DK250" s="663"/>
      <c r="DL250" s="663"/>
      <c r="DM250" s="663"/>
      <c r="DN250" s="663"/>
      <c r="DO250" s="663"/>
      <c r="DP250" s="663"/>
      <c r="DQ250" s="663"/>
      <c r="DR250" s="663"/>
      <c r="DS250" s="663"/>
      <c r="DT250" s="663"/>
      <c r="DU250" s="663"/>
      <c r="DV250" s="663"/>
      <c r="DW250" s="663"/>
      <c r="DX250" s="663"/>
      <c r="DY250" s="663"/>
      <c r="DZ250" s="663"/>
      <c r="EA250" s="663"/>
      <c r="EB250" s="663"/>
      <c r="EC250" s="663"/>
      <c r="ED250" s="663"/>
      <c r="EE250" s="663"/>
      <c r="EF250" s="663"/>
      <c r="EG250" s="663"/>
      <c r="EH250" s="663"/>
      <c r="EI250" s="663"/>
      <c r="EJ250" s="663"/>
      <c r="EK250" s="663"/>
      <c r="EL250" s="663"/>
      <c r="EM250" s="663"/>
      <c r="EN250" s="663"/>
      <c r="EO250" s="663"/>
      <c r="EP250" s="663"/>
      <c r="EQ250" s="663"/>
      <c r="ER250" s="663"/>
      <c r="ES250" s="663"/>
      <c r="ET250" s="663"/>
      <c r="EU250" s="663"/>
      <c r="EV250" s="663"/>
      <c r="EW250" s="663"/>
      <c r="EX250" s="663"/>
      <c r="EY250" s="663"/>
      <c r="EZ250" s="663"/>
      <c r="FA250" s="663"/>
      <c r="FB250" s="663"/>
      <c r="FC250" s="663"/>
      <c r="FD250" s="663"/>
      <c r="FE250" s="663"/>
      <c r="FF250" s="663"/>
      <c r="FG250" s="663"/>
      <c r="FH250" s="663"/>
      <c r="FI250" s="663"/>
      <c r="FJ250" s="663"/>
      <c r="FK250" s="663"/>
      <c r="FL250" s="663"/>
      <c r="FM250" s="663"/>
      <c r="FN250" s="663"/>
      <c r="FO250" s="663"/>
      <c r="FP250" s="663"/>
      <c r="FQ250" s="663"/>
      <c r="FR250" s="663"/>
      <c r="FS250" s="663"/>
      <c r="FT250" s="663"/>
      <c r="FU250" s="663"/>
      <c r="FV250" s="663"/>
      <c r="FW250" s="663"/>
      <c r="FX250" s="663"/>
      <c r="FY250" s="663"/>
      <c r="FZ250" s="663"/>
      <c r="GA250" s="663"/>
      <c r="GB250" s="663"/>
      <c r="GC250" s="663"/>
      <c r="GD250" s="663"/>
      <c r="GE250" s="663"/>
      <c r="GF250" s="663"/>
      <c r="GG250" s="663"/>
    </row>
    <row r="251" spans="1:189">
      <c r="A251" s="655">
        <v>720</v>
      </c>
      <c r="B251" s="649">
        <v>200</v>
      </c>
      <c r="C251" s="649">
        <v>200</v>
      </c>
      <c r="D251" s="649"/>
      <c r="E251" s="649"/>
      <c r="F251" s="649"/>
      <c r="G251" s="638" t="s">
        <v>494</v>
      </c>
      <c r="H251" s="505">
        <v>0</v>
      </c>
      <c r="I251" s="505">
        <v>0</v>
      </c>
      <c r="J251" s="641" t="s">
        <v>495</v>
      </c>
      <c r="K251" s="663"/>
      <c r="L251" s="663"/>
      <c r="M251" s="663"/>
      <c r="N251" s="663"/>
      <c r="O251" s="663"/>
      <c r="P251" s="663"/>
      <c r="Q251" s="663"/>
      <c r="R251" s="663"/>
      <c r="S251" s="663"/>
      <c r="T251" s="663"/>
      <c r="U251" s="663"/>
      <c r="V251" s="663"/>
      <c r="W251" s="663"/>
      <c r="X251" s="663"/>
      <c r="Y251" s="663"/>
      <c r="Z251" s="663"/>
      <c r="AA251" s="663"/>
      <c r="AB251" s="663"/>
      <c r="AC251" s="663"/>
      <c r="AD251" s="663"/>
      <c r="AE251" s="663"/>
      <c r="AF251" s="663"/>
      <c r="AG251" s="663"/>
      <c r="AH251" s="663"/>
      <c r="AI251" s="663"/>
      <c r="AJ251" s="663"/>
      <c r="AK251" s="663"/>
      <c r="AL251" s="663"/>
      <c r="AM251" s="663"/>
      <c r="AN251" s="663"/>
      <c r="AO251" s="663"/>
      <c r="AP251" s="663"/>
      <c r="AQ251" s="663"/>
      <c r="AR251" s="663"/>
      <c r="AS251" s="663"/>
      <c r="AT251" s="663"/>
      <c r="AU251" s="663"/>
      <c r="AV251" s="663"/>
      <c r="AW251" s="663"/>
      <c r="AX251" s="663"/>
      <c r="AY251" s="663"/>
      <c r="AZ251" s="663"/>
      <c r="BA251" s="663"/>
      <c r="BB251" s="663"/>
      <c r="BC251" s="663"/>
      <c r="BD251" s="663"/>
      <c r="BE251" s="663"/>
      <c r="BF251" s="663"/>
      <c r="BG251" s="663"/>
      <c r="BH251" s="663"/>
      <c r="BI251" s="663"/>
      <c r="BJ251" s="663"/>
      <c r="BK251" s="663"/>
      <c r="BL251" s="663"/>
      <c r="BM251" s="663"/>
      <c r="BN251" s="663"/>
      <c r="BO251" s="663"/>
      <c r="BP251" s="663"/>
      <c r="BQ251" s="663"/>
      <c r="BR251" s="663"/>
      <c r="BS251" s="663"/>
      <c r="BT251" s="663"/>
      <c r="BU251" s="663"/>
      <c r="BV251" s="663"/>
      <c r="BW251" s="663"/>
      <c r="BX251" s="663"/>
      <c r="BY251" s="663"/>
      <c r="BZ251" s="663"/>
      <c r="CA251" s="663"/>
      <c r="CB251" s="663"/>
      <c r="CC251" s="663"/>
      <c r="CD251" s="663"/>
      <c r="CE251" s="663"/>
      <c r="CF251" s="663"/>
      <c r="CG251" s="663"/>
      <c r="CH251" s="663"/>
      <c r="CI251" s="663"/>
      <c r="CJ251" s="663"/>
      <c r="CK251" s="663"/>
      <c r="CL251" s="663"/>
      <c r="CM251" s="663"/>
      <c r="CN251" s="663"/>
      <c r="CO251" s="663"/>
      <c r="CP251" s="663"/>
      <c r="CQ251" s="663"/>
      <c r="CR251" s="663"/>
      <c r="CS251" s="663"/>
      <c r="CT251" s="663"/>
      <c r="CU251" s="663"/>
      <c r="CV251" s="663"/>
      <c r="CW251" s="663"/>
      <c r="CX251" s="663"/>
      <c r="CY251" s="663"/>
      <c r="CZ251" s="663"/>
      <c r="DA251" s="663"/>
      <c r="DB251" s="663"/>
      <c r="DC251" s="663"/>
      <c r="DD251" s="663"/>
      <c r="DE251" s="663"/>
      <c r="DF251" s="663"/>
      <c r="DG251" s="663"/>
      <c r="DH251" s="663"/>
      <c r="DI251" s="663"/>
      <c r="DJ251" s="663"/>
      <c r="DK251" s="663"/>
      <c r="DL251" s="663"/>
      <c r="DM251" s="663"/>
      <c r="DN251" s="663"/>
      <c r="DO251" s="663"/>
      <c r="DP251" s="663"/>
      <c r="DQ251" s="663"/>
      <c r="DR251" s="663"/>
      <c r="DS251" s="663"/>
      <c r="DT251" s="663"/>
      <c r="DU251" s="663"/>
      <c r="DV251" s="663"/>
      <c r="DW251" s="663"/>
      <c r="DX251" s="663"/>
      <c r="DY251" s="663"/>
      <c r="DZ251" s="663"/>
      <c r="EA251" s="663"/>
      <c r="EB251" s="663"/>
      <c r="EC251" s="663"/>
      <c r="ED251" s="663"/>
      <c r="EE251" s="663"/>
      <c r="EF251" s="663"/>
      <c r="EG251" s="663"/>
      <c r="EH251" s="663"/>
      <c r="EI251" s="663"/>
      <c r="EJ251" s="663"/>
      <c r="EK251" s="663"/>
      <c r="EL251" s="663"/>
      <c r="EM251" s="663"/>
      <c r="EN251" s="663"/>
      <c r="EO251" s="663"/>
      <c r="EP251" s="663"/>
      <c r="EQ251" s="663"/>
      <c r="ER251" s="663"/>
      <c r="ES251" s="663"/>
      <c r="ET251" s="663"/>
      <c r="EU251" s="663"/>
      <c r="EV251" s="663"/>
      <c r="EW251" s="663"/>
      <c r="EX251" s="663"/>
      <c r="EY251" s="663"/>
      <c r="EZ251" s="663"/>
      <c r="FA251" s="663"/>
      <c r="FB251" s="663"/>
      <c r="FC251" s="663"/>
      <c r="FD251" s="663"/>
      <c r="FE251" s="663"/>
      <c r="FF251" s="663"/>
      <c r="FG251" s="663"/>
      <c r="FH251" s="663"/>
      <c r="FI251" s="663"/>
      <c r="FJ251" s="663"/>
      <c r="FK251" s="663"/>
      <c r="FL251" s="663"/>
      <c r="FM251" s="663"/>
      <c r="FN251" s="663"/>
      <c r="FO251" s="663"/>
      <c r="FP251" s="663"/>
      <c r="FQ251" s="663"/>
      <c r="FR251" s="663"/>
      <c r="FS251" s="663"/>
      <c r="FT251" s="663"/>
      <c r="FU251" s="663"/>
      <c r="FV251" s="663"/>
      <c r="FW251" s="663"/>
      <c r="FX251" s="663"/>
      <c r="FY251" s="663"/>
      <c r="FZ251" s="663"/>
      <c r="GA251" s="663"/>
      <c r="GB251" s="663"/>
      <c r="GC251" s="663"/>
      <c r="GD251" s="663"/>
      <c r="GE251" s="663"/>
      <c r="GF251" s="663"/>
      <c r="GG251" s="663"/>
    </row>
    <row r="252" spans="1:189">
      <c r="A252" s="655">
        <v>720</v>
      </c>
      <c r="B252" s="649">
        <v>200</v>
      </c>
      <c r="C252" s="649">
        <v>200</v>
      </c>
      <c r="D252" s="640">
        <v>50</v>
      </c>
      <c r="E252" s="649"/>
      <c r="F252" s="649"/>
      <c r="G252" s="203" t="s">
        <v>496</v>
      </c>
      <c r="H252" s="606">
        <v>0</v>
      </c>
      <c r="I252" s="606">
        <v>0</v>
      </c>
      <c r="J252" s="641" t="s">
        <v>497</v>
      </c>
      <c r="K252" s="663"/>
      <c r="L252" s="663"/>
      <c r="M252" s="663"/>
      <c r="N252" s="663"/>
      <c r="O252" s="663"/>
      <c r="P252" s="663"/>
      <c r="Q252" s="663"/>
      <c r="R252" s="663"/>
      <c r="S252" s="663"/>
      <c r="T252" s="663"/>
      <c r="U252" s="663"/>
      <c r="V252" s="663"/>
      <c r="W252" s="663"/>
      <c r="X252" s="663"/>
      <c r="Y252" s="663"/>
      <c r="Z252" s="663"/>
      <c r="AA252" s="663"/>
      <c r="AB252" s="663"/>
      <c r="AC252" s="663"/>
      <c r="AD252" s="663"/>
      <c r="AE252" s="663"/>
      <c r="AF252" s="663"/>
      <c r="AG252" s="663"/>
      <c r="AH252" s="663"/>
      <c r="AI252" s="663"/>
      <c r="AJ252" s="663"/>
      <c r="AK252" s="663"/>
      <c r="AL252" s="663"/>
      <c r="AM252" s="663"/>
      <c r="AN252" s="663"/>
      <c r="AO252" s="663"/>
      <c r="AP252" s="663"/>
      <c r="AQ252" s="663"/>
      <c r="AR252" s="663"/>
      <c r="AS252" s="663"/>
      <c r="AT252" s="663"/>
      <c r="AU252" s="663"/>
      <c r="AV252" s="663"/>
      <c r="AW252" s="663"/>
      <c r="AX252" s="663"/>
      <c r="AY252" s="663"/>
      <c r="AZ252" s="663"/>
      <c r="BA252" s="663"/>
      <c r="BB252" s="663"/>
      <c r="BC252" s="663"/>
      <c r="BD252" s="663"/>
      <c r="BE252" s="663"/>
      <c r="BF252" s="663"/>
      <c r="BG252" s="663"/>
      <c r="BH252" s="663"/>
      <c r="BI252" s="663"/>
      <c r="BJ252" s="663"/>
      <c r="BK252" s="663"/>
      <c r="BL252" s="663"/>
      <c r="BM252" s="663"/>
      <c r="BN252" s="663"/>
      <c r="BO252" s="663"/>
      <c r="BP252" s="663"/>
      <c r="BQ252" s="663"/>
      <c r="BR252" s="663"/>
      <c r="BS252" s="663"/>
      <c r="BT252" s="663"/>
      <c r="BU252" s="663"/>
      <c r="BV252" s="663"/>
      <c r="BW252" s="663"/>
      <c r="BX252" s="663"/>
      <c r="BY252" s="663"/>
      <c r="BZ252" s="663"/>
      <c r="CA252" s="663"/>
      <c r="CB252" s="663"/>
      <c r="CC252" s="663"/>
      <c r="CD252" s="663"/>
      <c r="CE252" s="663"/>
      <c r="CF252" s="663"/>
      <c r="CG252" s="663"/>
      <c r="CH252" s="663"/>
      <c r="CI252" s="663"/>
      <c r="CJ252" s="663"/>
      <c r="CK252" s="663"/>
      <c r="CL252" s="663"/>
      <c r="CM252" s="663"/>
      <c r="CN252" s="663"/>
      <c r="CO252" s="663"/>
      <c r="CP252" s="663"/>
      <c r="CQ252" s="663"/>
      <c r="CR252" s="663"/>
      <c r="CS252" s="663"/>
      <c r="CT252" s="663"/>
      <c r="CU252" s="663"/>
      <c r="CV252" s="663"/>
      <c r="CW252" s="663"/>
      <c r="CX252" s="663"/>
      <c r="CY252" s="663"/>
      <c r="CZ252" s="663"/>
      <c r="DA252" s="663"/>
      <c r="DB252" s="663"/>
      <c r="DC252" s="663"/>
      <c r="DD252" s="663"/>
      <c r="DE252" s="663"/>
      <c r="DF252" s="663"/>
      <c r="DG252" s="663"/>
      <c r="DH252" s="663"/>
      <c r="DI252" s="663"/>
      <c r="DJ252" s="663"/>
      <c r="DK252" s="663"/>
      <c r="DL252" s="663"/>
      <c r="DM252" s="663"/>
      <c r="DN252" s="663"/>
      <c r="DO252" s="663"/>
      <c r="DP252" s="663"/>
      <c r="DQ252" s="663"/>
      <c r="DR252" s="663"/>
      <c r="DS252" s="663"/>
      <c r="DT252" s="663"/>
      <c r="DU252" s="663"/>
      <c r="DV252" s="663"/>
      <c r="DW252" s="663"/>
      <c r="DX252" s="663"/>
      <c r="DY252" s="663"/>
      <c r="DZ252" s="663"/>
      <c r="EA252" s="663"/>
      <c r="EB252" s="663"/>
      <c r="EC252" s="663"/>
      <c r="ED252" s="663"/>
      <c r="EE252" s="663"/>
      <c r="EF252" s="663"/>
      <c r="EG252" s="663"/>
      <c r="EH252" s="663"/>
      <c r="EI252" s="663"/>
      <c r="EJ252" s="663"/>
      <c r="EK252" s="663"/>
      <c r="EL252" s="663"/>
      <c r="EM252" s="663"/>
      <c r="EN252" s="663"/>
      <c r="EO252" s="663"/>
      <c r="EP252" s="663"/>
      <c r="EQ252" s="663"/>
      <c r="ER252" s="663"/>
      <c r="ES252" s="663"/>
      <c r="ET252" s="663"/>
      <c r="EU252" s="663"/>
      <c r="EV252" s="663"/>
      <c r="EW252" s="663"/>
      <c r="EX252" s="663"/>
      <c r="EY252" s="663"/>
      <c r="EZ252" s="663"/>
      <c r="FA252" s="663"/>
      <c r="FB252" s="663"/>
      <c r="FC252" s="663"/>
      <c r="FD252" s="663"/>
      <c r="FE252" s="663"/>
      <c r="FF252" s="663"/>
      <c r="FG252" s="663"/>
      <c r="FH252" s="663"/>
      <c r="FI252" s="663"/>
      <c r="FJ252" s="663"/>
      <c r="FK252" s="663"/>
      <c r="FL252" s="663"/>
      <c r="FM252" s="663"/>
      <c r="FN252" s="663"/>
      <c r="FO252" s="663"/>
      <c r="FP252" s="663"/>
      <c r="FQ252" s="663"/>
      <c r="FR252" s="663"/>
      <c r="FS252" s="663"/>
      <c r="FT252" s="663"/>
      <c r="FU252" s="663"/>
      <c r="FV252" s="663"/>
      <c r="FW252" s="663"/>
      <c r="FX252" s="663"/>
      <c r="FY252" s="663"/>
      <c r="FZ252" s="663"/>
      <c r="GA252" s="663"/>
      <c r="GB252" s="663"/>
      <c r="GC252" s="663"/>
      <c r="GD252" s="663"/>
      <c r="GE252" s="663"/>
      <c r="GF252" s="663"/>
      <c r="GG252" s="663"/>
    </row>
    <row r="253" spans="1:189" ht="27.6">
      <c r="A253" s="655">
        <v>720</v>
      </c>
      <c r="B253" s="649">
        <v>200</v>
      </c>
      <c r="C253" s="649">
        <v>200</v>
      </c>
      <c r="D253" s="640">
        <v>100</v>
      </c>
      <c r="E253" s="640"/>
      <c r="F253" s="640"/>
      <c r="G253" s="203" t="s">
        <v>498</v>
      </c>
      <c r="H253" s="504">
        <v>963.61</v>
      </c>
      <c r="I253" s="504">
        <v>91256</v>
      </c>
      <c r="J253" s="641" t="s">
        <v>499</v>
      </c>
      <c r="K253" s="663"/>
      <c r="L253" s="663"/>
      <c r="M253" s="663"/>
      <c r="N253" s="663"/>
      <c r="O253" s="663"/>
      <c r="P253" s="663"/>
      <c r="Q253" s="663"/>
      <c r="R253" s="663"/>
      <c r="S253" s="663"/>
      <c r="T253" s="663"/>
      <c r="U253" s="663"/>
      <c r="V253" s="663"/>
      <c r="W253" s="663"/>
      <c r="X253" s="663"/>
      <c r="Y253" s="663"/>
      <c r="Z253" s="663"/>
      <c r="AA253" s="663"/>
      <c r="AB253" s="663"/>
      <c r="AC253" s="663"/>
      <c r="AD253" s="663"/>
      <c r="AE253" s="663"/>
      <c r="AF253" s="663"/>
      <c r="AG253" s="663"/>
      <c r="AH253" s="663"/>
      <c r="AI253" s="663"/>
      <c r="AJ253" s="663"/>
      <c r="AK253" s="663"/>
      <c r="AL253" s="663"/>
      <c r="AM253" s="663"/>
      <c r="AN253" s="663"/>
      <c r="AO253" s="663"/>
      <c r="AP253" s="663"/>
      <c r="AQ253" s="663"/>
      <c r="AR253" s="663"/>
      <c r="AS253" s="663"/>
      <c r="AT253" s="663"/>
      <c r="AU253" s="663"/>
      <c r="AV253" s="663"/>
      <c r="AW253" s="663"/>
      <c r="AX253" s="663"/>
      <c r="AY253" s="663"/>
      <c r="AZ253" s="663"/>
      <c r="BA253" s="663"/>
      <c r="BB253" s="663"/>
      <c r="BC253" s="663"/>
      <c r="BD253" s="663"/>
      <c r="BE253" s="663"/>
      <c r="BF253" s="663"/>
      <c r="BG253" s="663"/>
      <c r="BH253" s="663"/>
      <c r="BI253" s="663"/>
      <c r="BJ253" s="663"/>
      <c r="BK253" s="663"/>
      <c r="BL253" s="663"/>
      <c r="BM253" s="663"/>
      <c r="BN253" s="663"/>
      <c r="BO253" s="663"/>
      <c r="BP253" s="663"/>
      <c r="BQ253" s="663"/>
      <c r="BR253" s="663"/>
      <c r="BS253" s="663"/>
      <c r="BT253" s="663"/>
      <c r="BU253" s="663"/>
      <c r="BV253" s="663"/>
      <c r="BW253" s="663"/>
      <c r="BX253" s="663"/>
      <c r="BY253" s="663"/>
      <c r="BZ253" s="663"/>
      <c r="CA253" s="663"/>
      <c r="CB253" s="663"/>
      <c r="CC253" s="663"/>
      <c r="CD253" s="663"/>
      <c r="CE253" s="663"/>
      <c r="CF253" s="663"/>
      <c r="CG253" s="663"/>
      <c r="CH253" s="663"/>
      <c r="CI253" s="663"/>
      <c r="CJ253" s="663"/>
      <c r="CK253" s="663"/>
      <c r="CL253" s="663"/>
      <c r="CM253" s="663"/>
      <c r="CN253" s="663"/>
      <c r="CO253" s="663"/>
      <c r="CP253" s="663"/>
      <c r="CQ253" s="663"/>
      <c r="CR253" s="663"/>
      <c r="CS253" s="663"/>
      <c r="CT253" s="663"/>
      <c r="CU253" s="663"/>
      <c r="CV253" s="663"/>
      <c r="CW253" s="663"/>
      <c r="CX253" s="663"/>
      <c r="CY253" s="663"/>
      <c r="CZ253" s="663"/>
      <c r="DA253" s="663"/>
      <c r="DB253" s="663"/>
      <c r="DC253" s="663"/>
      <c r="DD253" s="663"/>
      <c r="DE253" s="663"/>
      <c r="DF253" s="663"/>
      <c r="DG253" s="663"/>
      <c r="DH253" s="663"/>
      <c r="DI253" s="663"/>
      <c r="DJ253" s="663"/>
      <c r="DK253" s="663"/>
      <c r="DL253" s="663"/>
      <c r="DM253" s="663"/>
      <c r="DN253" s="663"/>
      <c r="DO253" s="663"/>
      <c r="DP253" s="663"/>
      <c r="DQ253" s="663"/>
      <c r="DR253" s="663"/>
      <c r="DS253" s="663"/>
      <c r="DT253" s="663"/>
      <c r="DU253" s="663"/>
      <c r="DV253" s="663"/>
      <c r="DW253" s="663"/>
      <c r="DX253" s="663"/>
      <c r="DY253" s="663"/>
      <c r="DZ253" s="663"/>
      <c r="EA253" s="663"/>
      <c r="EB253" s="663"/>
      <c r="EC253" s="663"/>
      <c r="ED253" s="663"/>
      <c r="EE253" s="663"/>
      <c r="EF253" s="663"/>
      <c r="EG253" s="663"/>
      <c r="EH253" s="663"/>
      <c r="EI253" s="663"/>
      <c r="EJ253" s="663"/>
      <c r="EK253" s="663"/>
      <c r="EL253" s="663"/>
      <c r="EM253" s="663"/>
      <c r="EN253" s="663"/>
      <c r="EO253" s="663"/>
      <c r="EP253" s="663"/>
      <c r="EQ253" s="663"/>
      <c r="ER253" s="663"/>
      <c r="ES253" s="663"/>
      <c r="ET253" s="663"/>
      <c r="EU253" s="663"/>
      <c r="EV253" s="663"/>
      <c r="EW253" s="663"/>
      <c r="EX253" s="663"/>
      <c r="EY253" s="663"/>
      <c r="EZ253" s="663"/>
      <c r="FA253" s="663"/>
      <c r="FB253" s="663"/>
      <c r="FC253" s="663"/>
      <c r="FD253" s="663"/>
      <c r="FE253" s="663"/>
      <c r="FF253" s="663"/>
      <c r="FG253" s="663"/>
      <c r="FH253" s="663"/>
      <c r="FI253" s="663"/>
      <c r="FJ253" s="663"/>
      <c r="FK253" s="663"/>
      <c r="FL253" s="663"/>
      <c r="FM253" s="663"/>
      <c r="FN253" s="663"/>
      <c r="FO253" s="663"/>
      <c r="FP253" s="663"/>
      <c r="FQ253" s="663"/>
      <c r="FR253" s="663"/>
      <c r="FS253" s="663"/>
      <c r="FT253" s="663"/>
      <c r="FU253" s="663"/>
      <c r="FV253" s="663"/>
      <c r="FW253" s="663"/>
      <c r="FX253" s="663"/>
      <c r="FY253" s="663"/>
      <c r="FZ253" s="663"/>
      <c r="GA253" s="663"/>
      <c r="GB253" s="663"/>
      <c r="GC253" s="663"/>
      <c r="GD253" s="663"/>
      <c r="GE253" s="663"/>
      <c r="GF253" s="663"/>
      <c r="GG253" s="663"/>
    </row>
    <row r="254" spans="1:189">
      <c r="A254" s="655">
        <v>720</v>
      </c>
      <c r="B254" s="649">
        <v>200</v>
      </c>
      <c r="C254" s="649">
        <v>200</v>
      </c>
      <c r="D254" s="649">
        <v>200</v>
      </c>
      <c r="E254" s="649"/>
      <c r="F254" s="649"/>
      <c r="G254" s="638" t="s">
        <v>500</v>
      </c>
      <c r="H254" s="505">
        <v>0</v>
      </c>
      <c r="I254" s="505">
        <v>0</v>
      </c>
      <c r="J254" s="641" t="s">
        <v>501</v>
      </c>
    </row>
    <row r="255" spans="1:189" ht="27.6">
      <c r="A255" s="655">
        <v>720</v>
      </c>
      <c r="B255" s="649">
        <v>200</v>
      </c>
      <c r="C255" s="649">
        <v>200</v>
      </c>
      <c r="D255" s="649">
        <v>200</v>
      </c>
      <c r="E255" s="640">
        <v>10</v>
      </c>
      <c r="F255" s="645"/>
      <c r="G255" s="203" t="s">
        <v>502</v>
      </c>
      <c r="H255" s="504">
        <v>0</v>
      </c>
      <c r="I255" s="504">
        <v>0</v>
      </c>
      <c r="J255" s="641" t="s">
        <v>503</v>
      </c>
      <c r="K255" s="663"/>
      <c r="L255" s="663"/>
      <c r="M255" s="663"/>
      <c r="N255" s="663"/>
      <c r="O255" s="663"/>
      <c r="P255" s="663"/>
      <c r="Q255" s="663"/>
      <c r="R255" s="663"/>
      <c r="S255" s="663"/>
      <c r="T255" s="663"/>
      <c r="U255" s="663"/>
      <c r="V255" s="663"/>
      <c r="W255" s="663"/>
      <c r="X255" s="663"/>
      <c r="Y255" s="663"/>
      <c r="Z255" s="663"/>
      <c r="AA255" s="663"/>
      <c r="AB255" s="663"/>
      <c r="AC255" s="663"/>
      <c r="AD255" s="663"/>
      <c r="AE255" s="663"/>
      <c r="AF255" s="663"/>
      <c r="AG255" s="663"/>
      <c r="AH255" s="663"/>
      <c r="AI255" s="663"/>
      <c r="AJ255" s="663"/>
      <c r="AK255" s="663"/>
      <c r="AL255" s="663"/>
      <c r="AM255" s="663"/>
      <c r="AN255" s="663"/>
      <c r="AO255" s="663"/>
      <c r="AP255" s="663"/>
      <c r="AQ255" s="663"/>
      <c r="AR255" s="663"/>
      <c r="AS255" s="663"/>
      <c r="AT255" s="663"/>
      <c r="AU255" s="663"/>
      <c r="AV255" s="663"/>
      <c r="AW255" s="663"/>
      <c r="AX255" s="663"/>
      <c r="AY255" s="663"/>
      <c r="AZ255" s="663"/>
      <c r="BA255" s="663"/>
      <c r="BB255" s="663"/>
      <c r="BC255" s="663"/>
      <c r="BD255" s="663"/>
      <c r="BE255" s="663"/>
      <c r="BF255" s="663"/>
      <c r="BG255" s="663"/>
      <c r="BH255" s="663"/>
      <c r="BI255" s="663"/>
      <c r="BJ255" s="663"/>
      <c r="BK255" s="663"/>
      <c r="BL255" s="663"/>
      <c r="BM255" s="663"/>
      <c r="BN255" s="663"/>
      <c r="BO255" s="663"/>
      <c r="BP255" s="663"/>
      <c r="BQ255" s="663"/>
      <c r="BR255" s="663"/>
      <c r="BS255" s="663"/>
      <c r="BT255" s="663"/>
      <c r="BU255" s="663"/>
      <c r="BV255" s="663"/>
      <c r="BW255" s="663"/>
      <c r="BX255" s="663"/>
      <c r="BY255" s="663"/>
      <c r="BZ255" s="663"/>
      <c r="CA255" s="663"/>
      <c r="CB255" s="663"/>
      <c r="CC255" s="663"/>
      <c r="CD255" s="663"/>
      <c r="CE255" s="663"/>
      <c r="CF255" s="663"/>
      <c r="CG255" s="663"/>
      <c r="CH255" s="663"/>
      <c r="CI255" s="663"/>
      <c r="CJ255" s="663"/>
      <c r="CK255" s="663"/>
      <c r="CL255" s="663"/>
      <c r="CM255" s="663"/>
      <c r="CN255" s="663"/>
      <c r="CO255" s="663"/>
      <c r="CP255" s="663"/>
      <c r="CQ255" s="663"/>
      <c r="CR255" s="663"/>
      <c r="CS255" s="663"/>
      <c r="CT255" s="663"/>
      <c r="CU255" s="663"/>
      <c r="CV255" s="663"/>
      <c r="CW255" s="663"/>
      <c r="CX255" s="663"/>
      <c r="CY255" s="663"/>
      <c r="CZ255" s="663"/>
      <c r="DA255" s="663"/>
      <c r="DB255" s="663"/>
      <c r="DC255" s="663"/>
      <c r="DD255" s="663"/>
      <c r="DE255" s="663"/>
      <c r="DF255" s="663"/>
      <c r="DG255" s="663"/>
      <c r="DH255" s="663"/>
      <c r="DI255" s="663"/>
      <c r="DJ255" s="663"/>
      <c r="DK255" s="663"/>
      <c r="DL255" s="663"/>
      <c r="DM255" s="663"/>
      <c r="DN255" s="663"/>
      <c r="DO255" s="663"/>
      <c r="DP255" s="663"/>
      <c r="DQ255" s="663"/>
      <c r="DR255" s="663"/>
      <c r="DS255" s="663"/>
      <c r="DT255" s="663"/>
      <c r="DU255" s="663"/>
      <c r="DV255" s="663"/>
      <c r="DW255" s="663"/>
      <c r="DX255" s="663"/>
      <c r="DY255" s="663"/>
      <c r="DZ255" s="663"/>
      <c r="EA255" s="663"/>
      <c r="EB255" s="663"/>
      <c r="EC255" s="663"/>
      <c r="ED255" s="663"/>
      <c r="EE255" s="663"/>
      <c r="EF255" s="663"/>
      <c r="EG255" s="663"/>
      <c r="EH255" s="663"/>
      <c r="EI255" s="663"/>
      <c r="EJ255" s="663"/>
      <c r="EK255" s="663"/>
      <c r="EL255" s="663"/>
      <c r="EM255" s="663"/>
      <c r="EN255" s="663"/>
      <c r="EO255" s="663"/>
      <c r="EP255" s="663"/>
      <c r="EQ255" s="663"/>
      <c r="ER255" s="663"/>
      <c r="ES255" s="663"/>
      <c r="ET255" s="663"/>
      <c r="EU255" s="663"/>
      <c r="EV255" s="663"/>
      <c r="EW255" s="663"/>
      <c r="EX255" s="663"/>
      <c r="EY255" s="663"/>
      <c r="EZ255" s="663"/>
      <c r="FA255" s="663"/>
      <c r="FB255" s="663"/>
      <c r="FC255" s="663"/>
      <c r="FD255" s="663"/>
      <c r="FE255" s="663"/>
      <c r="FF255" s="663"/>
      <c r="FG255" s="663"/>
      <c r="FH255" s="663"/>
      <c r="FI255" s="663"/>
      <c r="FJ255" s="663"/>
      <c r="FK255" s="663"/>
      <c r="FL255" s="663"/>
      <c r="FM255" s="663"/>
      <c r="FN255" s="663"/>
      <c r="FO255" s="663"/>
      <c r="FP255" s="663"/>
      <c r="FQ255" s="663"/>
      <c r="FR255" s="663"/>
      <c r="FS255" s="663"/>
      <c r="FT255" s="663"/>
      <c r="FU255" s="663"/>
      <c r="FV255" s="663"/>
      <c r="FW255" s="663"/>
      <c r="FX255" s="663"/>
      <c r="FY255" s="663"/>
      <c r="FZ255" s="663"/>
      <c r="GA255" s="663"/>
      <c r="GB255" s="663"/>
      <c r="GC255" s="663"/>
      <c r="GD255" s="663"/>
      <c r="GE255" s="663"/>
      <c r="GF255" s="663"/>
      <c r="GG255" s="663"/>
    </row>
    <row r="256" spans="1:189">
      <c r="A256" s="655">
        <v>720</v>
      </c>
      <c r="B256" s="649">
        <v>200</v>
      </c>
      <c r="C256" s="649">
        <v>200</v>
      </c>
      <c r="D256" s="649">
        <v>200</v>
      </c>
      <c r="E256" s="640">
        <v>20</v>
      </c>
      <c r="F256" s="645"/>
      <c r="G256" s="203" t="s">
        <v>504</v>
      </c>
      <c r="H256" s="504">
        <v>16379.67</v>
      </c>
      <c r="I256" s="504">
        <v>10436</v>
      </c>
      <c r="J256" s="641" t="s">
        <v>505</v>
      </c>
      <c r="K256" s="663"/>
      <c r="L256" s="663"/>
      <c r="M256" s="663"/>
      <c r="N256" s="663"/>
      <c r="O256" s="663"/>
      <c r="P256" s="663"/>
      <c r="Q256" s="663"/>
      <c r="R256" s="663"/>
      <c r="S256" s="663"/>
      <c r="T256" s="663"/>
      <c r="U256" s="663"/>
      <c r="V256" s="663"/>
      <c r="W256" s="663"/>
      <c r="X256" s="663"/>
      <c r="Y256" s="663"/>
      <c r="Z256" s="663"/>
      <c r="AA256" s="663"/>
      <c r="AB256" s="663"/>
      <c r="AC256" s="663"/>
      <c r="AD256" s="663"/>
      <c r="AE256" s="663"/>
      <c r="AF256" s="663"/>
      <c r="AG256" s="663"/>
      <c r="AH256" s="663"/>
      <c r="AI256" s="663"/>
      <c r="AJ256" s="663"/>
      <c r="AK256" s="663"/>
      <c r="AL256" s="663"/>
      <c r="AM256" s="663"/>
      <c r="AN256" s="663"/>
      <c r="AO256" s="663"/>
      <c r="AP256" s="663"/>
      <c r="AQ256" s="663"/>
      <c r="AR256" s="663"/>
      <c r="AS256" s="663"/>
      <c r="AT256" s="663"/>
      <c r="AU256" s="663"/>
      <c r="AV256" s="663"/>
      <c r="AW256" s="663"/>
      <c r="AX256" s="663"/>
      <c r="AY256" s="663"/>
      <c r="AZ256" s="663"/>
      <c r="BA256" s="663"/>
      <c r="BB256" s="663"/>
      <c r="BC256" s="663"/>
      <c r="BD256" s="663"/>
      <c r="BE256" s="663"/>
      <c r="BF256" s="663"/>
      <c r="BG256" s="663"/>
      <c r="BH256" s="663"/>
      <c r="BI256" s="663"/>
      <c r="BJ256" s="663"/>
      <c r="BK256" s="663"/>
      <c r="BL256" s="663"/>
      <c r="BM256" s="663"/>
      <c r="BN256" s="663"/>
      <c r="BO256" s="663"/>
      <c r="BP256" s="663"/>
      <c r="BQ256" s="663"/>
      <c r="BR256" s="663"/>
      <c r="BS256" s="663"/>
      <c r="BT256" s="663"/>
      <c r="BU256" s="663"/>
      <c r="BV256" s="663"/>
      <c r="BW256" s="663"/>
      <c r="BX256" s="663"/>
      <c r="BY256" s="663"/>
      <c r="BZ256" s="663"/>
      <c r="CA256" s="663"/>
      <c r="CB256" s="663"/>
      <c r="CC256" s="663"/>
      <c r="CD256" s="663"/>
      <c r="CE256" s="663"/>
      <c r="CF256" s="663"/>
      <c r="CG256" s="663"/>
      <c r="CH256" s="663"/>
      <c r="CI256" s="663"/>
      <c r="CJ256" s="663"/>
      <c r="CK256" s="663"/>
      <c r="CL256" s="663"/>
      <c r="CM256" s="663"/>
      <c r="CN256" s="663"/>
      <c r="CO256" s="663"/>
      <c r="CP256" s="663"/>
      <c r="CQ256" s="663"/>
      <c r="CR256" s="663"/>
      <c r="CS256" s="663"/>
      <c r="CT256" s="663"/>
      <c r="CU256" s="663"/>
      <c r="CV256" s="663"/>
      <c r="CW256" s="663"/>
      <c r="CX256" s="663"/>
      <c r="CY256" s="663"/>
      <c r="CZ256" s="663"/>
      <c r="DA256" s="663"/>
      <c r="DB256" s="663"/>
      <c r="DC256" s="663"/>
      <c r="DD256" s="663"/>
      <c r="DE256" s="663"/>
      <c r="DF256" s="663"/>
      <c r="DG256" s="663"/>
      <c r="DH256" s="663"/>
      <c r="DI256" s="663"/>
      <c r="DJ256" s="663"/>
      <c r="DK256" s="663"/>
      <c r="DL256" s="663"/>
      <c r="DM256" s="663"/>
      <c r="DN256" s="663"/>
      <c r="DO256" s="663"/>
      <c r="DP256" s="663"/>
      <c r="DQ256" s="663"/>
      <c r="DR256" s="663"/>
      <c r="DS256" s="663"/>
      <c r="DT256" s="663"/>
      <c r="DU256" s="663"/>
      <c r="DV256" s="663"/>
      <c r="DW256" s="663"/>
      <c r="DX256" s="663"/>
      <c r="DY256" s="663"/>
      <c r="DZ256" s="663"/>
      <c r="EA256" s="663"/>
      <c r="EB256" s="663"/>
      <c r="EC256" s="663"/>
      <c r="ED256" s="663"/>
      <c r="EE256" s="663"/>
      <c r="EF256" s="663"/>
      <c r="EG256" s="663"/>
      <c r="EH256" s="663"/>
      <c r="EI256" s="663"/>
      <c r="EJ256" s="663"/>
      <c r="EK256" s="663"/>
      <c r="EL256" s="663"/>
      <c r="EM256" s="663"/>
      <c r="EN256" s="663"/>
      <c r="EO256" s="663"/>
      <c r="EP256" s="663"/>
      <c r="EQ256" s="663"/>
      <c r="ER256" s="663"/>
      <c r="ES256" s="663"/>
      <c r="ET256" s="663"/>
      <c r="EU256" s="663"/>
      <c r="EV256" s="663"/>
      <c r="EW256" s="663"/>
      <c r="EX256" s="663"/>
      <c r="EY256" s="663"/>
      <c r="EZ256" s="663"/>
      <c r="FA256" s="663"/>
      <c r="FB256" s="663"/>
      <c r="FC256" s="663"/>
      <c r="FD256" s="663"/>
      <c r="FE256" s="663"/>
      <c r="FF256" s="663"/>
      <c r="FG256" s="663"/>
      <c r="FH256" s="663"/>
      <c r="FI256" s="663"/>
      <c r="FJ256" s="663"/>
      <c r="FK256" s="663"/>
      <c r="FL256" s="663"/>
      <c r="FM256" s="663"/>
      <c r="FN256" s="663"/>
      <c r="FO256" s="663"/>
      <c r="FP256" s="663"/>
      <c r="FQ256" s="663"/>
      <c r="FR256" s="663"/>
      <c r="FS256" s="663"/>
      <c r="FT256" s="663"/>
      <c r="FU256" s="663"/>
      <c r="FV256" s="663"/>
      <c r="FW256" s="663"/>
      <c r="FX256" s="663"/>
      <c r="FY256" s="663"/>
      <c r="FZ256" s="663"/>
      <c r="GA256" s="663"/>
      <c r="GB256" s="663"/>
      <c r="GC256" s="663"/>
      <c r="GD256" s="663"/>
      <c r="GE256" s="663"/>
      <c r="GF256" s="663"/>
      <c r="GG256" s="663"/>
    </row>
    <row r="257" spans="1:189" ht="27.6">
      <c r="A257" s="655">
        <v>720</v>
      </c>
      <c r="B257" s="649">
        <v>200</v>
      </c>
      <c r="C257" s="649">
        <v>200</v>
      </c>
      <c r="D257" s="649">
        <v>200</v>
      </c>
      <c r="E257" s="640">
        <v>30</v>
      </c>
      <c r="F257" s="645"/>
      <c r="G257" s="203" t="s">
        <v>506</v>
      </c>
      <c r="H257" s="504">
        <v>0</v>
      </c>
      <c r="I257" s="504">
        <v>0</v>
      </c>
      <c r="J257" s="641" t="s">
        <v>507</v>
      </c>
      <c r="K257" s="663"/>
      <c r="L257" s="663"/>
      <c r="M257" s="663"/>
      <c r="N257" s="663"/>
      <c r="O257" s="663"/>
      <c r="P257" s="663"/>
      <c r="Q257" s="663"/>
      <c r="R257" s="663"/>
      <c r="S257" s="663"/>
      <c r="T257" s="663"/>
      <c r="U257" s="663"/>
      <c r="V257" s="663"/>
      <c r="W257" s="663"/>
      <c r="X257" s="663"/>
      <c r="Y257" s="663"/>
      <c r="Z257" s="663"/>
      <c r="AA257" s="663"/>
      <c r="AB257" s="663"/>
      <c r="AC257" s="663"/>
      <c r="AD257" s="663"/>
      <c r="AE257" s="663"/>
      <c r="AF257" s="663"/>
      <c r="AG257" s="663"/>
      <c r="AH257" s="663"/>
      <c r="AI257" s="663"/>
      <c r="AJ257" s="663"/>
      <c r="AK257" s="663"/>
      <c r="AL257" s="663"/>
      <c r="AM257" s="663"/>
      <c r="AN257" s="663"/>
      <c r="AO257" s="663"/>
      <c r="AP257" s="663"/>
      <c r="AQ257" s="663"/>
      <c r="AR257" s="663"/>
      <c r="AS257" s="663"/>
      <c r="AT257" s="663"/>
      <c r="AU257" s="663"/>
      <c r="AV257" s="663"/>
      <c r="AW257" s="663"/>
      <c r="AX257" s="663"/>
      <c r="AY257" s="663"/>
      <c r="AZ257" s="663"/>
      <c r="BA257" s="663"/>
      <c r="BB257" s="663"/>
      <c r="BC257" s="663"/>
      <c r="BD257" s="663"/>
      <c r="BE257" s="663"/>
      <c r="BF257" s="663"/>
      <c r="BG257" s="663"/>
      <c r="BH257" s="663"/>
      <c r="BI257" s="663"/>
      <c r="BJ257" s="663"/>
      <c r="BK257" s="663"/>
      <c r="BL257" s="663"/>
      <c r="BM257" s="663"/>
      <c r="BN257" s="663"/>
      <c r="BO257" s="663"/>
      <c r="BP257" s="663"/>
      <c r="BQ257" s="663"/>
      <c r="BR257" s="663"/>
      <c r="BS257" s="663"/>
      <c r="BT257" s="663"/>
      <c r="BU257" s="663"/>
      <c r="BV257" s="663"/>
      <c r="BW257" s="663"/>
      <c r="BX257" s="663"/>
      <c r="BY257" s="663"/>
      <c r="BZ257" s="663"/>
      <c r="CA257" s="663"/>
      <c r="CB257" s="663"/>
      <c r="CC257" s="663"/>
      <c r="CD257" s="663"/>
      <c r="CE257" s="663"/>
      <c r="CF257" s="663"/>
      <c r="CG257" s="663"/>
      <c r="CH257" s="663"/>
      <c r="CI257" s="663"/>
      <c r="CJ257" s="663"/>
      <c r="CK257" s="663"/>
      <c r="CL257" s="663"/>
      <c r="CM257" s="663"/>
      <c r="CN257" s="663"/>
      <c r="CO257" s="663"/>
      <c r="CP257" s="663"/>
      <c r="CQ257" s="663"/>
      <c r="CR257" s="663"/>
      <c r="CS257" s="663"/>
      <c r="CT257" s="663"/>
      <c r="CU257" s="663"/>
      <c r="CV257" s="663"/>
      <c r="CW257" s="663"/>
      <c r="CX257" s="663"/>
      <c r="CY257" s="663"/>
      <c r="CZ257" s="663"/>
      <c r="DA257" s="663"/>
      <c r="DB257" s="663"/>
      <c r="DC257" s="663"/>
      <c r="DD257" s="663"/>
      <c r="DE257" s="663"/>
      <c r="DF257" s="663"/>
      <c r="DG257" s="663"/>
      <c r="DH257" s="663"/>
      <c r="DI257" s="663"/>
      <c r="DJ257" s="663"/>
      <c r="DK257" s="663"/>
      <c r="DL257" s="663"/>
      <c r="DM257" s="663"/>
      <c r="DN257" s="663"/>
      <c r="DO257" s="663"/>
      <c r="DP257" s="663"/>
      <c r="DQ257" s="663"/>
      <c r="DR257" s="663"/>
      <c r="DS257" s="663"/>
      <c r="DT257" s="663"/>
      <c r="DU257" s="663"/>
      <c r="DV257" s="663"/>
      <c r="DW257" s="663"/>
      <c r="DX257" s="663"/>
      <c r="DY257" s="663"/>
      <c r="DZ257" s="663"/>
      <c r="EA257" s="663"/>
      <c r="EB257" s="663"/>
      <c r="EC257" s="663"/>
      <c r="ED257" s="663"/>
      <c r="EE257" s="663"/>
      <c r="EF257" s="663"/>
      <c r="EG257" s="663"/>
      <c r="EH257" s="663"/>
      <c r="EI257" s="663"/>
      <c r="EJ257" s="663"/>
      <c r="EK257" s="663"/>
      <c r="EL257" s="663"/>
      <c r="EM257" s="663"/>
      <c r="EN257" s="663"/>
      <c r="EO257" s="663"/>
      <c r="EP257" s="663"/>
      <c r="EQ257" s="663"/>
      <c r="ER257" s="663"/>
      <c r="ES257" s="663"/>
      <c r="ET257" s="663"/>
      <c r="EU257" s="663"/>
      <c r="EV257" s="663"/>
      <c r="EW257" s="663"/>
      <c r="EX257" s="663"/>
      <c r="EY257" s="663"/>
      <c r="EZ257" s="663"/>
      <c r="FA257" s="663"/>
      <c r="FB257" s="663"/>
      <c r="FC257" s="663"/>
      <c r="FD257" s="663"/>
      <c r="FE257" s="663"/>
      <c r="FF257" s="663"/>
      <c r="FG257" s="663"/>
      <c r="FH257" s="663"/>
      <c r="FI257" s="663"/>
      <c r="FJ257" s="663"/>
      <c r="FK257" s="663"/>
      <c r="FL257" s="663"/>
      <c r="FM257" s="663"/>
      <c r="FN257" s="663"/>
      <c r="FO257" s="663"/>
      <c r="FP257" s="663"/>
      <c r="FQ257" s="663"/>
      <c r="FR257" s="663"/>
      <c r="FS257" s="663"/>
      <c r="FT257" s="663"/>
      <c r="FU257" s="663"/>
      <c r="FV257" s="663"/>
      <c r="FW257" s="663"/>
      <c r="FX257" s="663"/>
      <c r="FY257" s="663"/>
      <c r="FZ257" s="663"/>
      <c r="GA257" s="663"/>
      <c r="GB257" s="663"/>
      <c r="GC257" s="663"/>
      <c r="GD257" s="663"/>
      <c r="GE257" s="663"/>
      <c r="GF257" s="663"/>
      <c r="GG257" s="663"/>
    </row>
    <row r="258" spans="1:189" ht="27.6">
      <c r="A258" s="655">
        <v>720</v>
      </c>
      <c r="B258" s="649">
        <v>200</v>
      </c>
      <c r="C258" s="649">
        <v>200</v>
      </c>
      <c r="D258" s="649">
        <v>200</v>
      </c>
      <c r="E258" s="640">
        <v>40</v>
      </c>
      <c r="F258" s="645"/>
      <c r="G258" s="203" t="s">
        <v>508</v>
      </c>
      <c r="H258" s="504">
        <v>0</v>
      </c>
      <c r="I258" s="504">
        <v>0</v>
      </c>
      <c r="J258" s="641" t="s">
        <v>509</v>
      </c>
      <c r="K258" s="663"/>
      <c r="L258" s="663"/>
      <c r="M258" s="663"/>
      <c r="N258" s="663"/>
      <c r="O258" s="663"/>
      <c r="P258" s="663"/>
      <c r="Q258" s="663"/>
      <c r="R258" s="663"/>
      <c r="S258" s="663"/>
      <c r="T258" s="663"/>
      <c r="U258" s="663"/>
      <c r="V258" s="663"/>
      <c r="W258" s="663"/>
      <c r="X258" s="663"/>
      <c r="Y258" s="663"/>
      <c r="Z258" s="663"/>
      <c r="AA258" s="663"/>
      <c r="AB258" s="663"/>
      <c r="AC258" s="663"/>
      <c r="AD258" s="663"/>
      <c r="AE258" s="663"/>
      <c r="AF258" s="663"/>
      <c r="AG258" s="663"/>
      <c r="AH258" s="663"/>
      <c r="AI258" s="663"/>
      <c r="AJ258" s="663"/>
      <c r="AK258" s="663"/>
      <c r="AL258" s="663"/>
      <c r="AM258" s="663"/>
      <c r="AN258" s="663"/>
      <c r="AO258" s="663"/>
      <c r="AP258" s="663"/>
      <c r="AQ258" s="663"/>
      <c r="AR258" s="663"/>
      <c r="AS258" s="663"/>
      <c r="AT258" s="663"/>
      <c r="AU258" s="663"/>
      <c r="AV258" s="663"/>
      <c r="AW258" s="663"/>
      <c r="AX258" s="663"/>
      <c r="AY258" s="663"/>
      <c r="AZ258" s="663"/>
      <c r="BA258" s="663"/>
      <c r="BB258" s="663"/>
      <c r="BC258" s="663"/>
      <c r="BD258" s="663"/>
      <c r="BE258" s="663"/>
      <c r="BF258" s="663"/>
      <c r="BG258" s="663"/>
      <c r="BH258" s="663"/>
      <c r="BI258" s="663"/>
      <c r="BJ258" s="663"/>
      <c r="BK258" s="663"/>
      <c r="BL258" s="663"/>
      <c r="BM258" s="663"/>
      <c r="BN258" s="663"/>
      <c r="BO258" s="663"/>
      <c r="BP258" s="663"/>
      <c r="BQ258" s="663"/>
      <c r="BR258" s="663"/>
      <c r="BS258" s="663"/>
      <c r="BT258" s="663"/>
      <c r="BU258" s="663"/>
      <c r="BV258" s="663"/>
      <c r="BW258" s="663"/>
      <c r="BX258" s="663"/>
      <c r="BY258" s="663"/>
      <c r="BZ258" s="663"/>
      <c r="CA258" s="663"/>
      <c r="CB258" s="663"/>
      <c r="CC258" s="663"/>
      <c r="CD258" s="663"/>
      <c r="CE258" s="663"/>
      <c r="CF258" s="663"/>
      <c r="CG258" s="663"/>
      <c r="CH258" s="663"/>
      <c r="CI258" s="663"/>
      <c r="CJ258" s="663"/>
      <c r="CK258" s="663"/>
      <c r="CL258" s="663"/>
      <c r="CM258" s="663"/>
      <c r="CN258" s="663"/>
      <c r="CO258" s="663"/>
      <c r="CP258" s="663"/>
      <c r="CQ258" s="663"/>
      <c r="CR258" s="663"/>
      <c r="CS258" s="663"/>
      <c r="CT258" s="663"/>
      <c r="CU258" s="663"/>
      <c r="CV258" s="663"/>
      <c r="CW258" s="663"/>
      <c r="CX258" s="663"/>
      <c r="CY258" s="663"/>
      <c r="CZ258" s="663"/>
      <c r="DA258" s="663"/>
      <c r="DB258" s="663"/>
      <c r="DC258" s="663"/>
      <c r="DD258" s="663"/>
      <c r="DE258" s="663"/>
      <c r="DF258" s="663"/>
      <c r="DG258" s="663"/>
      <c r="DH258" s="663"/>
      <c r="DI258" s="663"/>
      <c r="DJ258" s="663"/>
      <c r="DK258" s="663"/>
      <c r="DL258" s="663"/>
      <c r="DM258" s="663"/>
      <c r="DN258" s="663"/>
      <c r="DO258" s="663"/>
      <c r="DP258" s="663"/>
      <c r="DQ258" s="663"/>
      <c r="DR258" s="663"/>
      <c r="DS258" s="663"/>
      <c r="DT258" s="663"/>
      <c r="DU258" s="663"/>
      <c r="DV258" s="663"/>
      <c r="DW258" s="663"/>
      <c r="DX258" s="663"/>
      <c r="DY258" s="663"/>
      <c r="DZ258" s="663"/>
      <c r="EA258" s="663"/>
      <c r="EB258" s="663"/>
      <c r="EC258" s="663"/>
      <c r="ED258" s="663"/>
      <c r="EE258" s="663"/>
      <c r="EF258" s="663"/>
      <c r="EG258" s="663"/>
      <c r="EH258" s="663"/>
      <c r="EI258" s="663"/>
      <c r="EJ258" s="663"/>
      <c r="EK258" s="663"/>
      <c r="EL258" s="663"/>
      <c r="EM258" s="663"/>
      <c r="EN258" s="663"/>
      <c r="EO258" s="663"/>
      <c r="EP258" s="663"/>
      <c r="EQ258" s="663"/>
      <c r="ER258" s="663"/>
      <c r="ES258" s="663"/>
      <c r="ET258" s="663"/>
      <c r="EU258" s="663"/>
      <c r="EV258" s="663"/>
      <c r="EW258" s="663"/>
      <c r="EX258" s="663"/>
      <c r="EY258" s="663"/>
      <c r="EZ258" s="663"/>
      <c r="FA258" s="663"/>
      <c r="FB258" s="663"/>
      <c r="FC258" s="663"/>
      <c r="FD258" s="663"/>
      <c r="FE258" s="663"/>
      <c r="FF258" s="663"/>
      <c r="FG258" s="663"/>
      <c r="FH258" s="663"/>
      <c r="FI258" s="663"/>
      <c r="FJ258" s="663"/>
      <c r="FK258" s="663"/>
      <c r="FL258" s="663"/>
      <c r="FM258" s="663"/>
      <c r="FN258" s="663"/>
      <c r="FO258" s="663"/>
      <c r="FP258" s="663"/>
      <c r="FQ258" s="663"/>
      <c r="FR258" s="663"/>
      <c r="FS258" s="663"/>
      <c r="FT258" s="663"/>
      <c r="FU258" s="663"/>
      <c r="FV258" s="663"/>
      <c r="FW258" s="663"/>
      <c r="FX258" s="663"/>
      <c r="FY258" s="663"/>
      <c r="FZ258" s="663"/>
      <c r="GA258" s="663"/>
      <c r="GB258" s="663"/>
      <c r="GC258" s="663"/>
      <c r="GD258" s="663"/>
      <c r="GE258" s="663"/>
      <c r="GF258" s="663"/>
      <c r="GG258" s="663"/>
    </row>
    <row r="259" spans="1:189" ht="27.6">
      <c r="A259" s="655">
        <v>720</v>
      </c>
      <c r="B259" s="649">
        <v>200</v>
      </c>
      <c r="C259" s="649">
        <v>200</v>
      </c>
      <c r="D259" s="649">
        <v>200</v>
      </c>
      <c r="E259" s="640">
        <v>50</v>
      </c>
      <c r="F259" s="645"/>
      <c r="G259" s="203" t="s">
        <v>510</v>
      </c>
      <c r="H259" s="504">
        <v>0</v>
      </c>
      <c r="I259" s="504">
        <v>0</v>
      </c>
      <c r="J259" s="641" t="s">
        <v>511</v>
      </c>
      <c r="K259" s="663"/>
      <c r="L259" s="663"/>
      <c r="M259" s="663"/>
      <c r="N259" s="663"/>
      <c r="O259" s="663"/>
      <c r="P259" s="663"/>
      <c r="Q259" s="663"/>
      <c r="R259" s="663"/>
      <c r="S259" s="663"/>
      <c r="T259" s="663"/>
      <c r="U259" s="663"/>
      <c r="V259" s="663"/>
      <c r="W259" s="663"/>
      <c r="X259" s="663"/>
      <c r="Y259" s="663"/>
      <c r="Z259" s="663"/>
      <c r="AA259" s="663"/>
      <c r="AB259" s="663"/>
      <c r="AC259" s="663"/>
      <c r="AD259" s="663"/>
      <c r="AE259" s="663"/>
      <c r="AF259" s="663"/>
      <c r="AG259" s="663"/>
      <c r="AH259" s="663"/>
      <c r="AI259" s="663"/>
      <c r="AJ259" s="663"/>
      <c r="AK259" s="663"/>
      <c r="AL259" s="663"/>
      <c r="AM259" s="663"/>
      <c r="AN259" s="663"/>
      <c r="AO259" s="663"/>
      <c r="AP259" s="663"/>
      <c r="AQ259" s="663"/>
      <c r="AR259" s="663"/>
      <c r="AS259" s="663"/>
      <c r="AT259" s="663"/>
      <c r="AU259" s="663"/>
      <c r="AV259" s="663"/>
      <c r="AW259" s="663"/>
      <c r="AX259" s="663"/>
      <c r="AY259" s="663"/>
      <c r="AZ259" s="663"/>
      <c r="BA259" s="663"/>
      <c r="BB259" s="663"/>
      <c r="BC259" s="663"/>
      <c r="BD259" s="663"/>
      <c r="BE259" s="663"/>
      <c r="BF259" s="663"/>
      <c r="BG259" s="663"/>
      <c r="BH259" s="663"/>
      <c r="BI259" s="663"/>
      <c r="BJ259" s="663"/>
      <c r="BK259" s="663"/>
      <c r="BL259" s="663"/>
      <c r="BM259" s="663"/>
      <c r="BN259" s="663"/>
      <c r="BO259" s="663"/>
      <c r="BP259" s="663"/>
      <c r="BQ259" s="663"/>
      <c r="BR259" s="663"/>
      <c r="BS259" s="663"/>
      <c r="BT259" s="663"/>
      <c r="BU259" s="663"/>
      <c r="BV259" s="663"/>
      <c r="BW259" s="663"/>
      <c r="BX259" s="663"/>
      <c r="BY259" s="663"/>
      <c r="BZ259" s="663"/>
      <c r="CA259" s="663"/>
      <c r="CB259" s="663"/>
      <c r="CC259" s="663"/>
      <c r="CD259" s="663"/>
      <c r="CE259" s="663"/>
      <c r="CF259" s="663"/>
      <c r="CG259" s="663"/>
      <c r="CH259" s="663"/>
      <c r="CI259" s="663"/>
      <c r="CJ259" s="663"/>
      <c r="CK259" s="663"/>
      <c r="CL259" s="663"/>
      <c r="CM259" s="663"/>
      <c r="CN259" s="663"/>
      <c r="CO259" s="663"/>
      <c r="CP259" s="663"/>
      <c r="CQ259" s="663"/>
      <c r="CR259" s="663"/>
      <c r="CS259" s="663"/>
      <c r="CT259" s="663"/>
      <c r="CU259" s="663"/>
      <c r="CV259" s="663"/>
      <c r="CW259" s="663"/>
      <c r="CX259" s="663"/>
      <c r="CY259" s="663"/>
      <c r="CZ259" s="663"/>
      <c r="DA259" s="663"/>
      <c r="DB259" s="663"/>
      <c r="DC259" s="663"/>
      <c r="DD259" s="663"/>
      <c r="DE259" s="663"/>
      <c r="DF259" s="663"/>
      <c r="DG259" s="663"/>
      <c r="DH259" s="663"/>
      <c r="DI259" s="663"/>
      <c r="DJ259" s="663"/>
      <c r="DK259" s="663"/>
      <c r="DL259" s="663"/>
      <c r="DM259" s="663"/>
      <c r="DN259" s="663"/>
      <c r="DO259" s="663"/>
      <c r="DP259" s="663"/>
      <c r="DQ259" s="663"/>
      <c r="DR259" s="663"/>
      <c r="DS259" s="663"/>
      <c r="DT259" s="663"/>
      <c r="DU259" s="663"/>
      <c r="DV259" s="663"/>
      <c r="DW259" s="663"/>
      <c r="DX259" s="663"/>
      <c r="DY259" s="663"/>
      <c r="DZ259" s="663"/>
      <c r="EA259" s="663"/>
      <c r="EB259" s="663"/>
      <c r="EC259" s="663"/>
      <c r="ED259" s="663"/>
      <c r="EE259" s="663"/>
      <c r="EF259" s="663"/>
      <c r="EG259" s="663"/>
      <c r="EH259" s="663"/>
      <c r="EI259" s="663"/>
      <c r="EJ259" s="663"/>
      <c r="EK259" s="663"/>
      <c r="EL259" s="663"/>
      <c r="EM259" s="663"/>
      <c r="EN259" s="663"/>
      <c r="EO259" s="663"/>
      <c r="EP259" s="663"/>
      <c r="EQ259" s="663"/>
      <c r="ER259" s="663"/>
      <c r="ES259" s="663"/>
      <c r="ET259" s="663"/>
      <c r="EU259" s="663"/>
      <c r="EV259" s="663"/>
      <c r="EW259" s="663"/>
      <c r="EX259" s="663"/>
      <c r="EY259" s="663"/>
      <c r="EZ259" s="663"/>
      <c r="FA259" s="663"/>
      <c r="FB259" s="663"/>
      <c r="FC259" s="663"/>
      <c r="FD259" s="663"/>
      <c r="FE259" s="663"/>
      <c r="FF259" s="663"/>
      <c r="FG259" s="663"/>
      <c r="FH259" s="663"/>
      <c r="FI259" s="663"/>
      <c r="FJ259" s="663"/>
      <c r="FK259" s="663"/>
      <c r="FL259" s="663"/>
      <c r="FM259" s="663"/>
      <c r="FN259" s="663"/>
      <c r="FO259" s="663"/>
      <c r="FP259" s="663"/>
      <c r="FQ259" s="663"/>
      <c r="FR259" s="663"/>
      <c r="FS259" s="663"/>
      <c r="FT259" s="663"/>
      <c r="FU259" s="663"/>
      <c r="FV259" s="663"/>
      <c r="FW259" s="663"/>
      <c r="FX259" s="663"/>
      <c r="FY259" s="663"/>
      <c r="FZ259" s="663"/>
      <c r="GA259" s="663"/>
      <c r="GB259" s="663"/>
      <c r="GC259" s="663"/>
      <c r="GD259" s="663"/>
      <c r="GE259" s="663"/>
      <c r="GF259" s="663"/>
      <c r="GG259" s="663"/>
    </row>
    <row r="260" spans="1:189" ht="27.6">
      <c r="A260" s="655">
        <v>720</v>
      </c>
      <c r="B260" s="649">
        <v>200</v>
      </c>
      <c r="C260" s="649">
        <v>200</v>
      </c>
      <c r="D260" s="649">
        <v>200</v>
      </c>
      <c r="E260" s="640">
        <v>60</v>
      </c>
      <c r="F260" s="645"/>
      <c r="G260" s="203" t="s">
        <v>512</v>
      </c>
      <c r="H260" s="504">
        <v>10970.61</v>
      </c>
      <c r="I260" s="504">
        <v>55342</v>
      </c>
      <c r="J260" s="641" t="s">
        <v>513</v>
      </c>
      <c r="K260" s="663"/>
      <c r="L260" s="663"/>
      <c r="M260" s="663"/>
      <c r="N260" s="663"/>
      <c r="O260" s="663"/>
      <c r="P260" s="663"/>
      <c r="Q260" s="663"/>
      <c r="R260" s="663"/>
      <c r="S260" s="663"/>
      <c r="T260" s="663"/>
      <c r="U260" s="663"/>
      <c r="V260" s="663"/>
      <c r="W260" s="663"/>
      <c r="X260" s="663"/>
      <c r="Y260" s="663"/>
      <c r="Z260" s="663"/>
      <c r="AA260" s="663"/>
      <c r="AB260" s="663"/>
      <c r="AC260" s="663"/>
      <c r="AD260" s="663"/>
      <c r="AE260" s="663"/>
      <c r="AF260" s="663"/>
      <c r="AG260" s="663"/>
      <c r="AH260" s="663"/>
      <c r="AI260" s="663"/>
      <c r="AJ260" s="663"/>
      <c r="AK260" s="663"/>
      <c r="AL260" s="663"/>
      <c r="AM260" s="663"/>
      <c r="AN260" s="663"/>
      <c r="AO260" s="663"/>
      <c r="AP260" s="663"/>
      <c r="AQ260" s="663"/>
      <c r="AR260" s="663"/>
      <c r="AS260" s="663"/>
      <c r="AT260" s="663"/>
      <c r="AU260" s="663"/>
      <c r="AV260" s="663"/>
      <c r="AW260" s="663"/>
      <c r="AX260" s="663"/>
      <c r="AY260" s="663"/>
      <c r="AZ260" s="663"/>
      <c r="BA260" s="663"/>
      <c r="BB260" s="663"/>
      <c r="BC260" s="663"/>
      <c r="BD260" s="663"/>
      <c r="BE260" s="663"/>
      <c r="BF260" s="663"/>
      <c r="BG260" s="663"/>
      <c r="BH260" s="663"/>
      <c r="BI260" s="663"/>
      <c r="BJ260" s="663"/>
      <c r="BK260" s="663"/>
      <c r="BL260" s="663"/>
      <c r="BM260" s="663"/>
      <c r="BN260" s="663"/>
      <c r="BO260" s="663"/>
      <c r="BP260" s="663"/>
      <c r="BQ260" s="663"/>
      <c r="BR260" s="663"/>
      <c r="BS260" s="663"/>
      <c r="BT260" s="663"/>
      <c r="BU260" s="663"/>
      <c r="BV260" s="663"/>
      <c r="BW260" s="663"/>
      <c r="BX260" s="663"/>
      <c r="BY260" s="663"/>
      <c r="BZ260" s="663"/>
      <c r="CA260" s="663"/>
      <c r="CB260" s="663"/>
      <c r="CC260" s="663"/>
      <c r="CD260" s="663"/>
      <c r="CE260" s="663"/>
      <c r="CF260" s="663"/>
      <c r="CG260" s="663"/>
      <c r="CH260" s="663"/>
      <c r="CI260" s="663"/>
      <c r="CJ260" s="663"/>
      <c r="CK260" s="663"/>
      <c r="CL260" s="663"/>
      <c r="CM260" s="663"/>
      <c r="CN260" s="663"/>
      <c r="CO260" s="663"/>
      <c r="CP260" s="663"/>
      <c r="CQ260" s="663"/>
      <c r="CR260" s="663"/>
      <c r="CS260" s="663"/>
      <c r="CT260" s="663"/>
      <c r="CU260" s="663"/>
      <c r="CV260" s="663"/>
      <c r="CW260" s="663"/>
      <c r="CX260" s="663"/>
      <c r="CY260" s="663"/>
      <c r="CZ260" s="663"/>
      <c r="DA260" s="663"/>
      <c r="DB260" s="663"/>
      <c r="DC260" s="663"/>
      <c r="DD260" s="663"/>
      <c r="DE260" s="663"/>
      <c r="DF260" s="663"/>
      <c r="DG260" s="663"/>
      <c r="DH260" s="663"/>
      <c r="DI260" s="663"/>
      <c r="DJ260" s="663"/>
      <c r="DK260" s="663"/>
      <c r="DL260" s="663"/>
      <c r="DM260" s="663"/>
      <c r="DN260" s="663"/>
      <c r="DO260" s="663"/>
      <c r="DP260" s="663"/>
      <c r="DQ260" s="663"/>
      <c r="DR260" s="663"/>
      <c r="DS260" s="663"/>
      <c r="DT260" s="663"/>
      <c r="DU260" s="663"/>
      <c r="DV260" s="663"/>
      <c r="DW260" s="663"/>
      <c r="DX260" s="663"/>
      <c r="DY260" s="663"/>
      <c r="DZ260" s="663"/>
      <c r="EA260" s="663"/>
      <c r="EB260" s="663"/>
      <c r="EC260" s="663"/>
      <c r="ED260" s="663"/>
      <c r="EE260" s="663"/>
      <c r="EF260" s="663"/>
      <c r="EG260" s="663"/>
      <c r="EH260" s="663"/>
      <c r="EI260" s="663"/>
      <c r="EJ260" s="663"/>
      <c r="EK260" s="663"/>
      <c r="EL260" s="663"/>
      <c r="EM260" s="663"/>
      <c r="EN260" s="663"/>
      <c r="EO260" s="663"/>
      <c r="EP260" s="663"/>
      <c r="EQ260" s="663"/>
      <c r="ER260" s="663"/>
      <c r="ES260" s="663"/>
      <c r="ET260" s="663"/>
      <c r="EU260" s="663"/>
      <c r="EV260" s="663"/>
      <c r="EW260" s="663"/>
      <c r="EX260" s="663"/>
      <c r="EY260" s="663"/>
      <c r="EZ260" s="663"/>
      <c r="FA260" s="663"/>
      <c r="FB260" s="663"/>
      <c r="FC260" s="663"/>
      <c r="FD260" s="663"/>
      <c r="FE260" s="663"/>
      <c r="FF260" s="663"/>
      <c r="FG260" s="663"/>
      <c r="FH260" s="663"/>
      <c r="FI260" s="663"/>
      <c r="FJ260" s="663"/>
      <c r="FK260" s="663"/>
      <c r="FL260" s="663"/>
      <c r="FM260" s="663"/>
      <c r="FN260" s="663"/>
      <c r="FO260" s="663"/>
      <c r="FP260" s="663"/>
      <c r="FQ260" s="663"/>
      <c r="FR260" s="663"/>
      <c r="FS260" s="663"/>
      <c r="FT260" s="663"/>
      <c r="FU260" s="663"/>
      <c r="FV260" s="663"/>
      <c r="FW260" s="663"/>
      <c r="FX260" s="663"/>
      <c r="FY260" s="663"/>
      <c r="FZ260" s="663"/>
      <c r="GA260" s="663"/>
      <c r="GB260" s="663"/>
      <c r="GC260" s="663"/>
      <c r="GD260" s="663"/>
      <c r="GE260" s="663"/>
      <c r="GF260" s="663"/>
      <c r="GG260" s="663"/>
    </row>
    <row r="261" spans="1:189">
      <c r="A261" s="655">
        <v>720</v>
      </c>
      <c r="B261" s="649">
        <v>200</v>
      </c>
      <c r="C261" s="649">
        <v>200</v>
      </c>
      <c r="D261" s="649">
        <v>200</v>
      </c>
      <c r="E261" s="640">
        <v>90</v>
      </c>
      <c r="F261" s="645"/>
      <c r="G261" s="203" t="s">
        <v>514</v>
      </c>
      <c r="H261" s="504">
        <v>52257.84</v>
      </c>
      <c r="I261" s="504">
        <v>14034</v>
      </c>
      <c r="J261" s="641" t="s">
        <v>515</v>
      </c>
      <c r="K261" s="663"/>
      <c r="L261" s="663"/>
      <c r="M261" s="663"/>
      <c r="N261" s="663"/>
      <c r="O261" s="663"/>
      <c r="P261" s="663"/>
      <c r="Q261" s="663"/>
      <c r="R261" s="663"/>
      <c r="S261" s="663"/>
      <c r="T261" s="663"/>
      <c r="U261" s="663"/>
      <c r="V261" s="663"/>
      <c r="W261" s="663"/>
      <c r="X261" s="663"/>
      <c r="Y261" s="663"/>
      <c r="Z261" s="663"/>
      <c r="AA261" s="663"/>
      <c r="AB261" s="663"/>
      <c r="AC261" s="663"/>
      <c r="AD261" s="663"/>
      <c r="AE261" s="663"/>
      <c r="AF261" s="663"/>
      <c r="AG261" s="663"/>
      <c r="AH261" s="663"/>
      <c r="AI261" s="663"/>
      <c r="AJ261" s="663"/>
      <c r="AK261" s="663"/>
      <c r="AL261" s="663"/>
      <c r="AM261" s="663"/>
      <c r="AN261" s="663"/>
      <c r="AO261" s="663"/>
      <c r="AP261" s="663"/>
      <c r="AQ261" s="663"/>
      <c r="AR261" s="663"/>
      <c r="AS261" s="663"/>
      <c r="AT261" s="663"/>
      <c r="AU261" s="663"/>
      <c r="AV261" s="663"/>
      <c r="AW261" s="663"/>
      <c r="AX261" s="663"/>
      <c r="AY261" s="663"/>
      <c r="AZ261" s="663"/>
      <c r="BA261" s="663"/>
      <c r="BB261" s="663"/>
      <c r="BC261" s="663"/>
      <c r="BD261" s="663"/>
      <c r="BE261" s="663"/>
      <c r="BF261" s="663"/>
      <c r="BG261" s="663"/>
      <c r="BH261" s="663"/>
      <c r="BI261" s="663"/>
      <c r="BJ261" s="663"/>
      <c r="BK261" s="663"/>
      <c r="BL261" s="663"/>
      <c r="BM261" s="663"/>
      <c r="BN261" s="663"/>
      <c r="BO261" s="663"/>
      <c r="BP261" s="663"/>
      <c r="BQ261" s="663"/>
      <c r="BR261" s="663"/>
      <c r="BS261" s="663"/>
      <c r="BT261" s="663"/>
      <c r="BU261" s="663"/>
      <c r="BV261" s="663"/>
      <c r="BW261" s="663"/>
      <c r="BX261" s="663"/>
      <c r="BY261" s="663"/>
      <c r="BZ261" s="663"/>
      <c r="CA261" s="663"/>
      <c r="CB261" s="663"/>
      <c r="CC261" s="663"/>
      <c r="CD261" s="663"/>
      <c r="CE261" s="663"/>
      <c r="CF261" s="663"/>
      <c r="CG261" s="663"/>
      <c r="CH261" s="663"/>
      <c r="CI261" s="663"/>
      <c r="CJ261" s="663"/>
      <c r="CK261" s="663"/>
      <c r="CL261" s="663"/>
      <c r="CM261" s="663"/>
      <c r="CN261" s="663"/>
      <c r="CO261" s="663"/>
      <c r="CP261" s="663"/>
      <c r="CQ261" s="663"/>
      <c r="CR261" s="663"/>
      <c r="CS261" s="663"/>
      <c r="CT261" s="663"/>
      <c r="CU261" s="663"/>
      <c r="CV261" s="663"/>
      <c r="CW261" s="663"/>
      <c r="CX261" s="663"/>
      <c r="CY261" s="663"/>
      <c r="CZ261" s="663"/>
      <c r="DA261" s="663"/>
      <c r="DB261" s="663"/>
      <c r="DC261" s="663"/>
      <c r="DD261" s="663"/>
      <c r="DE261" s="663"/>
      <c r="DF261" s="663"/>
      <c r="DG261" s="663"/>
      <c r="DH261" s="663"/>
      <c r="DI261" s="663"/>
      <c r="DJ261" s="663"/>
      <c r="DK261" s="663"/>
      <c r="DL261" s="663"/>
      <c r="DM261" s="663"/>
      <c r="DN261" s="663"/>
      <c r="DO261" s="663"/>
      <c r="DP261" s="663"/>
      <c r="DQ261" s="663"/>
      <c r="DR261" s="663"/>
      <c r="DS261" s="663"/>
      <c r="DT261" s="663"/>
      <c r="DU261" s="663"/>
      <c r="DV261" s="663"/>
      <c r="DW261" s="663"/>
      <c r="DX261" s="663"/>
      <c r="DY261" s="663"/>
      <c r="DZ261" s="663"/>
      <c r="EA261" s="663"/>
      <c r="EB261" s="663"/>
      <c r="EC261" s="663"/>
      <c r="ED261" s="663"/>
      <c r="EE261" s="663"/>
      <c r="EF261" s="663"/>
      <c r="EG261" s="663"/>
      <c r="EH261" s="663"/>
      <c r="EI261" s="663"/>
      <c r="EJ261" s="663"/>
      <c r="EK261" s="663"/>
      <c r="EL261" s="663"/>
      <c r="EM261" s="663"/>
      <c r="EN261" s="663"/>
      <c r="EO261" s="663"/>
      <c r="EP261" s="663"/>
      <c r="EQ261" s="663"/>
      <c r="ER261" s="663"/>
      <c r="ES261" s="663"/>
      <c r="ET261" s="663"/>
      <c r="EU261" s="663"/>
      <c r="EV261" s="663"/>
      <c r="EW261" s="663"/>
      <c r="EX261" s="663"/>
      <c r="EY261" s="663"/>
      <c r="EZ261" s="663"/>
      <c r="FA261" s="663"/>
      <c r="FB261" s="663"/>
      <c r="FC261" s="663"/>
      <c r="FD261" s="663"/>
      <c r="FE261" s="663"/>
      <c r="FF261" s="663"/>
      <c r="FG261" s="663"/>
      <c r="FH261" s="663"/>
      <c r="FI261" s="663"/>
      <c r="FJ261" s="663"/>
      <c r="FK261" s="663"/>
      <c r="FL261" s="663"/>
      <c r="FM261" s="663"/>
      <c r="FN261" s="663"/>
      <c r="FO261" s="663"/>
      <c r="FP261" s="663"/>
      <c r="FQ261" s="663"/>
      <c r="FR261" s="663"/>
      <c r="FS261" s="663"/>
      <c r="FT261" s="663"/>
      <c r="FU261" s="663"/>
      <c r="FV261" s="663"/>
      <c r="FW261" s="663"/>
      <c r="FX261" s="663"/>
      <c r="FY261" s="663"/>
      <c r="FZ261" s="663"/>
      <c r="GA261" s="663"/>
      <c r="GB261" s="663"/>
      <c r="GC261" s="663"/>
      <c r="GD261" s="663"/>
      <c r="GE261" s="663"/>
      <c r="GF261" s="663"/>
      <c r="GG261" s="663"/>
    </row>
    <row r="262" spans="1:189">
      <c r="A262" s="655">
        <v>720</v>
      </c>
      <c r="B262" s="649">
        <v>200</v>
      </c>
      <c r="C262" s="649">
        <v>300</v>
      </c>
      <c r="D262" s="649"/>
      <c r="E262" s="649"/>
      <c r="F262" s="664"/>
      <c r="G262" s="638" t="s">
        <v>516</v>
      </c>
      <c r="H262" s="505">
        <v>0</v>
      </c>
      <c r="I262" s="505">
        <v>0</v>
      </c>
      <c r="J262" s="641"/>
      <c r="K262" s="663"/>
      <c r="L262" s="663"/>
      <c r="M262" s="663"/>
      <c r="N262" s="663"/>
      <c r="O262" s="663"/>
      <c r="P262" s="663"/>
      <c r="Q262" s="663"/>
      <c r="R262" s="663"/>
      <c r="S262" s="663"/>
      <c r="T262" s="663"/>
      <c r="U262" s="663"/>
      <c r="V262" s="663"/>
      <c r="W262" s="663"/>
      <c r="X262" s="663"/>
      <c r="Y262" s="663"/>
      <c r="Z262" s="663"/>
      <c r="AA262" s="663"/>
      <c r="AB262" s="663"/>
      <c r="AC262" s="663"/>
      <c r="AD262" s="663"/>
      <c r="AE262" s="663"/>
      <c r="AF262" s="663"/>
      <c r="AG262" s="663"/>
      <c r="AH262" s="663"/>
      <c r="AI262" s="663"/>
      <c r="AJ262" s="663"/>
      <c r="AK262" s="663"/>
      <c r="AL262" s="663"/>
      <c r="AM262" s="663"/>
      <c r="AN262" s="663"/>
      <c r="AO262" s="663"/>
      <c r="AP262" s="663"/>
      <c r="AQ262" s="663"/>
      <c r="AR262" s="663"/>
      <c r="AS262" s="663"/>
      <c r="AT262" s="663"/>
      <c r="AU262" s="663"/>
      <c r="AV262" s="663"/>
      <c r="AW262" s="663"/>
      <c r="AX262" s="663"/>
      <c r="AY262" s="663"/>
      <c r="AZ262" s="663"/>
      <c r="BA262" s="663"/>
      <c r="BB262" s="663"/>
      <c r="BC262" s="663"/>
      <c r="BD262" s="663"/>
      <c r="BE262" s="663"/>
      <c r="BF262" s="663"/>
      <c r="BG262" s="663"/>
      <c r="BH262" s="663"/>
      <c r="BI262" s="663"/>
      <c r="BJ262" s="663"/>
      <c r="BK262" s="663"/>
      <c r="BL262" s="663"/>
      <c r="BM262" s="663"/>
      <c r="BN262" s="663"/>
      <c r="BO262" s="663"/>
      <c r="BP262" s="663"/>
      <c r="BQ262" s="663"/>
      <c r="BR262" s="663"/>
      <c r="BS262" s="663"/>
      <c r="BT262" s="663"/>
      <c r="BU262" s="663"/>
      <c r="BV262" s="663"/>
      <c r="BW262" s="663"/>
      <c r="BX262" s="663"/>
      <c r="BY262" s="663"/>
      <c r="BZ262" s="663"/>
      <c r="CA262" s="663"/>
      <c r="CB262" s="663"/>
      <c r="CC262" s="663"/>
      <c r="CD262" s="663"/>
      <c r="CE262" s="663"/>
      <c r="CF262" s="663"/>
      <c r="CG262" s="663"/>
      <c r="CH262" s="663"/>
      <c r="CI262" s="663"/>
      <c r="CJ262" s="663"/>
      <c r="CK262" s="663"/>
      <c r="CL262" s="663"/>
      <c r="CM262" s="663"/>
      <c r="CN262" s="663"/>
      <c r="CO262" s="663"/>
      <c r="CP262" s="663"/>
      <c r="CQ262" s="663"/>
      <c r="CR262" s="663"/>
      <c r="CS262" s="663"/>
      <c r="CT262" s="663"/>
      <c r="CU262" s="663"/>
      <c r="CV262" s="663"/>
      <c r="CW262" s="663"/>
      <c r="CX262" s="663"/>
      <c r="CY262" s="663"/>
      <c r="CZ262" s="663"/>
      <c r="DA262" s="663"/>
      <c r="DB262" s="663"/>
      <c r="DC262" s="663"/>
      <c r="DD262" s="663"/>
      <c r="DE262" s="663"/>
      <c r="DF262" s="663"/>
      <c r="DG262" s="663"/>
      <c r="DH262" s="663"/>
      <c r="DI262" s="663"/>
      <c r="DJ262" s="663"/>
      <c r="DK262" s="663"/>
      <c r="DL262" s="663"/>
      <c r="DM262" s="663"/>
      <c r="DN262" s="663"/>
      <c r="DO262" s="663"/>
      <c r="DP262" s="663"/>
      <c r="DQ262" s="663"/>
      <c r="DR262" s="663"/>
      <c r="DS262" s="663"/>
      <c r="DT262" s="663"/>
      <c r="DU262" s="663"/>
      <c r="DV262" s="663"/>
      <c r="DW262" s="663"/>
      <c r="DX262" s="663"/>
      <c r="DY262" s="663"/>
      <c r="DZ262" s="663"/>
      <c r="EA262" s="663"/>
      <c r="EB262" s="663"/>
      <c r="EC262" s="663"/>
      <c r="ED262" s="663"/>
      <c r="EE262" s="663"/>
      <c r="EF262" s="663"/>
      <c r="EG262" s="663"/>
      <c r="EH262" s="663"/>
      <c r="EI262" s="663"/>
      <c r="EJ262" s="663"/>
      <c r="EK262" s="663"/>
      <c r="EL262" s="663"/>
      <c r="EM262" s="663"/>
      <c r="EN262" s="663"/>
      <c r="EO262" s="663"/>
      <c r="EP262" s="663"/>
      <c r="EQ262" s="663"/>
      <c r="ER262" s="663"/>
      <c r="ES262" s="663"/>
      <c r="ET262" s="663"/>
      <c r="EU262" s="663"/>
      <c r="EV262" s="663"/>
      <c r="EW262" s="663"/>
      <c r="EX262" s="663"/>
      <c r="EY262" s="663"/>
      <c r="EZ262" s="663"/>
      <c r="FA262" s="663"/>
      <c r="FB262" s="663"/>
      <c r="FC262" s="663"/>
      <c r="FD262" s="663"/>
      <c r="FE262" s="663"/>
      <c r="FF262" s="663"/>
      <c r="FG262" s="663"/>
      <c r="FH262" s="663"/>
      <c r="FI262" s="663"/>
      <c r="FJ262" s="663"/>
      <c r="FK262" s="663"/>
      <c r="FL262" s="663"/>
      <c r="FM262" s="663"/>
      <c r="FN262" s="663"/>
      <c r="FO262" s="663"/>
      <c r="FP262" s="663"/>
      <c r="FQ262" s="663"/>
      <c r="FR262" s="663"/>
      <c r="FS262" s="663"/>
      <c r="FT262" s="663"/>
      <c r="FU262" s="663"/>
      <c r="FV262" s="663"/>
      <c r="FW262" s="663"/>
      <c r="FX262" s="663"/>
      <c r="FY262" s="663"/>
      <c r="FZ262" s="663"/>
      <c r="GA262" s="663"/>
      <c r="GB262" s="663"/>
      <c r="GC262" s="663"/>
      <c r="GD262" s="663"/>
      <c r="GE262" s="663"/>
      <c r="GF262" s="663"/>
      <c r="GG262" s="663"/>
    </row>
    <row r="263" spans="1:189" ht="27.6">
      <c r="A263" s="655">
        <v>720</v>
      </c>
      <c r="B263" s="649">
        <v>200</v>
      </c>
      <c r="C263" s="649">
        <v>300</v>
      </c>
      <c r="D263" s="640">
        <v>100</v>
      </c>
      <c r="E263" s="640"/>
      <c r="F263" s="640"/>
      <c r="G263" s="203" t="s">
        <v>517</v>
      </c>
      <c r="H263" s="504">
        <v>0</v>
      </c>
      <c r="I263" s="504">
        <v>0</v>
      </c>
      <c r="J263" s="641" t="s">
        <v>518</v>
      </c>
      <c r="K263" s="663"/>
      <c r="L263" s="663"/>
      <c r="M263" s="663"/>
      <c r="N263" s="663"/>
      <c r="O263" s="663"/>
      <c r="P263" s="663"/>
      <c r="Q263" s="663"/>
      <c r="R263" s="663"/>
      <c r="S263" s="663"/>
      <c r="T263" s="663"/>
      <c r="U263" s="663"/>
      <c r="V263" s="663"/>
      <c r="W263" s="663"/>
      <c r="X263" s="663"/>
      <c r="Y263" s="663"/>
      <c r="Z263" s="663"/>
      <c r="AA263" s="663"/>
      <c r="AB263" s="663"/>
      <c r="AC263" s="663"/>
      <c r="AD263" s="663"/>
      <c r="AE263" s="663"/>
      <c r="AF263" s="663"/>
      <c r="AG263" s="663"/>
      <c r="AH263" s="663"/>
      <c r="AI263" s="663"/>
      <c r="AJ263" s="663"/>
      <c r="AK263" s="663"/>
      <c r="AL263" s="663"/>
      <c r="AM263" s="663"/>
      <c r="AN263" s="663"/>
      <c r="AO263" s="663"/>
      <c r="AP263" s="663"/>
      <c r="AQ263" s="663"/>
      <c r="AR263" s="663"/>
      <c r="AS263" s="663"/>
      <c r="AT263" s="663"/>
      <c r="AU263" s="663"/>
      <c r="AV263" s="663"/>
      <c r="AW263" s="663"/>
      <c r="AX263" s="663"/>
      <c r="AY263" s="663"/>
      <c r="AZ263" s="663"/>
      <c r="BA263" s="663"/>
      <c r="BB263" s="663"/>
      <c r="BC263" s="663"/>
      <c r="BD263" s="663"/>
      <c r="BE263" s="663"/>
      <c r="BF263" s="663"/>
      <c r="BG263" s="663"/>
      <c r="BH263" s="663"/>
      <c r="BI263" s="663"/>
      <c r="BJ263" s="663"/>
      <c r="BK263" s="663"/>
      <c r="BL263" s="663"/>
      <c r="BM263" s="663"/>
      <c r="BN263" s="663"/>
      <c r="BO263" s="663"/>
      <c r="BP263" s="663"/>
      <c r="BQ263" s="663"/>
      <c r="BR263" s="663"/>
      <c r="BS263" s="663"/>
      <c r="BT263" s="663"/>
      <c r="BU263" s="663"/>
      <c r="BV263" s="663"/>
      <c r="BW263" s="663"/>
      <c r="BX263" s="663"/>
      <c r="BY263" s="663"/>
      <c r="BZ263" s="663"/>
      <c r="CA263" s="663"/>
      <c r="CB263" s="663"/>
      <c r="CC263" s="663"/>
      <c r="CD263" s="663"/>
      <c r="CE263" s="663"/>
      <c r="CF263" s="663"/>
      <c r="CG263" s="663"/>
      <c r="CH263" s="663"/>
      <c r="CI263" s="663"/>
      <c r="CJ263" s="663"/>
      <c r="CK263" s="663"/>
      <c r="CL263" s="663"/>
      <c r="CM263" s="663"/>
      <c r="CN263" s="663"/>
      <c r="CO263" s="663"/>
      <c r="CP263" s="663"/>
      <c r="CQ263" s="663"/>
      <c r="CR263" s="663"/>
      <c r="CS263" s="663"/>
      <c r="CT263" s="663"/>
      <c r="CU263" s="663"/>
      <c r="CV263" s="663"/>
      <c r="CW263" s="663"/>
      <c r="CX263" s="663"/>
      <c r="CY263" s="663"/>
      <c r="CZ263" s="663"/>
      <c r="DA263" s="663"/>
      <c r="DB263" s="663"/>
      <c r="DC263" s="663"/>
      <c r="DD263" s="663"/>
      <c r="DE263" s="663"/>
      <c r="DF263" s="663"/>
      <c r="DG263" s="663"/>
      <c r="DH263" s="663"/>
      <c r="DI263" s="663"/>
      <c r="DJ263" s="663"/>
      <c r="DK263" s="663"/>
      <c r="DL263" s="663"/>
      <c r="DM263" s="663"/>
      <c r="DN263" s="663"/>
      <c r="DO263" s="663"/>
      <c r="DP263" s="663"/>
      <c r="DQ263" s="663"/>
      <c r="DR263" s="663"/>
      <c r="DS263" s="663"/>
      <c r="DT263" s="663"/>
      <c r="DU263" s="663"/>
      <c r="DV263" s="663"/>
      <c r="DW263" s="663"/>
      <c r="DX263" s="663"/>
      <c r="DY263" s="663"/>
      <c r="DZ263" s="663"/>
      <c r="EA263" s="663"/>
      <c r="EB263" s="663"/>
      <c r="EC263" s="663"/>
      <c r="ED263" s="663"/>
      <c r="EE263" s="663"/>
      <c r="EF263" s="663"/>
      <c r="EG263" s="663"/>
      <c r="EH263" s="663"/>
      <c r="EI263" s="663"/>
      <c r="EJ263" s="663"/>
      <c r="EK263" s="663"/>
      <c r="EL263" s="663"/>
      <c r="EM263" s="663"/>
      <c r="EN263" s="663"/>
      <c r="EO263" s="663"/>
      <c r="EP263" s="663"/>
      <c r="EQ263" s="663"/>
      <c r="ER263" s="663"/>
      <c r="ES263" s="663"/>
      <c r="ET263" s="663"/>
      <c r="EU263" s="663"/>
      <c r="EV263" s="663"/>
      <c r="EW263" s="663"/>
      <c r="EX263" s="663"/>
      <c r="EY263" s="663"/>
      <c r="EZ263" s="663"/>
      <c r="FA263" s="663"/>
      <c r="FB263" s="663"/>
      <c r="FC263" s="663"/>
      <c r="FD263" s="663"/>
      <c r="FE263" s="663"/>
      <c r="FF263" s="663"/>
      <c r="FG263" s="663"/>
      <c r="FH263" s="663"/>
      <c r="FI263" s="663"/>
      <c r="FJ263" s="663"/>
      <c r="FK263" s="663"/>
      <c r="FL263" s="663"/>
      <c r="FM263" s="663"/>
      <c r="FN263" s="663"/>
      <c r="FO263" s="663"/>
      <c r="FP263" s="663"/>
      <c r="FQ263" s="663"/>
      <c r="FR263" s="663"/>
      <c r="FS263" s="663"/>
      <c r="FT263" s="663"/>
      <c r="FU263" s="663"/>
      <c r="FV263" s="663"/>
      <c r="FW263" s="663"/>
      <c r="FX263" s="663"/>
      <c r="FY263" s="663"/>
      <c r="FZ263" s="663"/>
      <c r="GA263" s="663"/>
      <c r="GB263" s="663"/>
      <c r="GC263" s="663"/>
      <c r="GD263" s="663"/>
      <c r="GE263" s="663"/>
      <c r="GF263" s="663"/>
      <c r="GG263" s="663"/>
    </row>
    <row r="264" spans="1:189">
      <c r="A264" s="655">
        <v>720</v>
      </c>
      <c r="B264" s="649">
        <v>200</v>
      </c>
      <c r="C264" s="649">
        <v>300</v>
      </c>
      <c r="D264" s="649">
        <v>200</v>
      </c>
      <c r="E264" s="649"/>
      <c r="F264" s="649"/>
      <c r="G264" s="638" t="s">
        <v>519</v>
      </c>
      <c r="H264" s="505">
        <v>0</v>
      </c>
      <c r="I264" s="505">
        <v>0</v>
      </c>
      <c r="J264" s="641"/>
    </row>
    <row r="265" spans="1:189" ht="27.6">
      <c r="A265" s="655">
        <v>720</v>
      </c>
      <c r="B265" s="649">
        <v>200</v>
      </c>
      <c r="C265" s="649">
        <v>300</v>
      </c>
      <c r="D265" s="649">
        <v>200</v>
      </c>
      <c r="E265" s="640">
        <v>10</v>
      </c>
      <c r="F265" s="640"/>
      <c r="G265" s="203" t="s">
        <v>520</v>
      </c>
      <c r="H265" s="504">
        <v>0</v>
      </c>
      <c r="I265" s="504">
        <v>0</v>
      </c>
      <c r="J265" s="641" t="s">
        <v>521</v>
      </c>
      <c r="K265" s="663"/>
      <c r="L265" s="663"/>
      <c r="M265" s="663"/>
      <c r="N265" s="663"/>
      <c r="O265" s="663"/>
      <c r="P265" s="663"/>
      <c r="Q265" s="663"/>
      <c r="R265" s="663"/>
      <c r="S265" s="663"/>
      <c r="T265" s="663"/>
      <c r="U265" s="663"/>
      <c r="V265" s="663"/>
      <c r="W265" s="663"/>
      <c r="X265" s="663"/>
      <c r="Y265" s="663"/>
      <c r="Z265" s="663"/>
      <c r="AA265" s="663"/>
      <c r="AB265" s="663"/>
      <c r="AC265" s="663"/>
      <c r="AD265" s="663"/>
      <c r="AE265" s="663"/>
      <c r="AF265" s="663"/>
      <c r="AG265" s="663"/>
      <c r="AH265" s="663"/>
      <c r="AI265" s="663"/>
      <c r="AJ265" s="663"/>
      <c r="AK265" s="663"/>
      <c r="AL265" s="663"/>
      <c r="AM265" s="663"/>
      <c r="AN265" s="663"/>
      <c r="AO265" s="663"/>
      <c r="AP265" s="663"/>
      <c r="AQ265" s="663"/>
      <c r="AR265" s="663"/>
      <c r="AS265" s="663"/>
      <c r="AT265" s="663"/>
      <c r="AU265" s="663"/>
      <c r="AV265" s="663"/>
      <c r="AW265" s="663"/>
      <c r="AX265" s="663"/>
      <c r="AY265" s="663"/>
      <c r="AZ265" s="663"/>
      <c r="BA265" s="663"/>
      <c r="BB265" s="663"/>
      <c r="BC265" s="663"/>
      <c r="BD265" s="663"/>
      <c r="BE265" s="663"/>
      <c r="BF265" s="663"/>
      <c r="BG265" s="663"/>
      <c r="BH265" s="663"/>
      <c r="BI265" s="663"/>
      <c r="BJ265" s="663"/>
      <c r="BK265" s="663"/>
      <c r="BL265" s="663"/>
      <c r="BM265" s="663"/>
      <c r="BN265" s="663"/>
      <c r="BO265" s="663"/>
      <c r="BP265" s="663"/>
      <c r="BQ265" s="663"/>
      <c r="BR265" s="663"/>
      <c r="BS265" s="663"/>
      <c r="BT265" s="663"/>
      <c r="BU265" s="663"/>
      <c r="BV265" s="663"/>
      <c r="BW265" s="663"/>
      <c r="BX265" s="663"/>
      <c r="BY265" s="663"/>
      <c r="BZ265" s="663"/>
      <c r="CA265" s="663"/>
      <c r="CB265" s="663"/>
      <c r="CC265" s="663"/>
      <c r="CD265" s="663"/>
      <c r="CE265" s="663"/>
      <c r="CF265" s="663"/>
      <c r="CG265" s="663"/>
      <c r="CH265" s="663"/>
      <c r="CI265" s="663"/>
      <c r="CJ265" s="663"/>
      <c r="CK265" s="663"/>
      <c r="CL265" s="663"/>
      <c r="CM265" s="663"/>
      <c r="CN265" s="663"/>
      <c r="CO265" s="663"/>
      <c r="CP265" s="663"/>
      <c r="CQ265" s="663"/>
      <c r="CR265" s="663"/>
      <c r="CS265" s="663"/>
      <c r="CT265" s="663"/>
      <c r="CU265" s="663"/>
      <c r="CV265" s="663"/>
      <c r="CW265" s="663"/>
      <c r="CX265" s="663"/>
      <c r="CY265" s="663"/>
      <c r="CZ265" s="663"/>
      <c r="DA265" s="663"/>
      <c r="DB265" s="663"/>
      <c r="DC265" s="663"/>
      <c r="DD265" s="663"/>
      <c r="DE265" s="663"/>
      <c r="DF265" s="663"/>
      <c r="DG265" s="663"/>
      <c r="DH265" s="663"/>
      <c r="DI265" s="663"/>
      <c r="DJ265" s="663"/>
      <c r="DK265" s="663"/>
      <c r="DL265" s="663"/>
      <c r="DM265" s="663"/>
      <c r="DN265" s="663"/>
      <c r="DO265" s="663"/>
      <c r="DP265" s="663"/>
      <c r="DQ265" s="663"/>
      <c r="DR265" s="663"/>
      <c r="DS265" s="663"/>
      <c r="DT265" s="663"/>
      <c r="DU265" s="663"/>
      <c r="DV265" s="663"/>
      <c r="DW265" s="663"/>
      <c r="DX265" s="663"/>
      <c r="DY265" s="663"/>
      <c r="DZ265" s="663"/>
      <c r="EA265" s="663"/>
      <c r="EB265" s="663"/>
      <c r="EC265" s="663"/>
      <c r="ED265" s="663"/>
      <c r="EE265" s="663"/>
      <c r="EF265" s="663"/>
      <c r="EG265" s="663"/>
      <c r="EH265" s="663"/>
      <c r="EI265" s="663"/>
      <c r="EJ265" s="663"/>
      <c r="EK265" s="663"/>
      <c r="EL265" s="663"/>
      <c r="EM265" s="663"/>
      <c r="EN265" s="663"/>
      <c r="EO265" s="663"/>
      <c r="EP265" s="663"/>
      <c r="EQ265" s="663"/>
      <c r="ER265" s="663"/>
      <c r="ES265" s="663"/>
      <c r="ET265" s="663"/>
      <c r="EU265" s="663"/>
      <c r="EV265" s="663"/>
      <c r="EW265" s="663"/>
      <c r="EX265" s="663"/>
      <c r="EY265" s="663"/>
      <c r="EZ265" s="663"/>
      <c r="FA265" s="663"/>
      <c r="FB265" s="663"/>
      <c r="FC265" s="663"/>
      <c r="FD265" s="663"/>
      <c r="FE265" s="663"/>
      <c r="FF265" s="663"/>
      <c r="FG265" s="663"/>
      <c r="FH265" s="663"/>
      <c r="FI265" s="663"/>
      <c r="FJ265" s="663"/>
      <c r="FK265" s="663"/>
      <c r="FL265" s="663"/>
      <c r="FM265" s="663"/>
      <c r="FN265" s="663"/>
      <c r="FO265" s="663"/>
      <c r="FP265" s="663"/>
      <c r="FQ265" s="663"/>
      <c r="FR265" s="663"/>
      <c r="FS265" s="663"/>
      <c r="FT265" s="663"/>
      <c r="FU265" s="663"/>
      <c r="FV265" s="663"/>
      <c r="FW265" s="663"/>
      <c r="FX265" s="663"/>
      <c r="FY265" s="663"/>
      <c r="FZ265" s="663"/>
      <c r="GA265" s="663"/>
      <c r="GB265" s="663"/>
      <c r="GC265" s="663"/>
      <c r="GD265" s="663"/>
      <c r="GE265" s="663"/>
      <c r="GF265" s="663"/>
      <c r="GG265" s="663"/>
    </row>
    <row r="266" spans="1:189">
      <c r="A266" s="655">
        <v>720</v>
      </c>
      <c r="B266" s="649">
        <v>200</v>
      </c>
      <c r="C266" s="649">
        <v>300</v>
      </c>
      <c r="D266" s="649">
        <v>200</v>
      </c>
      <c r="E266" s="640">
        <v>20</v>
      </c>
      <c r="F266" s="640"/>
      <c r="G266" s="203" t="s">
        <v>522</v>
      </c>
      <c r="H266" s="504">
        <v>290247.08</v>
      </c>
      <c r="I266" s="504">
        <v>0</v>
      </c>
      <c r="J266" s="641" t="s">
        <v>523</v>
      </c>
      <c r="K266" s="663"/>
      <c r="L266" s="663"/>
      <c r="M266" s="663"/>
      <c r="N266" s="663"/>
      <c r="O266" s="663"/>
      <c r="P266" s="663"/>
      <c r="Q266" s="663"/>
      <c r="R266" s="663"/>
      <c r="S266" s="663"/>
      <c r="T266" s="663"/>
      <c r="U266" s="663"/>
      <c r="V266" s="663"/>
      <c r="W266" s="663"/>
      <c r="X266" s="663"/>
      <c r="Y266" s="663"/>
      <c r="Z266" s="663"/>
      <c r="AA266" s="663"/>
      <c r="AB266" s="663"/>
      <c r="AC266" s="663"/>
      <c r="AD266" s="663"/>
      <c r="AE266" s="663"/>
      <c r="AF266" s="663"/>
      <c r="AG266" s="663"/>
      <c r="AH266" s="663"/>
      <c r="AI266" s="663"/>
      <c r="AJ266" s="663"/>
      <c r="AK266" s="663"/>
      <c r="AL266" s="663"/>
      <c r="AM266" s="663"/>
      <c r="AN266" s="663"/>
      <c r="AO266" s="663"/>
      <c r="AP266" s="663"/>
      <c r="AQ266" s="663"/>
      <c r="AR266" s="663"/>
      <c r="AS266" s="663"/>
      <c r="AT266" s="663"/>
      <c r="AU266" s="663"/>
      <c r="AV266" s="663"/>
      <c r="AW266" s="663"/>
      <c r="AX266" s="663"/>
      <c r="AY266" s="663"/>
      <c r="AZ266" s="663"/>
      <c r="BA266" s="663"/>
      <c r="BB266" s="663"/>
      <c r="BC266" s="663"/>
      <c r="BD266" s="663"/>
      <c r="BE266" s="663"/>
      <c r="BF266" s="663"/>
      <c r="BG266" s="663"/>
      <c r="BH266" s="663"/>
      <c r="BI266" s="663"/>
      <c r="BJ266" s="663"/>
      <c r="BK266" s="663"/>
      <c r="BL266" s="663"/>
      <c r="BM266" s="663"/>
      <c r="BN266" s="663"/>
      <c r="BO266" s="663"/>
      <c r="BP266" s="663"/>
      <c r="BQ266" s="663"/>
      <c r="BR266" s="663"/>
      <c r="BS266" s="663"/>
      <c r="BT266" s="663"/>
      <c r="BU266" s="663"/>
      <c r="BV266" s="663"/>
      <c r="BW266" s="663"/>
      <c r="BX266" s="663"/>
      <c r="BY266" s="663"/>
      <c r="BZ266" s="663"/>
      <c r="CA266" s="663"/>
      <c r="CB266" s="663"/>
      <c r="CC266" s="663"/>
      <c r="CD266" s="663"/>
      <c r="CE266" s="663"/>
      <c r="CF266" s="663"/>
      <c r="CG266" s="663"/>
      <c r="CH266" s="663"/>
      <c r="CI266" s="663"/>
      <c r="CJ266" s="663"/>
      <c r="CK266" s="663"/>
      <c r="CL266" s="663"/>
      <c r="CM266" s="663"/>
      <c r="CN266" s="663"/>
      <c r="CO266" s="663"/>
      <c r="CP266" s="663"/>
      <c r="CQ266" s="663"/>
      <c r="CR266" s="663"/>
      <c r="CS266" s="663"/>
      <c r="CT266" s="663"/>
      <c r="CU266" s="663"/>
      <c r="CV266" s="663"/>
      <c r="CW266" s="663"/>
      <c r="CX266" s="663"/>
      <c r="CY266" s="663"/>
      <c r="CZ266" s="663"/>
      <c r="DA266" s="663"/>
      <c r="DB266" s="663"/>
      <c r="DC266" s="663"/>
      <c r="DD266" s="663"/>
      <c r="DE266" s="663"/>
      <c r="DF266" s="663"/>
      <c r="DG266" s="663"/>
      <c r="DH266" s="663"/>
      <c r="DI266" s="663"/>
      <c r="DJ266" s="663"/>
      <c r="DK266" s="663"/>
      <c r="DL266" s="663"/>
      <c r="DM266" s="663"/>
      <c r="DN266" s="663"/>
      <c r="DO266" s="663"/>
      <c r="DP266" s="663"/>
      <c r="DQ266" s="663"/>
      <c r="DR266" s="663"/>
      <c r="DS266" s="663"/>
      <c r="DT266" s="663"/>
      <c r="DU266" s="663"/>
      <c r="DV266" s="663"/>
      <c r="DW266" s="663"/>
      <c r="DX266" s="663"/>
      <c r="DY266" s="663"/>
      <c r="DZ266" s="663"/>
      <c r="EA266" s="663"/>
      <c r="EB266" s="663"/>
      <c r="EC266" s="663"/>
      <c r="ED266" s="663"/>
      <c r="EE266" s="663"/>
      <c r="EF266" s="663"/>
      <c r="EG266" s="663"/>
      <c r="EH266" s="663"/>
      <c r="EI266" s="663"/>
      <c r="EJ266" s="663"/>
      <c r="EK266" s="663"/>
      <c r="EL266" s="663"/>
      <c r="EM266" s="663"/>
      <c r="EN266" s="663"/>
      <c r="EO266" s="663"/>
      <c r="EP266" s="663"/>
      <c r="EQ266" s="663"/>
      <c r="ER266" s="663"/>
      <c r="ES266" s="663"/>
      <c r="ET266" s="663"/>
      <c r="EU266" s="663"/>
      <c r="EV266" s="663"/>
      <c r="EW266" s="663"/>
      <c r="EX266" s="663"/>
      <c r="EY266" s="663"/>
      <c r="EZ266" s="663"/>
      <c r="FA266" s="663"/>
      <c r="FB266" s="663"/>
      <c r="FC266" s="663"/>
      <c r="FD266" s="663"/>
      <c r="FE266" s="663"/>
      <c r="FF266" s="663"/>
      <c r="FG266" s="663"/>
      <c r="FH266" s="663"/>
      <c r="FI266" s="663"/>
      <c r="FJ266" s="663"/>
      <c r="FK266" s="663"/>
      <c r="FL266" s="663"/>
      <c r="FM266" s="663"/>
      <c r="FN266" s="663"/>
      <c r="FO266" s="663"/>
      <c r="FP266" s="663"/>
      <c r="FQ266" s="663"/>
      <c r="FR266" s="663"/>
      <c r="FS266" s="663"/>
      <c r="FT266" s="663"/>
      <c r="FU266" s="663"/>
      <c r="FV266" s="663"/>
      <c r="FW266" s="663"/>
      <c r="FX266" s="663"/>
      <c r="FY266" s="663"/>
      <c r="FZ266" s="663"/>
      <c r="GA266" s="663"/>
      <c r="GB266" s="663"/>
      <c r="GC266" s="663"/>
      <c r="GD266" s="663"/>
      <c r="GE266" s="663"/>
      <c r="GF266" s="663"/>
      <c r="GG266" s="663"/>
    </row>
    <row r="267" spans="1:189" ht="27.6">
      <c r="A267" s="655">
        <v>720</v>
      </c>
      <c r="B267" s="649">
        <v>200</v>
      </c>
      <c r="C267" s="649">
        <v>300</v>
      </c>
      <c r="D267" s="649">
        <v>200</v>
      </c>
      <c r="E267" s="640">
        <v>30</v>
      </c>
      <c r="F267" s="640"/>
      <c r="G267" s="203" t="s">
        <v>524</v>
      </c>
      <c r="H267" s="504">
        <v>0</v>
      </c>
      <c r="I267" s="504">
        <v>0</v>
      </c>
      <c r="J267" s="641" t="s">
        <v>525</v>
      </c>
      <c r="K267" s="663"/>
      <c r="L267" s="663"/>
      <c r="M267" s="663"/>
      <c r="N267" s="663"/>
      <c r="O267" s="663"/>
      <c r="P267" s="663"/>
      <c r="Q267" s="663"/>
      <c r="R267" s="663"/>
      <c r="S267" s="663"/>
      <c r="T267" s="663"/>
      <c r="U267" s="663"/>
      <c r="V267" s="663"/>
      <c r="W267" s="663"/>
      <c r="X267" s="663"/>
      <c r="Y267" s="663"/>
      <c r="Z267" s="663"/>
      <c r="AA267" s="663"/>
      <c r="AB267" s="663"/>
      <c r="AC267" s="663"/>
      <c r="AD267" s="663"/>
      <c r="AE267" s="663"/>
      <c r="AF267" s="663"/>
      <c r="AG267" s="663"/>
      <c r="AH267" s="663"/>
      <c r="AI267" s="663"/>
      <c r="AJ267" s="663"/>
      <c r="AK267" s="663"/>
      <c r="AL267" s="663"/>
      <c r="AM267" s="663"/>
      <c r="AN267" s="663"/>
      <c r="AO267" s="663"/>
      <c r="AP267" s="663"/>
      <c r="AQ267" s="663"/>
      <c r="AR267" s="663"/>
      <c r="AS267" s="663"/>
      <c r="AT267" s="663"/>
      <c r="AU267" s="663"/>
      <c r="AV267" s="663"/>
      <c r="AW267" s="663"/>
      <c r="AX267" s="663"/>
      <c r="AY267" s="663"/>
      <c r="AZ267" s="663"/>
      <c r="BA267" s="663"/>
      <c r="BB267" s="663"/>
      <c r="BC267" s="663"/>
      <c r="BD267" s="663"/>
      <c r="BE267" s="663"/>
      <c r="BF267" s="663"/>
      <c r="BG267" s="663"/>
      <c r="BH267" s="663"/>
      <c r="BI267" s="663"/>
      <c r="BJ267" s="663"/>
      <c r="BK267" s="663"/>
      <c r="BL267" s="663"/>
      <c r="BM267" s="663"/>
      <c r="BN267" s="663"/>
      <c r="BO267" s="663"/>
      <c r="BP267" s="663"/>
      <c r="BQ267" s="663"/>
      <c r="BR267" s="663"/>
      <c r="BS267" s="663"/>
      <c r="BT267" s="663"/>
      <c r="BU267" s="663"/>
      <c r="BV267" s="663"/>
      <c r="BW267" s="663"/>
      <c r="BX267" s="663"/>
      <c r="BY267" s="663"/>
      <c r="BZ267" s="663"/>
      <c r="CA267" s="663"/>
      <c r="CB267" s="663"/>
      <c r="CC267" s="663"/>
      <c r="CD267" s="663"/>
      <c r="CE267" s="663"/>
      <c r="CF267" s="663"/>
      <c r="CG267" s="663"/>
      <c r="CH267" s="663"/>
      <c r="CI267" s="663"/>
      <c r="CJ267" s="663"/>
      <c r="CK267" s="663"/>
      <c r="CL267" s="663"/>
      <c r="CM267" s="663"/>
      <c r="CN267" s="663"/>
      <c r="CO267" s="663"/>
      <c r="CP267" s="663"/>
      <c r="CQ267" s="663"/>
      <c r="CR267" s="663"/>
      <c r="CS267" s="663"/>
      <c r="CT267" s="663"/>
      <c r="CU267" s="663"/>
      <c r="CV267" s="663"/>
      <c r="CW267" s="663"/>
      <c r="CX267" s="663"/>
      <c r="CY267" s="663"/>
      <c r="CZ267" s="663"/>
      <c r="DA267" s="663"/>
      <c r="DB267" s="663"/>
      <c r="DC267" s="663"/>
      <c r="DD267" s="663"/>
      <c r="DE267" s="663"/>
      <c r="DF267" s="663"/>
      <c r="DG267" s="663"/>
      <c r="DH267" s="663"/>
      <c r="DI267" s="663"/>
      <c r="DJ267" s="663"/>
      <c r="DK267" s="663"/>
      <c r="DL267" s="663"/>
      <c r="DM267" s="663"/>
      <c r="DN267" s="663"/>
      <c r="DO267" s="663"/>
      <c r="DP267" s="663"/>
      <c r="DQ267" s="663"/>
      <c r="DR267" s="663"/>
      <c r="DS267" s="663"/>
      <c r="DT267" s="663"/>
      <c r="DU267" s="663"/>
      <c r="DV267" s="663"/>
      <c r="DW267" s="663"/>
      <c r="DX267" s="663"/>
      <c r="DY267" s="663"/>
      <c r="DZ267" s="663"/>
      <c r="EA267" s="663"/>
      <c r="EB267" s="663"/>
      <c r="EC267" s="663"/>
      <c r="ED267" s="663"/>
      <c r="EE267" s="663"/>
      <c r="EF267" s="663"/>
      <c r="EG267" s="663"/>
      <c r="EH267" s="663"/>
      <c r="EI267" s="663"/>
      <c r="EJ267" s="663"/>
      <c r="EK267" s="663"/>
      <c r="EL267" s="663"/>
      <c r="EM267" s="663"/>
      <c r="EN267" s="663"/>
      <c r="EO267" s="663"/>
      <c r="EP267" s="663"/>
      <c r="EQ267" s="663"/>
      <c r="ER267" s="663"/>
      <c r="ES267" s="663"/>
      <c r="ET267" s="663"/>
      <c r="EU267" s="663"/>
      <c r="EV267" s="663"/>
      <c r="EW267" s="663"/>
      <c r="EX267" s="663"/>
      <c r="EY267" s="663"/>
      <c r="EZ267" s="663"/>
      <c r="FA267" s="663"/>
      <c r="FB267" s="663"/>
      <c r="FC267" s="663"/>
      <c r="FD267" s="663"/>
      <c r="FE267" s="663"/>
      <c r="FF267" s="663"/>
      <c r="FG267" s="663"/>
      <c r="FH267" s="663"/>
      <c r="FI267" s="663"/>
      <c r="FJ267" s="663"/>
      <c r="FK267" s="663"/>
      <c r="FL267" s="663"/>
      <c r="FM267" s="663"/>
      <c r="FN267" s="663"/>
      <c r="FO267" s="663"/>
      <c r="FP267" s="663"/>
      <c r="FQ267" s="663"/>
      <c r="FR267" s="663"/>
      <c r="FS267" s="663"/>
      <c r="FT267" s="663"/>
      <c r="FU267" s="663"/>
      <c r="FV267" s="663"/>
      <c r="FW267" s="663"/>
      <c r="FX267" s="663"/>
      <c r="FY267" s="663"/>
      <c r="FZ267" s="663"/>
      <c r="GA267" s="663"/>
      <c r="GB267" s="663"/>
      <c r="GC267" s="663"/>
      <c r="GD267" s="663"/>
      <c r="GE267" s="663"/>
      <c r="GF267" s="663"/>
      <c r="GG267" s="663"/>
    </row>
    <row r="268" spans="1:189" ht="27.6">
      <c r="A268" s="655">
        <v>720</v>
      </c>
      <c r="B268" s="649">
        <v>200</v>
      </c>
      <c r="C268" s="649">
        <v>300</v>
      </c>
      <c r="D268" s="649">
        <v>200</v>
      </c>
      <c r="E268" s="640">
        <v>40</v>
      </c>
      <c r="F268" s="640"/>
      <c r="G268" s="203" t="s">
        <v>526</v>
      </c>
      <c r="H268" s="504">
        <v>0</v>
      </c>
      <c r="I268" s="504">
        <v>0</v>
      </c>
      <c r="J268" s="641" t="s">
        <v>527</v>
      </c>
      <c r="K268" s="663"/>
      <c r="L268" s="663"/>
      <c r="M268" s="663"/>
      <c r="N268" s="663"/>
      <c r="O268" s="663"/>
      <c r="P268" s="663"/>
      <c r="Q268" s="663"/>
      <c r="R268" s="663"/>
      <c r="S268" s="663"/>
      <c r="T268" s="663"/>
      <c r="U268" s="663"/>
      <c r="V268" s="663"/>
      <c r="W268" s="663"/>
      <c r="X268" s="663"/>
      <c r="Y268" s="663"/>
      <c r="Z268" s="663"/>
      <c r="AA268" s="663"/>
      <c r="AB268" s="663"/>
      <c r="AC268" s="663"/>
      <c r="AD268" s="663"/>
      <c r="AE268" s="663"/>
      <c r="AF268" s="663"/>
      <c r="AG268" s="663"/>
      <c r="AH268" s="663"/>
      <c r="AI268" s="663"/>
      <c r="AJ268" s="663"/>
      <c r="AK268" s="663"/>
      <c r="AL268" s="663"/>
      <c r="AM268" s="663"/>
      <c r="AN268" s="663"/>
      <c r="AO268" s="663"/>
      <c r="AP268" s="663"/>
      <c r="AQ268" s="663"/>
      <c r="AR268" s="663"/>
      <c r="AS268" s="663"/>
      <c r="AT268" s="663"/>
      <c r="AU268" s="663"/>
      <c r="AV268" s="663"/>
      <c r="AW268" s="663"/>
      <c r="AX268" s="663"/>
      <c r="AY268" s="663"/>
      <c r="AZ268" s="663"/>
      <c r="BA268" s="663"/>
      <c r="BB268" s="663"/>
      <c r="BC268" s="663"/>
      <c r="BD268" s="663"/>
      <c r="BE268" s="663"/>
      <c r="BF268" s="663"/>
      <c r="BG268" s="663"/>
      <c r="BH268" s="663"/>
      <c r="BI268" s="663"/>
      <c r="BJ268" s="663"/>
      <c r="BK268" s="663"/>
      <c r="BL268" s="663"/>
      <c r="BM268" s="663"/>
      <c r="BN268" s="663"/>
      <c r="BO268" s="663"/>
      <c r="BP268" s="663"/>
      <c r="BQ268" s="663"/>
      <c r="BR268" s="663"/>
      <c r="BS268" s="663"/>
      <c r="BT268" s="663"/>
      <c r="BU268" s="663"/>
      <c r="BV268" s="663"/>
      <c r="BW268" s="663"/>
      <c r="BX268" s="663"/>
      <c r="BY268" s="663"/>
      <c r="BZ268" s="663"/>
      <c r="CA268" s="663"/>
      <c r="CB268" s="663"/>
      <c r="CC268" s="663"/>
      <c r="CD268" s="663"/>
      <c r="CE268" s="663"/>
      <c r="CF268" s="663"/>
      <c r="CG268" s="663"/>
      <c r="CH268" s="663"/>
      <c r="CI268" s="663"/>
      <c r="CJ268" s="663"/>
      <c r="CK268" s="663"/>
      <c r="CL268" s="663"/>
      <c r="CM268" s="663"/>
      <c r="CN268" s="663"/>
      <c r="CO268" s="663"/>
      <c r="CP268" s="663"/>
      <c r="CQ268" s="663"/>
      <c r="CR268" s="663"/>
      <c r="CS268" s="663"/>
      <c r="CT268" s="663"/>
      <c r="CU268" s="663"/>
      <c r="CV268" s="663"/>
      <c r="CW268" s="663"/>
      <c r="CX268" s="663"/>
      <c r="CY268" s="663"/>
      <c r="CZ268" s="663"/>
      <c r="DA268" s="663"/>
      <c r="DB268" s="663"/>
      <c r="DC268" s="663"/>
      <c r="DD268" s="663"/>
      <c r="DE268" s="663"/>
      <c r="DF268" s="663"/>
      <c r="DG268" s="663"/>
      <c r="DH268" s="663"/>
      <c r="DI268" s="663"/>
      <c r="DJ268" s="663"/>
      <c r="DK268" s="663"/>
      <c r="DL268" s="663"/>
      <c r="DM268" s="663"/>
      <c r="DN268" s="663"/>
      <c r="DO268" s="663"/>
      <c r="DP268" s="663"/>
      <c r="DQ268" s="663"/>
      <c r="DR268" s="663"/>
      <c r="DS268" s="663"/>
      <c r="DT268" s="663"/>
      <c r="DU268" s="663"/>
      <c r="DV268" s="663"/>
      <c r="DW268" s="663"/>
      <c r="DX268" s="663"/>
      <c r="DY268" s="663"/>
      <c r="DZ268" s="663"/>
      <c r="EA268" s="663"/>
      <c r="EB268" s="663"/>
      <c r="EC268" s="663"/>
      <c r="ED268" s="663"/>
      <c r="EE268" s="663"/>
      <c r="EF268" s="663"/>
      <c r="EG268" s="663"/>
      <c r="EH268" s="663"/>
      <c r="EI268" s="663"/>
      <c r="EJ268" s="663"/>
      <c r="EK268" s="663"/>
      <c r="EL268" s="663"/>
      <c r="EM268" s="663"/>
      <c r="EN268" s="663"/>
      <c r="EO268" s="663"/>
      <c r="EP268" s="663"/>
      <c r="EQ268" s="663"/>
      <c r="ER268" s="663"/>
      <c r="ES268" s="663"/>
      <c r="ET268" s="663"/>
      <c r="EU268" s="663"/>
      <c r="EV268" s="663"/>
      <c r="EW268" s="663"/>
      <c r="EX268" s="663"/>
      <c r="EY268" s="663"/>
      <c r="EZ268" s="663"/>
      <c r="FA268" s="663"/>
      <c r="FB268" s="663"/>
      <c r="FC268" s="663"/>
      <c r="FD268" s="663"/>
      <c r="FE268" s="663"/>
      <c r="FF268" s="663"/>
      <c r="FG268" s="663"/>
      <c r="FH268" s="663"/>
      <c r="FI268" s="663"/>
      <c r="FJ268" s="663"/>
      <c r="FK268" s="663"/>
      <c r="FL268" s="663"/>
      <c r="FM268" s="663"/>
      <c r="FN268" s="663"/>
      <c r="FO268" s="663"/>
      <c r="FP268" s="663"/>
      <c r="FQ268" s="663"/>
      <c r="FR268" s="663"/>
      <c r="FS268" s="663"/>
      <c r="FT268" s="663"/>
      <c r="FU268" s="663"/>
      <c r="FV268" s="663"/>
      <c r="FW268" s="663"/>
      <c r="FX268" s="663"/>
      <c r="FY268" s="663"/>
      <c r="FZ268" s="663"/>
      <c r="GA268" s="663"/>
      <c r="GB268" s="663"/>
      <c r="GC268" s="663"/>
      <c r="GD268" s="663"/>
      <c r="GE268" s="663"/>
      <c r="GF268" s="663"/>
      <c r="GG268" s="663"/>
    </row>
    <row r="269" spans="1:189" ht="27.6">
      <c r="A269" s="655">
        <v>720</v>
      </c>
      <c r="B269" s="649">
        <v>200</v>
      </c>
      <c r="C269" s="649">
        <v>300</v>
      </c>
      <c r="D269" s="649">
        <v>200</v>
      </c>
      <c r="E269" s="640">
        <v>50</v>
      </c>
      <c r="F269" s="640"/>
      <c r="G269" s="203" t="s">
        <v>528</v>
      </c>
      <c r="H269" s="504">
        <v>0</v>
      </c>
      <c r="I269" s="504">
        <v>0</v>
      </c>
      <c r="J269" s="641" t="s">
        <v>529</v>
      </c>
      <c r="K269" s="663"/>
      <c r="L269" s="663"/>
      <c r="M269" s="663"/>
      <c r="N269" s="663"/>
      <c r="O269" s="663"/>
      <c r="P269" s="663"/>
      <c r="Q269" s="663"/>
      <c r="R269" s="663"/>
      <c r="S269" s="663"/>
      <c r="T269" s="663"/>
      <c r="U269" s="663"/>
      <c r="V269" s="663"/>
      <c r="W269" s="663"/>
      <c r="X269" s="663"/>
      <c r="Y269" s="663"/>
      <c r="Z269" s="663"/>
      <c r="AA269" s="663"/>
      <c r="AB269" s="663"/>
      <c r="AC269" s="663"/>
      <c r="AD269" s="663"/>
      <c r="AE269" s="663"/>
      <c r="AF269" s="663"/>
      <c r="AG269" s="663"/>
      <c r="AH269" s="663"/>
      <c r="AI269" s="663"/>
      <c r="AJ269" s="663"/>
      <c r="AK269" s="663"/>
      <c r="AL269" s="663"/>
      <c r="AM269" s="663"/>
      <c r="AN269" s="663"/>
      <c r="AO269" s="663"/>
      <c r="AP269" s="663"/>
      <c r="AQ269" s="663"/>
      <c r="AR269" s="663"/>
      <c r="AS269" s="663"/>
      <c r="AT269" s="663"/>
      <c r="AU269" s="663"/>
      <c r="AV269" s="663"/>
      <c r="AW269" s="663"/>
      <c r="AX269" s="663"/>
      <c r="AY269" s="663"/>
      <c r="AZ269" s="663"/>
      <c r="BA269" s="663"/>
      <c r="BB269" s="663"/>
      <c r="BC269" s="663"/>
      <c r="BD269" s="663"/>
      <c r="BE269" s="663"/>
      <c r="BF269" s="663"/>
      <c r="BG269" s="663"/>
      <c r="BH269" s="663"/>
      <c r="BI269" s="663"/>
      <c r="BJ269" s="663"/>
      <c r="BK269" s="663"/>
      <c r="BL269" s="663"/>
      <c r="BM269" s="663"/>
      <c r="BN269" s="663"/>
      <c r="BO269" s="663"/>
      <c r="BP269" s="663"/>
      <c r="BQ269" s="663"/>
      <c r="BR269" s="663"/>
      <c r="BS269" s="663"/>
      <c r="BT269" s="663"/>
      <c r="BU269" s="663"/>
      <c r="BV269" s="663"/>
      <c r="BW269" s="663"/>
      <c r="BX269" s="663"/>
      <c r="BY269" s="663"/>
      <c r="BZ269" s="663"/>
      <c r="CA269" s="663"/>
      <c r="CB269" s="663"/>
      <c r="CC269" s="663"/>
      <c r="CD269" s="663"/>
      <c r="CE269" s="663"/>
      <c r="CF269" s="663"/>
      <c r="CG269" s="663"/>
      <c r="CH269" s="663"/>
      <c r="CI269" s="663"/>
      <c r="CJ269" s="663"/>
      <c r="CK269" s="663"/>
      <c r="CL269" s="663"/>
      <c r="CM269" s="663"/>
      <c r="CN269" s="663"/>
      <c r="CO269" s="663"/>
      <c r="CP269" s="663"/>
      <c r="CQ269" s="663"/>
      <c r="CR269" s="663"/>
      <c r="CS269" s="663"/>
      <c r="CT269" s="663"/>
      <c r="CU269" s="663"/>
      <c r="CV269" s="663"/>
      <c r="CW269" s="663"/>
      <c r="CX269" s="663"/>
      <c r="CY269" s="663"/>
      <c r="CZ269" s="663"/>
      <c r="DA269" s="663"/>
      <c r="DB269" s="663"/>
      <c r="DC269" s="663"/>
      <c r="DD269" s="663"/>
      <c r="DE269" s="663"/>
      <c r="DF269" s="663"/>
      <c r="DG269" s="663"/>
      <c r="DH269" s="663"/>
      <c r="DI269" s="663"/>
      <c r="DJ269" s="663"/>
      <c r="DK269" s="663"/>
      <c r="DL269" s="663"/>
      <c r="DM269" s="663"/>
      <c r="DN269" s="663"/>
      <c r="DO269" s="663"/>
      <c r="DP269" s="663"/>
      <c r="DQ269" s="663"/>
      <c r="DR269" s="663"/>
      <c r="DS269" s="663"/>
      <c r="DT269" s="663"/>
      <c r="DU269" s="663"/>
      <c r="DV269" s="663"/>
      <c r="DW269" s="663"/>
      <c r="DX269" s="663"/>
      <c r="DY269" s="663"/>
      <c r="DZ269" s="663"/>
      <c r="EA269" s="663"/>
      <c r="EB269" s="663"/>
      <c r="EC269" s="663"/>
      <c r="ED269" s="663"/>
      <c r="EE269" s="663"/>
      <c r="EF269" s="663"/>
      <c r="EG269" s="663"/>
      <c r="EH269" s="663"/>
      <c r="EI269" s="663"/>
      <c r="EJ269" s="663"/>
      <c r="EK269" s="663"/>
      <c r="EL269" s="663"/>
      <c r="EM269" s="663"/>
      <c r="EN269" s="663"/>
      <c r="EO269" s="663"/>
      <c r="EP269" s="663"/>
      <c r="EQ269" s="663"/>
      <c r="ER269" s="663"/>
      <c r="ES269" s="663"/>
      <c r="ET269" s="663"/>
      <c r="EU269" s="663"/>
      <c r="EV269" s="663"/>
      <c r="EW269" s="663"/>
      <c r="EX269" s="663"/>
      <c r="EY269" s="663"/>
      <c r="EZ269" s="663"/>
      <c r="FA269" s="663"/>
      <c r="FB269" s="663"/>
      <c r="FC269" s="663"/>
      <c r="FD269" s="663"/>
      <c r="FE269" s="663"/>
      <c r="FF269" s="663"/>
      <c r="FG269" s="663"/>
      <c r="FH269" s="663"/>
      <c r="FI269" s="663"/>
      <c r="FJ269" s="663"/>
      <c r="FK269" s="663"/>
      <c r="FL269" s="663"/>
      <c r="FM269" s="663"/>
      <c r="FN269" s="663"/>
      <c r="FO269" s="663"/>
      <c r="FP269" s="663"/>
      <c r="FQ269" s="663"/>
      <c r="FR269" s="663"/>
      <c r="FS269" s="663"/>
      <c r="FT269" s="663"/>
      <c r="FU269" s="663"/>
      <c r="FV269" s="663"/>
      <c r="FW269" s="663"/>
      <c r="FX269" s="663"/>
      <c r="FY269" s="663"/>
      <c r="FZ269" s="663"/>
      <c r="GA269" s="663"/>
      <c r="GB269" s="663"/>
      <c r="GC269" s="663"/>
      <c r="GD269" s="663"/>
      <c r="GE269" s="663"/>
      <c r="GF269" s="663"/>
      <c r="GG269" s="663"/>
    </row>
    <row r="270" spans="1:189" ht="27.6">
      <c r="A270" s="655">
        <v>720</v>
      </c>
      <c r="B270" s="649">
        <v>200</v>
      </c>
      <c r="C270" s="649">
        <v>300</v>
      </c>
      <c r="D270" s="649">
        <v>200</v>
      </c>
      <c r="E270" s="640">
        <v>60</v>
      </c>
      <c r="F270" s="640"/>
      <c r="G270" s="203" t="s">
        <v>530</v>
      </c>
      <c r="H270" s="504">
        <v>0</v>
      </c>
      <c r="I270" s="504">
        <v>0</v>
      </c>
      <c r="J270" s="641" t="s">
        <v>531</v>
      </c>
      <c r="K270" s="663"/>
      <c r="L270" s="663"/>
      <c r="M270" s="663"/>
      <c r="N270" s="663"/>
      <c r="O270" s="663"/>
      <c r="P270" s="663"/>
      <c r="Q270" s="663"/>
      <c r="R270" s="663"/>
      <c r="S270" s="663"/>
      <c r="T270" s="663"/>
      <c r="U270" s="663"/>
      <c r="V270" s="663"/>
      <c r="W270" s="663"/>
      <c r="X270" s="663"/>
      <c r="Y270" s="663"/>
      <c r="Z270" s="663"/>
      <c r="AA270" s="663"/>
      <c r="AB270" s="663"/>
      <c r="AC270" s="663"/>
      <c r="AD270" s="663"/>
      <c r="AE270" s="663"/>
      <c r="AF270" s="663"/>
      <c r="AG270" s="663"/>
      <c r="AH270" s="663"/>
      <c r="AI270" s="663"/>
      <c r="AJ270" s="663"/>
      <c r="AK270" s="663"/>
      <c r="AL270" s="663"/>
      <c r="AM270" s="663"/>
      <c r="AN270" s="663"/>
      <c r="AO270" s="663"/>
      <c r="AP270" s="663"/>
      <c r="AQ270" s="663"/>
      <c r="AR270" s="663"/>
      <c r="AS270" s="663"/>
      <c r="AT270" s="663"/>
      <c r="AU270" s="663"/>
      <c r="AV270" s="663"/>
      <c r="AW270" s="663"/>
      <c r="AX270" s="663"/>
      <c r="AY270" s="663"/>
      <c r="AZ270" s="663"/>
      <c r="BA270" s="663"/>
      <c r="BB270" s="663"/>
      <c r="BC270" s="663"/>
      <c r="BD270" s="663"/>
      <c r="BE270" s="663"/>
      <c r="BF270" s="663"/>
      <c r="BG270" s="663"/>
      <c r="BH270" s="663"/>
      <c r="BI270" s="663"/>
      <c r="BJ270" s="663"/>
      <c r="BK270" s="663"/>
      <c r="BL270" s="663"/>
      <c r="BM270" s="663"/>
      <c r="BN270" s="663"/>
      <c r="BO270" s="663"/>
      <c r="BP270" s="663"/>
      <c r="BQ270" s="663"/>
      <c r="BR270" s="663"/>
      <c r="BS270" s="663"/>
      <c r="BT270" s="663"/>
      <c r="BU270" s="663"/>
      <c r="BV270" s="663"/>
      <c r="BW270" s="663"/>
      <c r="BX270" s="663"/>
      <c r="BY270" s="663"/>
      <c r="BZ270" s="663"/>
      <c r="CA270" s="663"/>
      <c r="CB270" s="663"/>
      <c r="CC270" s="663"/>
      <c r="CD270" s="663"/>
      <c r="CE270" s="663"/>
      <c r="CF270" s="663"/>
      <c r="CG270" s="663"/>
      <c r="CH270" s="663"/>
      <c r="CI270" s="663"/>
      <c r="CJ270" s="663"/>
      <c r="CK270" s="663"/>
      <c r="CL270" s="663"/>
      <c r="CM270" s="663"/>
      <c r="CN270" s="663"/>
      <c r="CO270" s="663"/>
      <c r="CP270" s="663"/>
      <c r="CQ270" s="663"/>
      <c r="CR270" s="663"/>
      <c r="CS270" s="663"/>
      <c r="CT270" s="663"/>
      <c r="CU270" s="663"/>
      <c r="CV270" s="663"/>
      <c r="CW270" s="663"/>
      <c r="CX270" s="663"/>
      <c r="CY270" s="663"/>
      <c r="CZ270" s="663"/>
      <c r="DA270" s="663"/>
      <c r="DB270" s="663"/>
      <c r="DC270" s="663"/>
      <c r="DD270" s="663"/>
      <c r="DE270" s="663"/>
      <c r="DF270" s="663"/>
      <c r="DG270" s="663"/>
      <c r="DH270" s="663"/>
      <c r="DI270" s="663"/>
      <c r="DJ270" s="663"/>
      <c r="DK270" s="663"/>
      <c r="DL270" s="663"/>
      <c r="DM270" s="663"/>
      <c r="DN270" s="663"/>
      <c r="DO270" s="663"/>
      <c r="DP270" s="663"/>
      <c r="DQ270" s="663"/>
      <c r="DR270" s="663"/>
      <c r="DS270" s="663"/>
      <c r="DT270" s="663"/>
      <c r="DU270" s="663"/>
      <c r="DV270" s="663"/>
      <c r="DW270" s="663"/>
      <c r="DX270" s="663"/>
      <c r="DY270" s="663"/>
      <c r="DZ270" s="663"/>
      <c r="EA270" s="663"/>
      <c r="EB270" s="663"/>
      <c r="EC270" s="663"/>
      <c r="ED270" s="663"/>
      <c r="EE270" s="663"/>
      <c r="EF270" s="663"/>
      <c r="EG270" s="663"/>
      <c r="EH270" s="663"/>
      <c r="EI270" s="663"/>
      <c r="EJ270" s="663"/>
      <c r="EK270" s="663"/>
      <c r="EL270" s="663"/>
      <c r="EM270" s="663"/>
      <c r="EN270" s="663"/>
      <c r="EO270" s="663"/>
      <c r="EP270" s="663"/>
      <c r="EQ270" s="663"/>
      <c r="ER270" s="663"/>
      <c r="ES270" s="663"/>
      <c r="ET270" s="663"/>
      <c r="EU270" s="663"/>
      <c r="EV270" s="663"/>
      <c r="EW270" s="663"/>
      <c r="EX270" s="663"/>
      <c r="EY270" s="663"/>
      <c r="EZ270" s="663"/>
      <c r="FA270" s="663"/>
      <c r="FB270" s="663"/>
      <c r="FC270" s="663"/>
      <c r="FD270" s="663"/>
      <c r="FE270" s="663"/>
      <c r="FF270" s="663"/>
      <c r="FG270" s="663"/>
      <c r="FH270" s="663"/>
      <c r="FI270" s="663"/>
      <c r="FJ270" s="663"/>
      <c r="FK270" s="663"/>
      <c r="FL270" s="663"/>
      <c r="FM270" s="663"/>
      <c r="FN270" s="663"/>
      <c r="FO270" s="663"/>
      <c r="FP270" s="663"/>
      <c r="FQ270" s="663"/>
      <c r="FR270" s="663"/>
      <c r="FS270" s="663"/>
      <c r="FT270" s="663"/>
      <c r="FU270" s="663"/>
      <c r="FV270" s="663"/>
      <c r="FW270" s="663"/>
      <c r="FX270" s="663"/>
      <c r="FY270" s="663"/>
      <c r="FZ270" s="663"/>
      <c r="GA270" s="663"/>
      <c r="GB270" s="663"/>
      <c r="GC270" s="663"/>
      <c r="GD270" s="663"/>
      <c r="GE270" s="663"/>
      <c r="GF270" s="663"/>
      <c r="GG270" s="663"/>
    </row>
    <row r="271" spans="1:189">
      <c r="A271" s="655">
        <v>720</v>
      </c>
      <c r="B271" s="649">
        <v>200</v>
      </c>
      <c r="C271" s="649">
        <v>300</v>
      </c>
      <c r="D271" s="649">
        <v>200</v>
      </c>
      <c r="E271" s="640">
        <v>90</v>
      </c>
      <c r="F271" s="640"/>
      <c r="G271" s="203" t="s">
        <v>532</v>
      </c>
      <c r="H271" s="504">
        <v>152652.25</v>
      </c>
      <c r="I271" s="504">
        <v>61702</v>
      </c>
      <c r="J271" s="641" t="s">
        <v>533</v>
      </c>
      <c r="K271" s="663"/>
      <c r="L271" s="663"/>
      <c r="M271" s="663"/>
      <c r="N271" s="663"/>
      <c r="O271" s="663"/>
      <c r="P271" s="663"/>
      <c r="Q271" s="663"/>
      <c r="R271" s="663"/>
      <c r="S271" s="663"/>
      <c r="T271" s="663"/>
      <c r="U271" s="663"/>
      <c r="V271" s="663"/>
      <c r="W271" s="663"/>
      <c r="X271" s="663"/>
      <c r="Y271" s="663"/>
      <c r="Z271" s="663"/>
      <c r="AA271" s="663"/>
      <c r="AB271" s="663"/>
      <c r="AC271" s="663"/>
      <c r="AD271" s="663"/>
      <c r="AE271" s="663"/>
      <c r="AF271" s="663"/>
      <c r="AG271" s="663"/>
      <c r="AH271" s="663"/>
      <c r="AI271" s="663"/>
      <c r="AJ271" s="663"/>
      <c r="AK271" s="663"/>
      <c r="AL271" s="663"/>
      <c r="AM271" s="663"/>
      <c r="AN271" s="663"/>
      <c r="AO271" s="663"/>
      <c r="AP271" s="663"/>
      <c r="AQ271" s="663"/>
      <c r="AR271" s="663"/>
      <c r="AS271" s="663"/>
      <c r="AT271" s="663"/>
      <c r="AU271" s="663"/>
      <c r="AV271" s="663"/>
      <c r="AW271" s="663"/>
      <c r="AX271" s="663"/>
      <c r="AY271" s="663"/>
      <c r="AZ271" s="663"/>
      <c r="BA271" s="663"/>
      <c r="BB271" s="663"/>
      <c r="BC271" s="663"/>
      <c r="BD271" s="663"/>
      <c r="BE271" s="663"/>
      <c r="BF271" s="663"/>
      <c r="BG271" s="663"/>
      <c r="BH271" s="663"/>
      <c r="BI271" s="663"/>
      <c r="BJ271" s="663"/>
      <c r="BK271" s="663"/>
      <c r="BL271" s="663"/>
      <c r="BM271" s="663"/>
      <c r="BN271" s="663"/>
      <c r="BO271" s="663"/>
      <c r="BP271" s="663"/>
      <c r="BQ271" s="663"/>
      <c r="BR271" s="663"/>
      <c r="BS271" s="663"/>
      <c r="BT271" s="663"/>
      <c r="BU271" s="663"/>
      <c r="BV271" s="663"/>
      <c r="BW271" s="663"/>
      <c r="BX271" s="663"/>
      <c r="BY271" s="663"/>
      <c r="BZ271" s="663"/>
      <c r="CA271" s="663"/>
      <c r="CB271" s="663"/>
      <c r="CC271" s="663"/>
      <c r="CD271" s="663"/>
      <c r="CE271" s="663"/>
      <c r="CF271" s="663"/>
      <c r="CG271" s="663"/>
      <c r="CH271" s="663"/>
      <c r="CI271" s="663"/>
      <c r="CJ271" s="663"/>
      <c r="CK271" s="663"/>
      <c r="CL271" s="663"/>
      <c r="CM271" s="663"/>
      <c r="CN271" s="663"/>
      <c r="CO271" s="663"/>
      <c r="CP271" s="663"/>
      <c r="CQ271" s="663"/>
      <c r="CR271" s="663"/>
      <c r="CS271" s="663"/>
      <c r="CT271" s="663"/>
      <c r="CU271" s="663"/>
      <c r="CV271" s="663"/>
      <c r="CW271" s="663"/>
      <c r="CX271" s="663"/>
      <c r="CY271" s="663"/>
      <c r="CZ271" s="663"/>
      <c r="DA271" s="663"/>
      <c r="DB271" s="663"/>
      <c r="DC271" s="663"/>
      <c r="DD271" s="663"/>
      <c r="DE271" s="663"/>
      <c r="DF271" s="663"/>
      <c r="DG271" s="663"/>
      <c r="DH271" s="663"/>
      <c r="DI271" s="663"/>
      <c r="DJ271" s="663"/>
      <c r="DK271" s="663"/>
      <c r="DL271" s="663"/>
      <c r="DM271" s="663"/>
      <c r="DN271" s="663"/>
      <c r="DO271" s="663"/>
      <c r="DP271" s="663"/>
      <c r="DQ271" s="663"/>
      <c r="DR271" s="663"/>
      <c r="DS271" s="663"/>
      <c r="DT271" s="663"/>
      <c r="DU271" s="663"/>
      <c r="DV271" s="663"/>
      <c r="DW271" s="663"/>
      <c r="DX271" s="663"/>
      <c r="DY271" s="663"/>
      <c r="DZ271" s="663"/>
      <c r="EA271" s="663"/>
      <c r="EB271" s="663"/>
      <c r="EC271" s="663"/>
      <c r="ED271" s="663"/>
      <c r="EE271" s="663"/>
      <c r="EF271" s="663"/>
      <c r="EG271" s="663"/>
      <c r="EH271" s="663"/>
      <c r="EI271" s="663"/>
      <c r="EJ271" s="663"/>
      <c r="EK271" s="663"/>
      <c r="EL271" s="663"/>
      <c r="EM271" s="663"/>
      <c r="EN271" s="663"/>
      <c r="EO271" s="663"/>
      <c r="EP271" s="663"/>
      <c r="EQ271" s="663"/>
      <c r="ER271" s="663"/>
      <c r="ES271" s="663"/>
      <c r="ET271" s="663"/>
      <c r="EU271" s="663"/>
      <c r="EV271" s="663"/>
      <c r="EW271" s="663"/>
      <c r="EX271" s="663"/>
      <c r="EY271" s="663"/>
      <c r="EZ271" s="663"/>
      <c r="FA271" s="663"/>
      <c r="FB271" s="663"/>
      <c r="FC271" s="663"/>
      <c r="FD271" s="663"/>
      <c r="FE271" s="663"/>
      <c r="FF271" s="663"/>
      <c r="FG271" s="663"/>
      <c r="FH271" s="663"/>
      <c r="FI271" s="663"/>
      <c r="FJ271" s="663"/>
      <c r="FK271" s="663"/>
      <c r="FL271" s="663"/>
      <c r="FM271" s="663"/>
      <c r="FN271" s="663"/>
      <c r="FO271" s="663"/>
      <c r="FP271" s="663"/>
      <c r="FQ271" s="663"/>
      <c r="FR271" s="663"/>
      <c r="FS271" s="663"/>
      <c r="FT271" s="663"/>
      <c r="FU271" s="663"/>
      <c r="FV271" s="663"/>
      <c r="FW271" s="663"/>
      <c r="FX271" s="663"/>
      <c r="FY271" s="663"/>
      <c r="FZ271" s="663"/>
      <c r="GA271" s="663"/>
      <c r="GB271" s="663"/>
      <c r="GC271" s="663"/>
      <c r="GD271" s="663"/>
      <c r="GE271" s="663"/>
      <c r="GF271" s="663"/>
      <c r="GG271" s="663"/>
    </row>
    <row r="272" spans="1:189" ht="14.4" thickBot="1">
      <c r="A272" s="665">
        <v>720</v>
      </c>
      <c r="B272" s="666">
        <v>200</v>
      </c>
      <c r="C272" s="667">
        <v>400</v>
      </c>
      <c r="D272" s="667"/>
      <c r="E272" s="667"/>
      <c r="F272" s="667"/>
      <c r="G272" s="668" t="s">
        <v>490</v>
      </c>
      <c r="H272" s="625">
        <v>24.56</v>
      </c>
      <c r="I272" s="625">
        <v>41</v>
      </c>
      <c r="J272" s="669" t="s">
        <v>534</v>
      </c>
      <c r="K272" s="663"/>
      <c r="L272" s="663"/>
      <c r="M272" s="663"/>
      <c r="N272" s="663"/>
      <c r="O272" s="663"/>
      <c r="P272" s="663"/>
      <c r="Q272" s="663"/>
      <c r="R272" s="663"/>
      <c r="S272" s="663"/>
      <c r="T272" s="663"/>
      <c r="U272" s="663"/>
      <c r="V272" s="663"/>
      <c r="W272" s="663"/>
      <c r="X272" s="663"/>
      <c r="Y272" s="663"/>
      <c r="Z272" s="663"/>
      <c r="AA272" s="663"/>
      <c r="AB272" s="663"/>
      <c r="AC272" s="663"/>
      <c r="AD272" s="663"/>
      <c r="AE272" s="663"/>
      <c r="AF272" s="663"/>
      <c r="AG272" s="663"/>
      <c r="AH272" s="663"/>
      <c r="AI272" s="663"/>
      <c r="AJ272" s="663"/>
      <c r="AK272" s="663"/>
      <c r="AL272" s="663"/>
      <c r="AM272" s="663"/>
      <c r="AN272" s="663"/>
      <c r="AO272" s="663"/>
      <c r="AP272" s="663"/>
      <c r="AQ272" s="663"/>
      <c r="AR272" s="663"/>
      <c r="AS272" s="663"/>
      <c r="AT272" s="663"/>
      <c r="AU272" s="663"/>
      <c r="AV272" s="663"/>
      <c r="AW272" s="663"/>
      <c r="AX272" s="663"/>
      <c r="AY272" s="663"/>
      <c r="AZ272" s="663"/>
      <c r="BA272" s="663"/>
      <c r="BB272" s="663"/>
      <c r="BC272" s="663"/>
      <c r="BD272" s="663"/>
      <c r="BE272" s="663"/>
      <c r="BF272" s="663"/>
      <c r="BG272" s="663"/>
      <c r="BH272" s="663"/>
      <c r="BI272" s="663"/>
      <c r="BJ272" s="663"/>
      <c r="BK272" s="663"/>
      <c r="BL272" s="663"/>
      <c r="BM272" s="663"/>
      <c r="BN272" s="663"/>
      <c r="BO272" s="663"/>
      <c r="BP272" s="663"/>
      <c r="BQ272" s="663"/>
      <c r="BR272" s="663"/>
      <c r="BS272" s="663"/>
      <c r="BT272" s="663"/>
      <c r="BU272" s="663"/>
      <c r="BV272" s="663"/>
      <c r="BW272" s="663"/>
      <c r="BX272" s="663"/>
      <c r="BY272" s="663"/>
      <c r="BZ272" s="663"/>
      <c r="CA272" s="663"/>
      <c r="CB272" s="663"/>
      <c r="CC272" s="663"/>
      <c r="CD272" s="663"/>
      <c r="CE272" s="663"/>
      <c r="CF272" s="663"/>
      <c r="CG272" s="663"/>
      <c r="CH272" s="663"/>
      <c r="CI272" s="663"/>
      <c r="CJ272" s="663"/>
      <c r="CK272" s="663"/>
      <c r="CL272" s="663"/>
      <c r="CM272" s="663"/>
      <c r="CN272" s="663"/>
      <c r="CO272" s="663"/>
      <c r="CP272" s="663"/>
      <c r="CQ272" s="663"/>
      <c r="CR272" s="663"/>
      <c r="CS272" s="663"/>
      <c r="CT272" s="663"/>
      <c r="CU272" s="663"/>
      <c r="CV272" s="663"/>
      <c r="CW272" s="663"/>
      <c r="CX272" s="663"/>
      <c r="CY272" s="663"/>
      <c r="CZ272" s="663"/>
      <c r="DA272" s="663"/>
      <c r="DB272" s="663"/>
      <c r="DC272" s="663"/>
      <c r="DD272" s="663"/>
      <c r="DE272" s="663"/>
      <c r="DF272" s="663"/>
      <c r="DG272" s="663"/>
      <c r="DH272" s="663"/>
      <c r="DI272" s="663"/>
      <c r="DJ272" s="663"/>
      <c r="DK272" s="663"/>
      <c r="DL272" s="663"/>
      <c r="DM272" s="663"/>
      <c r="DN272" s="663"/>
      <c r="DO272" s="663"/>
      <c r="DP272" s="663"/>
      <c r="DQ272" s="663"/>
      <c r="DR272" s="663"/>
      <c r="DS272" s="663"/>
      <c r="DT272" s="663"/>
      <c r="DU272" s="663"/>
      <c r="DV272" s="663"/>
      <c r="DW272" s="663"/>
      <c r="DX272" s="663"/>
      <c r="DY272" s="663"/>
      <c r="DZ272" s="663"/>
      <c r="EA272" s="663"/>
      <c r="EB272" s="663"/>
      <c r="EC272" s="663"/>
      <c r="ED272" s="663"/>
      <c r="EE272" s="663"/>
      <c r="EF272" s="663"/>
      <c r="EG272" s="663"/>
      <c r="EH272" s="663"/>
      <c r="EI272" s="663"/>
      <c r="EJ272" s="663"/>
      <c r="EK272" s="663"/>
      <c r="EL272" s="663"/>
      <c r="EM272" s="663"/>
      <c r="EN272" s="663"/>
      <c r="EO272" s="663"/>
      <c r="EP272" s="663"/>
      <c r="EQ272" s="663"/>
      <c r="ER272" s="663"/>
      <c r="ES272" s="663"/>
      <c r="ET272" s="663"/>
      <c r="EU272" s="663"/>
      <c r="EV272" s="663"/>
      <c r="EW272" s="663"/>
      <c r="EX272" s="663"/>
      <c r="EY272" s="663"/>
      <c r="EZ272" s="663"/>
      <c r="FA272" s="663"/>
      <c r="FB272" s="663"/>
      <c r="FC272" s="663"/>
      <c r="FD272" s="663"/>
      <c r="FE272" s="663"/>
      <c r="FF272" s="663"/>
      <c r="FG272" s="663"/>
      <c r="FH272" s="663"/>
      <c r="FI272" s="663"/>
      <c r="FJ272" s="663"/>
      <c r="FK272" s="663"/>
      <c r="FL272" s="663"/>
      <c r="FM272" s="663"/>
      <c r="FN272" s="663"/>
      <c r="FO272" s="663"/>
      <c r="FP272" s="663"/>
      <c r="FQ272" s="663"/>
      <c r="FR272" s="663"/>
      <c r="FS272" s="663"/>
      <c r="FT272" s="663"/>
      <c r="FU272" s="663"/>
      <c r="FV272" s="663"/>
      <c r="FW272" s="663"/>
      <c r="FX272" s="663"/>
      <c r="FY272" s="663"/>
      <c r="FZ272" s="663"/>
      <c r="GA272" s="663"/>
      <c r="GB272" s="663"/>
      <c r="GC272" s="663"/>
      <c r="GD272" s="663"/>
      <c r="GE272" s="663"/>
      <c r="GF272" s="663"/>
      <c r="GG272" s="663"/>
    </row>
    <row r="273" spans="1:189">
      <c r="A273" s="670"/>
      <c r="B273" s="670"/>
      <c r="C273" s="670"/>
      <c r="D273" s="670"/>
      <c r="E273" s="670"/>
      <c r="F273" s="670"/>
      <c r="G273" s="671" t="s">
        <v>535</v>
      </c>
      <c r="H273" s="626">
        <v>82507160.460000008</v>
      </c>
      <c r="I273" s="626">
        <v>76554258</v>
      </c>
      <c r="J273" s="672"/>
      <c r="K273" s="663"/>
      <c r="L273" s="663"/>
      <c r="M273" s="663"/>
      <c r="N273" s="663"/>
      <c r="O273" s="663"/>
      <c r="P273" s="663"/>
      <c r="Q273" s="663"/>
      <c r="R273" s="663"/>
      <c r="S273" s="663"/>
      <c r="T273" s="663"/>
      <c r="U273" s="663"/>
      <c r="V273" s="663"/>
      <c r="W273" s="663"/>
      <c r="X273" s="663"/>
      <c r="Y273" s="663"/>
      <c r="Z273" s="663"/>
      <c r="AA273" s="663"/>
      <c r="AB273" s="663"/>
      <c r="AC273" s="663"/>
      <c r="AD273" s="663"/>
      <c r="AE273" s="663"/>
      <c r="AF273" s="663"/>
      <c r="AG273" s="663"/>
      <c r="AH273" s="663"/>
      <c r="AI273" s="663"/>
      <c r="AJ273" s="663"/>
      <c r="AK273" s="663"/>
      <c r="AL273" s="663"/>
      <c r="AM273" s="663"/>
      <c r="AN273" s="663"/>
      <c r="AO273" s="663"/>
      <c r="AP273" s="663"/>
      <c r="AQ273" s="663"/>
      <c r="AR273" s="663"/>
      <c r="AS273" s="663"/>
      <c r="AT273" s="663"/>
      <c r="AU273" s="663"/>
      <c r="AV273" s="663"/>
      <c r="AW273" s="663"/>
      <c r="AX273" s="663"/>
      <c r="AY273" s="663"/>
      <c r="AZ273" s="663"/>
      <c r="BA273" s="663"/>
      <c r="BB273" s="663"/>
      <c r="BC273" s="663"/>
      <c r="BD273" s="663"/>
      <c r="BE273" s="663"/>
      <c r="BF273" s="663"/>
      <c r="BG273" s="663"/>
      <c r="BH273" s="663"/>
      <c r="BI273" s="663"/>
      <c r="BJ273" s="663"/>
      <c r="BK273" s="663"/>
      <c r="BL273" s="663"/>
      <c r="BM273" s="663"/>
      <c r="BN273" s="663"/>
      <c r="BO273" s="663"/>
      <c r="BP273" s="663"/>
      <c r="BQ273" s="663"/>
      <c r="BR273" s="663"/>
      <c r="BS273" s="663"/>
      <c r="BT273" s="663"/>
      <c r="BU273" s="663"/>
      <c r="BV273" s="663"/>
      <c r="BW273" s="663"/>
      <c r="BX273" s="663"/>
      <c r="BY273" s="663"/>
      <c r="BZ273" s="663"/>
      <c r="CA273" s="663"/>
      <c r="CB273" s="663"/>
      <c r="CC273" s="663"/>
      <c r="CD273" s="663"/>
      <c r="CE273" s="663"/>
      <c r="CF273" s="663"/>
      <c r="CG273" s="663"/>
      <c r="CH273" s="663"/>
      <c r="CI273" s="663"/>
      <c r="CJ273" s="663"/>
      <c r="CK273" s="663"/>
      <c r="CL273" s="663"/>
      <c r="CM273" s="663"/>
      <c r="CN273" s="663"/>
      <c r="CO273" s="663"/>
      <c r="CP273" s="663"/>
      <c r="CQ273" s="663"/>
      <c r="CR273" s="663"/>
      <c r="CS273" s="663"/>
      <c r="CT273" s="663"/>
      <c r="CU273" s="663"/>
      <c r="CV273" s="663"/>
      <c r="CW273" s="663"/>
      <c r="CX273" s="663"/>
      <c r="CY273" s="663"/>
      <c r="CZ273" s="663"/>
      <c r="DA273" s="663"/>
      <c r="DB273" s="663"/>
      <c r="DC273" s="663"/>
      <c r="DD273" s="663"/>
      <c r="DE273" s="663"/>
      <c r="DF273" s="663"/>
      <c r="DG273" s="663"/>
      <c r="DH273" s="663"/>
      <c r="DI273" s="663"/>
      <c r="DJ273" s="663"/>
      <c r="DK273" s="663"/>
      <c r="DL273" s="663"/>
      <c r="DM273" s="663"/>
      <c r="DN273" s="663"/>
      <c r="DO273" s="663"/>
      <c r="DP273" s="663"/>
      <c r="DQ273" s="663"/>
      <c r="DR273" s="663"/>
      <c r="DS273" s="663"/>
      <c r="DT273" s="663"/>
      <c r="DU273" s="663"/>
      <c r="DV273" s="663"/>
      <c r="DW273" s="663"/>
      <c r="DX273" s="663"/>
      <c r="DY273" s="663"/>
      <c r="DZ273" s="663"/>
      <c r="EA273" s="663"/>
      <c r="EB273" s="663"/>
      <c r="EC273" s="663"/>
      <c r="ED273" s="663"/>
      <c r="EE273" s="663"/>
      <c r="EF273" s="663"/>
      <c r="EG273" s="663"/>
      <c r="EH273" s="663"/>
      <c r="EI273" s="663"/>
      <c r="EJ273" s="663"/>
      <c r="EK273" s="663"/>
      <c r="EL273" s="663"/>
      <c r="EM273" s="663"/>
      <c r="EN273" s="663"/>
      <c r="EO273" s="663"/>
      <c r="EP273" s="663"/>
      <c r="EQ273" s="663"/>
      <c r="ER273" s="663"/>
      <c r="ES273" s="663"/>
      <c r="ET273" s="663"/>
      <c r="EU273" s="663"/>
      <c r="EV273" s="663"/>
      <c r="EW273" s="663"/>
      <c r="EX273" s="663"/>
      <c r="EY273" s="663"/>
      <c r="EZ273" s="663"/>
      <c r="FA273" s="663"/>
      <c r="FB273" s="663"/>
      <c r="FC273" s="663"/>
      <c r="FD273" s="663"/>
      <c r="FE273" s="663"/>
      <c r="FF273" s="663"/>
      <c r="FG273" s="663"/>
      <c r="FH273" s="663"/>
      <c r="FI273" s="663"/>
      <c r="FJ273" s="663"/>
      <c r="FK273" s="663"/>
      <c r="FL273" s="663"/>
      <c r="FM273" s="663"/>
      <c r="FN273" s="663"/>
      <c r="FO273" s="663"/>
      <c r="FP273" s="663"/>
      <c r="FQ273" s="663"/>
      <c r="FR273" s="663"/>
      <c r="FS273" s="663"/>
      <c r="FT273" s="663"/>
      <c r="FU273" s="663"/>
      <c r="FV273" s="663"/>
      <c r="FW273" s="663"/>
      <c r="FX273" s="663"/>
      <c r="FY273" s="663"/>
      <c r="FZ273" s="663"/>
      <c r="GA273" s="663"/>
      <c r="GB273" s="663"/>
      <c r="GC273" s="663"/>
      <c r="GD273" s="663"/>
      <c r="GE273" s="663"/>
      <c r="GF273" s="663"/>
      <c r="GG273" s="663"/>
    </row>
    <row r="274" spans="1:189">
      <c r="A274" s="670"/>
      <c r="B274" s="670"/>
      <c r="C274" s="670"/>
      <c r="D274" s="670"/>
      <c r="E274" s="670"/>
      <c r="F274" s="670"/>
      <c r="G274" s="671" t="s">
        <v>536</v>
      </c>
      <c r="H274" s="626">
        <v>82487283.349999949</v>
      </c>
      <c r="I274" s="626">
        <v>76447395</v>
      </c>
      <c r="J274" s="672"/>
      <c r="K274" s="663"/>
      <c r="L274" s="663"/>
      <c r="M274" s="663"/>
      <c r="N274" s="663"/>
      <c r="O274" s="663"/>
      <c r="P274" s="663"/>
      <c r="Q274" s="663"/>
      <c r="R274" s="663"/>
      <c r="S274" s="663"/>
      <c r="T274" s="663"/>
      <c r="U274" s="663"/>
      <c r="V274" s="663"/>
      <c r="W274" s="663"/>
      <c r="X274" s="663"/>
      <c r="Y274" s="663"/>
      <c r="Z274" s="663"/>
      <c r="AA274" s="663"/>
      <c r="AB274" s="663"/>
      <c r="AC274" s="663"/>
      <c r="AD274" s="663"/>
      <c r="AE274" s="663"/>
      <c r="AF274" s="663"/>
      <c r="AG274" s="663"/>
      <c r="AH274" s="663"/>
      <c r="AI274" s="663"/>
      <c r="AJ274" s="663"/>
      <c r="AK274" s="663"/>
      <c r="AL274" s="663"/>
      <c r="AM274" s="663"/>
      <c r="AN274" s="663"/>
      <c r="AO274" s="663"/>
      <c r="AP274" s="663"/>
      <c r="AQ274" s="663"/>
      <c r="AR274" s="663"/>
      <c r="AS274" s="663"/>
      <c r="AT274" s="663"/>
      <c r="AU274" s="663"/>
      <c r="AV274" s="663"/>
      <c r="AW274" s="663"/>
      <c r="AX274" s="663"/>
      <c r="AY274" s="663"/>
      <c r="AZ274" s="663"/>
      <c r="BA274" s="663"/>
      <c r="BB274" s="663"/>
      <c r="BC274" s="663"/>
      <c r="BD274" s="663"/>
      <c r="BE274" s="663"/>
      <c r="BF274" s="663"/>
      <c r="BG274" s="663"/>
      <c r="BH274" s="663"/>
      <c r="BI274" s="663"/>
      <c r="BJ274" s="663"/>
      <c r="BK274" s="663"/>
      <c r="BL274" s="663"/>
      <c r="BM274" s="663"/>
      <c r="BN274" s="663"/>
      <c r="BO274" s="663"/>
      <c r="BP274" s="663"/>
      <c r="BQ274" s="663"/>
      <c r="BR274" s="663"/>
      <c r="BS274" s="663"/>
      <c r="BT274" s="663"/>
      <c r="BU274" s="663"/>
      <c r="BV274" s="663"/>
      <c r="BW274" s="663"/>
      <c r="BX274" s="663"/>
      <c r="BY274" s="663"/>
      <c r="BZ274" s="663"/>
      <c r="CA274" s="663"/>
      <c r="CB274" s="663"/>
      <c r="CC274" s="663"/>
      <c r="CD274" s="663"/>
      <c r="CE274" s="663"/>
      <c r="CF274" s="663"/>
      <c r="CG274" s="663"/>
      <c r="CH274" s="663"/>
      <c r="CI274" s="663"/>
      <c r="CJ274" s="663"/>
      <c r="CK274" s="663"/>
      <c r="CL274" s="663"/>
      <c r="CM274" s="663"/>
      <c r="CN274" s="663"/>
      <c r="CO274" s="663"/>
      <c r="CP274" s="663"/>
      <c r="CQ274" s="663"/>
      <c r="CR274" s="663"/>
      <c r="CS274" s="663"/>
      <c r="CT274" s="663"/>
      <c r="CU274" s="663"/>
      <c r="CV274" s="663"/>
      <c r="CW274" s="663"/>
      <c r="CX274" s="663"/>
      <c r="CY274" s="663"/>
      <c r="CZ274" s="663"/>
      <c r="DA274" s="663"/>
      <c r="DB274" s="663"/>
      <c r="DC274" s="663"/>
      <c r="DD274" s="663"/>
      <c r="DE274" s="663"/>
      <c r="DF274" s="663"/>
      <c r="DG274" s="663"/>
      <c r="DH274" s="663"/>
      <c r="DI274" s="663"/>
      <c r="DJ274" s="663"/>
      <c r="DK274" s="663"/>
      <c r="DL274" s="663"/>
      <c r="DM274" s="663"/>
      <c r="DN274" s="663"/>
      <c r="DO274" s="663"/>
      <c r="DP274" s="663"/>
      <c r="DQ274" s="663"/>
      <c r="DR274" s="663"/>
      <c r="DS274" s="663"/>
      <c r="DT274" s="663"/>
      <c r="DU274" s="663"/>
      <c r="DV274" s="663"/>
      <c r="DW274" s="663"/>
      <c r="DX274" s="663"/>
      <c r="DY274" s="663"/>
      <c r="DZ274" s="663"/>
      <c r="EA274" s="663"/>
      <c r="EB274" s="663"/>
      <c r="EC274" s="663"/>
      <c r="ED274" s="663"/>
      <c r="EE274" s="663"/>
      <c r="EF274" s="663"/>
      <c r="EG274" s="663"/>
      <c r="EH274" s="663"/>
      <c r="EI274" s="663"/>
      <c r="EJ274" s="663"/>
      <c r="EK274" s="663"/>
      <c r="EL274" s="663"/>
      <c r="EM274" s="663"/>
      <c r="EN274" s="663"/>
      <c r="EO274" s="663"/>
      <c r="EP274" s="663"/>
      <c r="EQ274" s="663"/>
      <c r="ER274" s="663"/>
      <c r="ES274" s="663"/>
      <c r="ET274" s="663"/>
      <c r="EU274" s="663"/>
      <c r="EV274" s="663"/>
      <c r="EW274" s="663"/>
      <c r="EX274" s="663"/>
      <c r="EY274" s="663"/>
      <c r="EZ274" s="663"/>
      <c r="FA274" s="663"/>
      <c r="FB274" s="663"/>
      <c r="FC274" s="663"/>
      <c r="FD274" s="663"/>
      <c r="FE274" s="663"/>
      <c r="FF274" s="663"/>
      <c r="FG274" s="663"/>
      <c r="FH274" s="663"/>
      <c r="FI274" s="663"/>
      <c r="FJ274" s="663"/>
      <c r="FK274" s="663"/>
      <c r="FL274" s="663"/>
      <c r="FM274" s="663"/>
      <c r="FN274" s="663"/>
      <c r="FO274" s="663"/>
      <c r="FP274" s="663"/>
      <c r="FQ274" s="663"/>
      <c r="FR274" s="663"/>
      <c r="FS274" s="663"/>
      <c r="FT274" s="663"/>
      <c r="FU274" s="663"/>
      <c r="FV274" s="663"/>
      <c r="FW274" s="663"/>
      <c r="FX274" s="663"/>
      <c r="FY274" s="663"/>
      <c r="FZ274" s="663"/>
      <c r="GA274" s="663"/>
      <c r="GB274" s="663"/>
      <c r="GC274" s="663"/>
      <c r="GD274" s="663"/>
      <c r="GE274" s="663"/>
      <c r="GF274" s="663"/>
      <c r="GG274" s="663"/>
    </row>
    <row r="275" spans="1:189">
      <c r="A275" s="670"/>
      <c r="B275" s="670"/>
      <c r="C275" s="670"/>
      <c r="D275" s="670"/>
      <c r="E275" s="670"/>
      <c r="F275" s="670"/>
      <c r="G275" s="671" t="s">
        <v>537</v>
      </c>
      <c r="H275" s="626">
        <v>19877.110000059009</v>
      </c>
      <c r="I275" s="626">
        <v>106863</v>
      </c>
      <c r="J275" s="672"/>
      <c r="K275" s="663"/>
      <c r="L275" s="663"/>
      <c r="M275" s="663"/>
      <c r="N275" s="663"/>
      <c r="O275" s="663"/>
      <c r="P275" s="663"/>
      <c r="Q275" s="663"/>
      <c r="R275" s="663"/>
      <c r="S275" s="663"/>
      <c r="T275" s="663"/>
      <c r="U275" s="663"/>
      <c r="V275" s="663"/>
      <c r="W275" s="663"/>
      <c r="X275" s="663"/>
      <c r="Y275" s="663"/>
      <c r="Z275" s="663"/>
      <c r="AA275" s="663"/>
      <c r="AB275" s="663"/>
      <c r="AC275" s="663"/>
      <c r="AD275" s="663"/>
      <c r="AE275" s="663"/>
      <c r="AF275" s="663"/>
      <c r="AG275" s="663"/>
      <c r="AH275" s="663"/>
      <c r="AI275" s="663"/>
      <c r="AJ275" s="663"/>
      <c r="AK275" s="663"/>
      <c r="AL275" s="663"/>
      <c r="AM275" s="663"/>
      <c r="AN275" s="663"/>
      <c r="AO275" s="663"/>
      <c r="AP275" s="663"/>
      <c r="AQ275" s="663"/>
      <c r="AR275" s="663"/>
      <c r="AS275" s="663"/>
      <c r="AT275" s="663"/>
      <c r="AU275" s="663"/>
      <c r="AV275" s="663"/>
      <c r="AW275" s="663"/>
      <c r="AX275" s="663"/>
      <c r="AY275" s="663"/>
      <c r="AZ275" s="663"/>
      <c r="BA275" s="663"/>
      <c r="BB275" s="663"/>
      <c r="BC275" s="663"/>
      <c r="BD275" s="663"/>
      <c r="BE275" s="663"/>
      <c r="BF275" s="663"/>
      <c r="BG275" s="663"/>
      <c r="BH275" s="663"/>
      <c r="BI275" s="663"/>
      <c r="BJ275" s="663"/>
      <c r="BK275" s="663"/>
      <c r="BL275" s="663"/>
      <c r="BM275" s="663"/>
      <c r="BN275" s="663"/>
      <c r="BO275" s="663"/>
      <c r="BP275" s="663"/>
      <c r="BQ275" s="663"/>
      <c r="BR275" s="663"/>
      <c r="BS275" s="663"/>
      <c r="BT275" s="663"/>
      <c r="BU275" s="663"/>
      <c r="BV275" s="663"/>
      <c r="BW275" s="663"/>
      <c r="BX275" s="663"/>
      <c r="BY275" s="663"/>
      <c r="BZ275" s="663"/>
      <c r="CA275" s="663"/>
      <c r="CB275" s="663"/>
      <c r="CC275" s="663"/>
      <c r="CD275" s="663"/>
      <c r="CE275" s="663"/>
      <c r="CF275" s="663"/>
      <c r="CG275" s="663"/>
      <c r="CH275" s="663"/>
      <c r="CI275" s="663"/>
      <c r="CJ275" s="663"/>
      <c r="CK275" s="663"/>
      <c r="CL275" s="663"/>
      <c r="CM275" s="663"/>
      <c r="CN275" s="663"/>
      <c r="CO275" s="663"/>
      <c r="CP275" s="663"/>
      <c r="CQ275" s="663"/>
      <c r="CR275" s="663"/>
      <c r="CS275" s="663"/>
      <c r="CT275" s="663"/>
      <c r="CU275" s="663"/>
      <c r="CV275" s="663"/>
      <c r="CW275" s="663"/>
      <c r="CX275" s="663"/>
      <c r="CY275" s="663"/>
      <c r="CZ275" s="663"/>
      <c r="DA275" s="663"/>
      <c r="DB275" s="663"/>
      <c r="DC275" s="663"/>
      <c r="DD275" s="663"/>
      <c r="DE275" s="663"/>
      <c r="DF275" s="663"/>
      <c r="DG275" s="663"/>
      <c r="DH275" s="663"/>
      <c r="DI275" s="663"/>
      <c r="DJ275" s="663"/>
      <c r="DK275" s="663"/>
      <c r="DL275" s="663"/>
      <c r="DM275" s="663"/>
      <c r="DN275" s="663"/>
      <c r="DO275" s="663"/>
      <c r="DP275" s="663"/>
      <c r="DQ275" s="663"/>
      <c r="DR275" s="663"/>
      <c r="DS275" s="663"/>
      <c r="DT275" s="663"/>
      <c r="DU275" s="663"/>
      <c r="DV275" s="663"/>
      <c r="DW275" s="663"/>
      <c r="DX275" s="663"/>
      <c r="DY275" s="663"/>
      <c r="DZ275" s="663"/>
      <c r="EA275" s="663"/>
      <c r="EB275" s="663"/>
      <c r="EC275" s="663"/>
      <c r="ED275" s="663"/>
      <c r="EE275" s="663"/>
      <c r="EF275" s="663"/>
      <c r="EG275" s="663"/>
      <c r="EH275" s="663"/>
      <c r="EI275" s="663"/>
      <c r="EJ275" s="663"/>
      <c r="EK275" s="663"/>
      <c r="EL275" s="663"/>
      <c r="EM275" s="663"/>
      <c r="EN275" s="663"/>
      <c r="EO275" s="663"/>
      <c r="EP275" s="663"/>
      <c r="EQ275" s="663"/>
      <c r="ER275" s="663"/>
      <c r="ES275" s="663"/>
      <c r="ET275" s="663"/>
      <c r="EU275" s="663"/>
      <c r="EV275" s="663"/>
      <c r="EW275" s="663"/>
      <c r="EX275" s="663"/>
      <c r="EY275" s="663"/>
      <c r="EZ275" s="663"/>
      <c r="FA275" s="663"/>
      <c r="FB275" s="663"/>
      <c r="FC275" s="663"/>
      <c r="FD275" s="663"/>
      <c r="FE275" s="663"/>
      <c r="FF275" s="663"/>
      <c r="FG275" s="663"/>
      <c r="FH275" s="663"/>
      <c r="FI275" s="663"/>
      <c r="FJ275" s="663"/>
      <c r="FK275" s="663"/>
      <c r="FL275" s="663"/>
      <c r="FM275" s="663"/>
      <c r="FN275" s="663"/>
      <c r="FO275" s="663"/>
      <c r="FP275" s="663"/>
      <c r="FQ275" s="663"/>
      <c r="FR275" s="663"/>
      <c r="FS275" s="663"/>
      <c r="FT275" s="663"/>
      <c r="FU275" s="663"/>
      <c r="FV275" s="663"/>
      <c r="FW275" s="663"/>
      <c r="FX275" s="663"/>
      <c r="FY275" s="663"/>
      <c r="FZ275" s="663"/>
      <c r="GA275" s="663"/>
      <c r="GB275" s="663"/>
      <c r="GC275" s="663"/>
      <c r="GD275" s="663"/>
      <c r="GE275" s="663"/>
      <c r="GF275" s="663"/>
      <c r="GG275" s="663"/>
    </row>
    <row r="276" spans="1:189">
      <c r="A276" s="670"/>
      <c r="B276" s="670"/>
      <c r="C276" s="670"/>
      <c r="D276" s="670"/>
      <c r="E276" s="670"/>
      <c r="F276" s="670"/>
      <c r="G276" s="671"/>
      <c r="H276" s="627"/>
      <c r="I276" s="627"/>
      <c r="J276" s="672"/>
      <c r="K276" s="663"/>
      <c r="L276" s="663"/>
      <c r="M276" s="663"/>
      <c r="N276" s="663"/>
      <c r="O276" s="663"/>
      <c r="P276" s="663"/>
      <c r="Q276" s="663"/>
      <c r="R276" s="663"/>
      <c r="S276" s="663"/>
      <c r="T276" s="663"/>
      <c r="U276" s="663"/>
      <c r="V276" s="663"/>
      <c r="W276" s="663"/>
      <c r="X276" s="663"/>
      <c r="Y276" s="663"/>
      <c r="Z276" s="663"/>
      <c r="AA276" s="663"/>
      <c r="AB276" s="663"/>
      <c r="AC276" s="663"/>
      <c r="AD276" s="663"/>
      <c r="AE276" s="663"/>
      <c r="AF276" s="663"/>
      <c r="AG276" s="663"/>
      <c r="AH276" s="663"/>
      <c r="AI276" s="663"/>
      <c r="AJ276" s="663"/>
      <c r="AK276" s="663"/>
      <c r="AL276" s="663"/>
      <c r="AM276" s="663"/>
      <c r="AN276" s="663"/>
      <c r="AO276" s="663"/>
      <c r="AP276" s="663"/>
      <c r="AQ276" s="663"/>
      <c r="AR276" s="663"/>
      <c r="AS276" s="663"/>
      <c r="AT276" s="663"/>
      <c r="AU276" s="663"/>
      <c r="AV276" s="663"/>
      <c r="AW276" s="663"/>
      <c r="AX276" s="663"/>
      <c r="AY276" s="663"/>
      <c r="AZ276" s="663"/>
      <c r="BA276" s="663"/>
      <c r="BB276" s="663"/>
      <c r="BC276" s="663"/>
      <c r="BD276" s="663"/>
      <c r="BE276" s="663"/>
      <c r="BF276" s="663"/>
      <c r="BG276" s="663"/>
      <c r="BH276" s="663"/>
      <c r="BI276" s="663"/>
      <c r="BJ276" s="663"/>
      <c r="BK276" s="663"/>
      <c r="BL276" s="663"/>
      <c r="BM276" s="663"/>
      <c r="BN276" s="663"/>
      <c r="BO276" s="663"/>
      <c r="BP276" s="663"/>
      <c r="BQ276" s="663"/>
      <c r="BR276" s="663"/>
      <c r="BS276" s="663"/>
      <c r="BT276" s="663"/>
      <c r="BU276" s="663"/>
      <c r="BV276" s="663"/>
      <c r="BW276" s="663"/>
      <c r="BX276" s="663"/>
      <c r="BY276" s="663"/>
      <c r="BZ276" s="663"/>
      <c r="CA276" s="663"/>
      <c r="CB276" s="663"/>
      <c r="CC276" s="663"/>
      <c r="CD276" s="663"/>
      <c r="CE276" s="663"/>
      <c r="CF276" s="663"/>
      <c r="CG276" s="663"/>
      <c r="CH276" s="663"/>
      <c r="CI276" s="663"/>
      <c r="CJ276" s="663"/>
      <c r="CK276" s="663"/>
      <c r="CL276" s="663"/>
      <c r="CM276" s="663"/>
      <c r="CN276" s="663"/>
      <c r="CO276" s="663"/>
      <c r="CP276" s="663"/>
      <c r="CQ276" s="663"/>
      <c r="CR276" s="663"/>
      <c r="CS276" s="663"/>
      <c r="CT276" s="663"/>
      <c r="CU276" s="663"/>
      <c r="CV276" s="663"/>
      <c r="CW276" s="663"/>
      <c r="CX276" s="663"/>
      <c r="CY276" s="663"/>
      <c r="CZ276" s="663"/>
      <c r="DA276" s="663"/>
      <c r="DB276" s="663"/>
      <c r="DC276" s="663"/>
      <c r="DD276" s="663"/>
      <c r="DE276" s="663"/>
      <c r="DF276" s="663"/>
      <c r="DG276" s="663"/>
      <c r="DH276" s="663"/>
      <c r="DI276" s="663"/>
      <c r="DJ276" s="663"/>
      <c r="DK276" s="663"/>
      <c r="DL276" s="663"/>
      <c r="DM276" s="663"/>
      <c r="DN276" s="663"/>
      <c r="DO276" s="663"/>
      <c r="DP276" s="663"/>
      <c r="DQ276" s="663"/>
      <c r="DR276" s="663"/>
      <c r="DS276" s="663"/>
      <c r="DT276" s="663"/>
      <c r="DU276" s="663"/>
      <c r="DV276" s="663"/>
      <c r="DW276" s="663"/>
      <c r="DX276" s="663"/>
      <c r="DY276" s="663"/>
      <c r="DZ276" s="663"/>
      <c r="EA276" s="663"/>
      <c r="EB276" s="663"/>
      <c r="EC276" s="663"/>
      <c r="ED276" s="663"/>
      <c r="EE276" s="663"/>
      <c r="EF276" s="663"/>
      <c r="EG276" s="663"/>
      <c r="EH276" s="663"/>
      <c r="EI276" s="663"/>
      <c r="EJ276" s="663"/>
      <c r="EK276" s="663"/>
      <c r="EL276" s="663"/>
      <c r="EM276" s="663"/>
      <c r="EN276" s="663"/>
      <c r="EO276" s="663"/>
      <c r="EP276" s="663"/>
      <c r="EQ276" s="663"/>
      <c r="ER276" s="663"/>
      <c r="ES276" s="663"/>
      <c r="ET276" s="663"/>
      <c r="EU276" s="663"/>
      <c r="EV276" s="663"/>
      <c r="EW276" s="663"/>
      <c r="EX276" s="663"/>
      <c r="EY276" s="663"/>
      <c r="EZ276" s="663"/>
      <c r="FA276" s="663"/>
      <c r="FB276" s="663"/>
      <c r="FC276" s="663"/>
      <c r="FD276" s="663"/>
      <c r="FE276" s="663"/>
      <c r="FF276" s="663"/>
      <c r="FG276" s="663"/>
      <c r="FH276" s="663"/>
      <c r="FI276" s="663"/>
      <c r="FJ276" s="663"/>
      <c r="FK276" s="663"/>
      <c r="FL276" s="663"/>
      <c r="FM276" s="663"/>
      <c r="FN276" s="663"/>
      <c r="FO276" s="663"/>
      <c r="FP276" s="663"/>
      <c r="FQ276" s="663"/>
      <c r="FR276" s="663"/>
      <c r="FS276" s="663"/>
      <c r="FT276" s="663"/>
      <c r="FU276" s="663"/>
      <c r="FV276" s="663"/>
      <c r="FW276" s="663"/>
      <c r="FX276" s="663"/>
      <c r="FY276" s="663"/>
      <c r="FZ276" s="663"/>
      <c r="GA276" s="663"/>
      <c r="GB276" s="663"/>
      <c r="GC276" s="663"/>
      <c r="GD276" s="663"/>
      <c r="GE276" s="663"/>
      <c r="GF276" s="663"/>
      <c r="GG276" s="663"/>
    </row>
    <row r="277" spans="1:189">
      <c r="A277" s="670"/>
      <c r="B277" s="670"/>
      <c r="C277" s="670"/>
      <c r="D277" s="670"/>
      <c r="E277" s="670"/>
      <c r="F277" s="670"/>
      <c r="G277" s="671"/>
      <c r="H277" s="626"/>
      <c r="I277" s="626"/>
      <c r="J277" s="672"/>
      <c r="K277" s="663"/>
      <c r="L277" s="663"/>
      <c r="M277" s="663"/>
      <c r="N277" s="663"/>
      <c r="O277" s="663"/>
      <c r="P277" s="663"/>
      <c r="Q277" s="663"/>
      <c r="R277" s="663"/>
      <c r="S277" s="663"/>
      <c r="T277" s="663"/>
      <c r="U277" s="663"/>
      <c r="V277" s="663"/>
      <c r="W277" s="663"/>
      <c r="X277" s="663"/>
      <c r="Y277" s="663"/>
      <c r="Z277" s="663"/>
      <c r="AA277" s="663"/>
      <c r="AB277" s="663"/>
      <c r="AC277" s="663"/>
      <c r="AD277" s="663"/>
      <c r="AE277" s="663"/>
      <c r="AF277" s="663"/>
      <c r="AG277" s="663"/>
      <c r="AH277" s="663"/>
      <c r="AI277" s="663"/>
      <c r="AJ277" s="663"/>
      <c r="AK277" s="663"/>
      <c r="AL277" s="663"/>
      <c r="AM277" s="663"/>
      <c r="AN277" s="663"/>
      <c r="AO277" s="663"/>
      <c r="AP277" s="663"/>
      <c r="AQ277" s="663"/>
      <c r="AR277" s="663"/>
      <c r="AS277" s="663"/>
      <c r="AT277" s="663"/>
      <c r="AU277" s="663"/>
      <c r="AV277" s="663"/>
      <c r="AW277" s="663"/>
      <c r="AX277" s="663"/>
      <c r="AY277" s="663"/>
      <c r="AZ277" s="663"/>
      <c r="BA277" s="663"/>
      <c r="BB277" s="663"/>
      <c r="BC277" s="663"/>
      <c r="BD277" s="663"/>
      <c r="BE277" s="663"/>
      <c r="BF277" s="663"/>
      <c r="BG277" s="663"/>
      <c r="BH277" s="663"/>
      <c r="BI277" s="663"/>
      <c r="BJ277" s="663"/>
      <c r="BK277" s="663"/>
      <c r="BL277" s="663"/>
      <c r="BM277" s="663"/>
      <c r="BN277" s="663"/>
      <c r="BO277" s="663"/>
      <c r="BP277" s="663"/>
      <c r="BQ277" s="663"/>
      <c r="BR277" s="663"/>
      <c r="BS277" s="663"/>
      <c r="BT277" s="663"/>
      <c r="BU277" s="663"/>
      <c r="BV277" s="663"/>
      <c r="BW277" s="663"/>
      <c r="BX277" s="663"/>
      <c r="BY277" s="663"/>
      <c r="BZ277" s="663"/>
      <c r="CA277" s="663"/>
      <c r="CB277" s="663"/>
      <c r="CC277" s="663"/>
      <c r="CD277" s="663"/>
      <c r="CE277" s="663"/>
      <c r="CF277" s="663"/>
      <c r="CG277" s="663"/>
      <c r="CH277" s="663"/>
      <c r="CI277" s="663"/>
      <c r="CJ277" s="663"/>
      <c r="CK277" s="663"/>
      <c r="CL277" s="663"/>
      <c r="CM277" s="663"/>
      <c r="CN277" s="663"/>
      <c r="CO277" s="663"/>
      <c r="CP277" s="663"/>
      <c r="CQ277" s="663"/>
      <c r="CR277" s="663"/>
      <c r="CS277" s="663"/>
      <c r="CT277" s="663"/>
      <c r="CU277" s="663"/>
      <c r="CV277" s="663"/>
      <c r="CW277" s="663"/>
      <c r="CX277" s="663"/>
      <c r="CY277" s="663"/>
      <c r="CZ277" s="663"/>
      <c r="DA277" s="663"/>
      <c r="DB277" s="663"/>
      <c r="DC277" s="663"/>
      <c r="DD277" s="663"/>
      <c r="DE277" s="663"/>
      <c r="DF277" s="663"/>
      <c r="DG277" s="663"/>
      <c r="DH277" s="663"/>
      <c r="DI277" s="663"/>
      <c r="DJ277" s="663"/>
      <c r="DK277" s="663"/>
      <c r="DL277" s="663"/>
      <c r="DM277" s="663"/>
      <c r="DN277" s="663"/>
      <c r="DO277" s="663"/>
      <c r="DP277" s="663"/>
      <c r="DQ277" s="663"/>
      <c r="DR277" s="663"/>
      <c r="DS277" s="663"/>
      <c r="DT277" s="663"/>
      <c r="DU277" s="663"/>
      <c r="DV277" s="663"/>
      <c r="DW277" s="663"/>
      <c r="DX277" s="663"/>
      <c r="DY277" s="663"/>
      <c r="DZ277" s="663"/>
      <c r="EA277" s="663"/>
      <c r="EB277" s="663"/>
      <c r="EC277" s="663"/>
      <c r="ED277" s="663"/>
      <c r="EE277" s="663"/>
      <c r="EF277" s="663"/>
      <c r="EG277" s="663"/>
      <c r="EH277" s="663"/>
      <c r="EI277" s="663"/>
      <c r="EJ277" s="663"/>
      <c r="EK277" s="663"/>
      <c r="EL277" s="663"/>
      <c r="EM277" s="663"/>
      <c r="EN277" s="663"/>
      <c r="EO277" s="663"/>
      <c r="EP277" s="663"/>
      <c r="EQ277" s="663"/>
      <c r="ER277" s="663"/>
      <c r="ES277" s="663"/>
      <c r="ET277" s="663"/>
      <c r="EU277" s="663"/>
      <c r="EV277" s="663"/>
      <c r="EW277" s="663"/>
      <c r="EX277" s="663"/>
      <c r="EY277" s="663"/>
      <c r="EZ277" s="663"/>
      <c r="FA277" s="663"/>
      <c r="FB277" s="663"/>
      <c r="FC277" s="663"/>
      <c r="FD277" s="663"/>
      <c r="FE277" s="663"/>
      <c r="FF277" s="663"/>
      <c r="FG277" s="663"/>
      <c r="FH277" s="663"/>
      <c r="FI277" s="663"/>
      <c r="FJ277" s="663"/>
      <c r="FK277" s="663"/>
      <c r="FL277" s="663"/>
      <c r="FM277" s="663"/>
      <c r="FN277" s="663"/>
      <c r="FO277" s="663"/>
      <c r="FP277" s="663"/>
      <c r="FQ277" s="663"/>
      <c r="FR277" s="663"/>
      <c r="FS277" s="663"/>
      <c r="FT277" s="663"/>
      <c r="FU277" s="663"/>
      <c r="FV277" s="663"/>
      <c r="FW277" s="663"/>
      <c r="FX277" s="663"/>
      <c r="FY277" s="663"/>
      <c r="FZ277" s="663"/>
      <c r="GA277" s="663"/>
      <c r="GB277" s="663"/>
      <c r="GC277" s="663"/>
      <c r="GD277" s="663"/>
      <c r="GE277" s="663"/>
      <c r="GF277" s="663"/>
      <c r="GG277" s="663"/>
    </row>
    <row r="278" spans="1:189">
      <c r="A278" s="670"/>
      <c r="B278" s="670"/>
      <c r="C278" s="670"/>
      <c r="D278" s="670"/>
      <c r="E278" s="670"/>
      <c r="F278" s="670"/>
      <c r="G278" s="671"/>
      <c r="H278" s="626"/>
      <c r="I278" s="626"/>
      <c r="J278" s="672"/>
      <c r="K278" s="663"/>
      <c r="L278" s="663"/>
      <c r="M278" s="663"/>
      <c r="N278" s="663"/>
      <c r="O278" s="663"/>
      <c r="P278" s="663"/>
      <c r="Q278" s="663"/>
      <c r="R278" s="663"/>
      <c r="S278" s="663"/>
      <c r="T278" s="663"/>
      <c r="U278" s="663"/>
      <c r="V278" s="663"/>
      <c r="W278" s="663"/>
      <c r="X278" s="663"/>
      <c r="Y278" s="663"/>
      <c r="Z278" s="663"/>
      <c r="AA278" s="663"/>
      <c r="AB278" s="663"/>
      <c r="AC278" s="663"/>
      <c r="AD278" s="663"/>
      <c r="AE278" s="663"/>
      <c r="AF278" s="663"/>
      <c r="AG278" s="663"/>
      <c r="AH278" s="663"/>
      <c r="AI278" s="663"/>
      <c r="AJ278" s="663"/>
      <c r="AK278" s="663"/>
      <c r="AL278" s="663"/>
      <c r="AM278" s="663"/>
      <c r="AN278" s="663"/>
      <c r="AO278" s="663"/>
      <c r="AP278" s="663"/>
      <c r="AQ278" s="663"/>
      <c r="AR278" s="663"/>
      <c r="AS278" s="663"/>
      <c r="AT278" s="663"/>
      <c r="AU278" s="663"/>
      <c r="AV278" s="663"/>
      <c r="AW278" s="663"/>
      <c r="AX278" s="663"/>
      <c r="AY278" s="663"/>
      <c r="AZ278" s="663"/>
      <c r="BA278" s="663"/>
      <c r="BB278" s="663"/>
      <c r="BC278" s="663"/>
      <c r="BD278" s="663"/>
      <c r="BE278" s="663"/>
      <c r="BF278" s="663"/>
      <c r="BG278" s="663"/>
      <c r="BH278" s="663"/>
      <c r="BI278" s="663"/>
      <c r="BJ278" s="663"/>
      <c r="BK278" s="663"/>
      <c r="BL278" s="663"/>
      <c r="BM278" s="663"/>
      <c r="BN278" s="663"/>
      <c r="BO278" s="663"/>
      <c r="BP278" s="663"/>
      <c r="BQ278" s="663"/>
      <c r="BR278" s="663"/>
      <c r="BS278" s="663"/>
      <c r="BT278" s="663"/>
      <c r="BU278" s="663"/>
      <c r="BV278" s="663"/>
      <c r="BW278" s="663"/>
      <c r="BX278" s="663"/>
      <c r="BY278" s="663"/>
      <c r="BZ278" s="663"/>
      <c r="CA278" s="663"/>
      <c r="CB278" s="663"/>
      <c r="CC278" s="663"/>
      <c r="CD278" s="663"/>
      <c r="CE278" s="663"/>
      <c r="CF278" s="663"/>
      <c r="CG278" s="663"/>
      <c r="CH278" s="663"/>
      <c r="CI278" s="663"/>
      <c r="CJ278" s="663"/>
      <c r="CK278" s="663"/>
      <c r="CL278" s="663"/>
      <c r="CM278" s="663"/>
      <c r="CN278" s="663"/>
      <c r="CO278" s="663"/>
      <c r="CP278" s="663"/>
      <c r="CQ278" s="663"/>
      <c r="CR278" s="663"/>
      <c r="CS278" s="663"/>
      <c r="CT278" s="663"/>
      <c r="CU278" s="663"/>
      <c r="CV278" s="663"/>
      <c r="CW278" s="663"/>
      <c r="CX278" s="663"/>
      <c r="CY278" s="663"/>
      <c r="CZ278" s="663"/>
      <c r="DA278" s="663"/>
      <c r="DB278" s="663"/>
      <c r="DC278" s="663"/>
      <c r="DD278" s="663"/>
      <c r="DE278" s="663"/>
      <c r="DF278" s="663"/>
      <c r="DG278" s="663"/>
      <c r="DH278" s="663"/>
      <c r="DI278" s="663"/>
      <c r="DJ278" s="663"/>
      <c r="DK278" s="663"/>
      <c r="DL278" s="663"/>
      <c r="DM278" s="663"/>
      <c r="DN278" s="663"/>
      <c r="DO278" s="663"/>
      <c r="DP278" s="663"/>
      <c r="DQ278" s="663"/>
      <c r="DR278" s="663"/>
      <c r="DS278" s="663"/>
      <c r="DT278" s="663"/>
      <c r="DU278" s="663"/>
      <c r="DV278" s="663"/>
      <c r="DW278" s="663"/>
      <c r="DX278" s="663"/>
      <c r="DY278" s="663"/>
      <c r="DZ278" s="663"/>
      <c r="EA278" s="663"/>
      <c r="EB278" s="663"/>
      <c r="EC278" s="663"/>
      <c r="ED278" s="663"/>
      <c r="EE278" s="663"/>
      <c r="EF278" s="663"/>
      <c r="EG278" s="663"/>
      <c r="EH278" s="663"/>
      <c r="EI278" s="663"/>
      <c r="EJ278" s="663"/>
      <c r="EK278" s="663"/>
      <c r="EL278" s="663"/>
      <c r="EM278" s="663"/>
      <c r="EN278" s="663"/>
      <c r="EO278" s="663"/>
      <c r="EP278" s="663"/>
      <c r="EQ278" s="663"/>
      <c r="ER278" s="663"/>
      <c r="ES278" s="663"/>
      <c r="ET278" s="663"/>
      <c r="EU278" s="663"/>
      <c r="EV278" s="663"/>
      <c r="EW278" s="663"/>
      <c r="EX278" s="663"/>
      <c r="EY278" s="663"/>
      <c r="EZ278" s="663"/>
      <c r="FA278" s="663"/>
      <c r="FB278" s="663"/>
      <c r="FC278" s="663"/>
      <c r="FD278" s="663"/>
      <c r="FE278" s="663"/>
      <c r="FF278" s="663"/>
      <c r="FG278" s="663"/>
      <c r="FH278" s="663"/>
      <c r="FI278" s="663"/>
      <c r="FJ278" s="663"/>
      <c r="FK278" s="663"/>
      <c r="FL278" s="663"/>
      <c r="FM278" s="663"/>
      <c r="FN278" s="663"/>
      <c r="FO278" s="663"/>
      <c r="FP278" s="663"/>
      <c r="FQ278" s="663"/>
      <c r="FR278" s="663"/>
      <c r="FS278" s="663"/>
      <c r="FT278" s="663"/>
      <c r="FU278" s="663"/>
      <c r="FV278" s="663"/>
      <c r="FW278" s="663"/>
      <c r="FX278" s="663"/>
      <c r="FY278" s="663"/>
      <c r="FZ278" s="663"/>
      <c r="GA278" s="663"/>
      <c r="GB278" s="663"/>
      <c r="GC278" s="663"/>
      <c r="GD278" s="663"/>
      <c r="GE278" s="663"/>
      <c r="GF278" s="663"/>
      <c r="GG278" s="663"/>
    </row>
    <row r="279" spans="1:189">
      <c r="A279" s="670"/>
      <c r="B279" s="670"/>
      <c r="C279" s="670"/>
      <c r="D279" s="670"/>
      <c r="E279" s="670"/>
      <c r="F279" s="670"/>
      <c r="G279" s="671"/>
      <c r="H279" s="626"/>
      <c r="I279" s="626"/>
      <c r="J279" s="672"/>
      <c r="K279" s="663"/>
      <c r="L279" s="663"/>
      <c r="M279" s="663"/>
      <c r="N279" s="663"/>
      <c r="O279" s="663"/>
      <c r="P279" s="663"/>
      <c r="Q279" s="663"/>
      <c r="R279" s="663"/>
      <c r="S279" s="663"/>
      <c r="T279" s="663"/>
      <c r="U279" s="663"/>
      <c r="V279" s="663"/>
      <c r="W279" s="663"/>
      <c r="X279" s="663"/>
      <c r="Y279" s="663"/>
      <c r="Z279" s="663"/>
      <c r="AA279" s="663"/>
      <c r="AB279" s="663"/>
      <c r="AC279" s="663"/>
      <c r="AD279" s="663"/>
      <c r="AE279" s="663"/>
      <c r="AF279" s="663"/>
      <c r="AG279" s="663"/>
      <c r="AH279" s="663"/>
      <c r="AI279" s="663"/>
      <c r="AJ279" s="663"/>
      <c r="AK279" s="663"/>
      <c r="AL279" s="663"/>
      <c r="AM279" s="663"/>
      <c r="AN279" s="663"/>
      <c r="AO279" s="663"/>
      <c r="AP279" s="663"/>
      <c r="AQ279" s="663"/>
      <c r="AR279" s="663"/>
      <c r="AS279" s="663"/>
      <c r="AT279" s="663"/>
      <c r="AU279" s="663"/>
      <c r="AV279" s="663"/>
      <c r="AW279" s="663"/>
      <c r="AX279" s="663"/>
      <c r="AY279" s="663"/>
      <c r="AZ279" s="663"/>
      <c r="BA279" s="663"/>
      <c r="BB279" s="663"/>
      <c r="BC279" s="663"/>
      <c r="BD279" s="663"/>
      <c r="BE279" s="663"/>
      <c r="BF279" s="663"/>
      <c r="BG279" s="663"/>
      <c r="BH279" s="663"/>
      <c r="BI279" s="663"/>
      <c r="BJ279" s="663"/>
      <c r="BK279" s="663"/>
      <c r="BL279" s="663"/>
      <c r="BM279" s="663"/>
      <c r="BN279" s="663"/>
      <c r="BO279" s="663"/>
      <c r="BP279" s="663"/>
      <c r="BQ279" s="663"/>
      <c r="BR279" s="663"/>
      <c r="BS279" s="663"/>
      <c r="BT279" s="663"/>
      <c r="BU279" s="663"/>
      <c r="BV279" s="663"/>
      <c r="BW279" s="663"/>
      <c r="BX279" s="663"/>
      <c r="BY279" s="663"/>
      <c r="BZ279" s="663"/>
      <c r="CA279" s="663"/>
      <c r="CB279" s="663"/>
      <c r="CC279" s="663"/>
      <c r="CD279" s="663"/>
      <c r="CE279" s="663"/>
      <c r="CF279" s="663"/>
      <c r="CG279" s="663"/>
      <c r="CH279" s="663"/>
      <c r="CI279" s="663"/>
      <c r="CJ279" s="663"/>
      <c r="CK279" s="663"/>
      <c r="CL279" s="663"/>
      <c r="CM279" s="663"/>
      <c r="CN279" s="663"/>
      <c r="CO279" s="663"/>
      <c r="CP279" s="663"/>
      <c r="CQ279" s="663"/>
      <c r="CR279" s="663"/>
      <c r="CS279" s="663"/>
      <c r="CT279" s="663"/>
      <c r="CU279" s="663"/>
      <c r="CV279" s="663"/>
      <c r="CW279" s="663"/>
      <c r="CX279" s="663"/>
      <c r="CY279" s="663"/>
      <c r="CZ279" s="663"/>
      <c r="DA279" s="663"/>
      <c r="DB279" s="663"/>
      <c r="DC279" s="663"/>
      <c r="DD279" s="663"/>
      <c r="DE279" s="663"/>
      <c r="DF279" s="663"/>
      <c r="DG279" s="663"/>
      <c r="DH279" s="663"/>
      <c r="DI279" s="663"/>
      <c r="DJ279" s="663"/>
      <c r="DK279" s="663"/>
      <c r="DL279" s="663"/>
      <c r="DM279" s="663"/>
      <c r="DN279" s="663"/>
      <c r="DO279" s="663"/>
      <c r="DP279" s="663"/>
      <c r="DQ279" s="663"/>
      <c r="DR279" s="663"/>
      <c r="DS279" s="663"/>
      <c r="DT279" s="663"/>
      <c r="DU279" s="663"/>
      <c r="DV279" s="663"/>
      <c r="DW279" s="663"/>
      <c r="DX279" s="663"/>
      <c r="DY279" s="663"/>
      <c r="DZ279" s="663"/>
      <c r="EA279" s="663"/>
      <c r="EB279" s="663"/>
      <c r="EC279" s="663"/>
      <c r="ED279" s="663"/>
      <c r="EE279" s="663"/>
      <c r="EF279" s="663"/>
      <c r="EG279" s="663"/>
      <c r="EH279" s="663"/>
      <c r="EI279" s="663"/>
      <c r="EJ279" s="663"/>
      <c r="EK279" s="663"/>
      <c r="EL279" s="663"/>
      <c r="EM279" s="663"/>
      <c r="EN279" s="663"/>
      <c r="EO279" s="663"/>
      <c r="EP279" s="663"/>
      <c r="EQ279" s="663"/>
      <c r="ER279" s="663"/>
      <c r="ES279" s="663"/>
      <c r="ET279" s="663"/>
      <c r="EU279" s="663"/>
      <c r="EV279" s="663"/>
      <c r="EW279" s="663"/>
      <c r="EX279" s="663"/>
      <c r="EY279" s="663"/>
      <c r="EZ279" s="663"/>
      <c r="FA279" s="663"/>
      <c r="FB279" s="663"/>
      <c r="FC279" s="663"/>
      <c r="FD279" s="663"/>
      <c r="FE279" s="663"/>
      <c r="FF279" s="663"/>
      <c r="FG279" s="663"/>
      <c r="FH279" s="663"/>
      <c r="FI279" s="663"/>
      <c r="FJ279" s="663"/>
      <c r="FK279" s="663"/>
      <c r="FL279" s="663"/>
      <c r="FM279" s="663"/>
      <c r="FN279" s="663"/>
      <c r="FO279" s="663"/>
      <c r="FP279" s="663"/>
      <c r="FQ279" s="663"/>
      <c r="FR279" s="663"/>
      <c r="FS279" s="663"/>
      <c r="FT279" s="663"/>
      <c r="FU279" s="663"/>
      <c r="FV279" s="663"/>
      <c r="FW279" s="663"/>
      <c r="FX279" s="663"/>
      <c r="FY279" s="663"/>
      <c r="FZ279" s="663"/>
      <c r="GA279" s="663"/>
      <c r="GB279" s="663"/>
      <c r="GC279" s="663"/>
      <c r="GD279" s="663"/>
      <c r="GE279" s="663"/>
      <c r="GF279" s="663"/>
      <c r="GG279" s="663"/>
    </row>
    <row r="280" spans="1:189">
      <c r="A280" s="670"/>
      <c r="B280" s="670"/>
      <c r="C280" s="670"/>
      <c r="D280" s="670"/>
      <c r="E280" s="670"/>
      <c r="F280" s="670"/>
      <c r="G280" s="671"/>
      <c r="H280" s="626"/>
      <c r="I280" s="626"/>
      <c r="J280" s="672"/>
      <c r="K280" s="663"/>
      <c r="L280" s="663"/>
      <c r="M280" s="663"/>
      <c r="N280" s="663"/>
      <c r="O280" s="663"/>
      <c r="P280" s="663"/>
      <c r="Q280" s="663"/>
      <c r="R280" s="663"/>
      <c r="S280" s="663"/>
      <c r="T280" s="663"/>
      <c r="U280" s="663"/>
      <c r="V280" s="663"/>
      <c r="W280" s="663"/>
      <c r="X280" s="663"/>
      <c r="Y280" s="663"/>
      <c r="Z280" s="663"/>
      <c r="AA280" s="663"/>
      <c r="AB280" s="663"/>
      <c r="AC280" s="663"/>
      <c r="AD280" s="663"/>
      <c r="AE280" s="663"/>
      <c r="AF280" s="663"/>
      <c r="AG280" s="663"/>
      <c r="AH280" s="663"/>
      <c r="AI280" s="663"/>
      <c r="AJ280" s="663"/>
      <c r="AK280" s="663"/>
      <c r="AL280" s="663"/>
      <c r="AM280" s="663"/>
      <c r="AN280" s="663"/>
      <c r="AO280" s="663"/>
      <c r="AP280" s="663"/>
      <c r="AQ280" s="663"/>
      <c r="AR280" s="663"/>
      <c r="AS280" s="663"/>
      <c r="AT280" s="663"/>
      <c r="AU280" s="663"/>
      <c r="AV280" s="663"/>
      <c r="AW280" s="663"/>
      <c r="AX280" s="663"/>
      <c r="AY280" s="663"/>
      <c r="AZ280" s="663"/>
      <c r="BA280" s="663"/>
      <c r="BB280" s="663"/>
      <c r="BC280" s="663"/>
      <c r="BD280" s="663"/>
      <c r="BE280" s="663"/>
      <c r="BF280" s="663"/>
      <c r="BG280" s="663"/>
      <c r="BH280" s="663"/>
      <c r="BI280" s="663"/>
      <c r="BJ280" s="663"/>
      <c r="BK280" s="663"/>
      <c r="BL280" s="663"/>
      <c r="BM280" s="663"/>
      <c r="BN280" s="663"/>
      <c r="BO280" s="663"/>
      <c r="BP280" s="663"/>
      <c r="BQ280" s="663"/>
      <c r="BR280" s="663"/>
      <c r="BS280" s="663"/>
      <c r="BT280" s="663"/>
      <c r="BU280" s="663"/>
      <c r="BV280" s="663"/>
      <c r="BW280" s="663"/>
      <c r="BX280" s="663"/>
      <c r="BY280" s="663"/>
      <c r="BZ280" s="663"/>
      <c r="CA280" s="663"/>
      <c r="CB280" s="663"/>
      <c r="CC280" s="663"/>
      <c r="CD280" s="663"/>
      <c r="CE280" s="663"/>
      <c r="CF280" s="663"/>
      <c r="CG280" s="663"/>
      <c r="CH280" s="663"/>
      <c r="CI280" s="663"/>
      <c r="CJ280" s="663"/>
      <c r="CK280" s="663"/>
      <c r="CL280" s="663"/>
      <c r="CM280" s="663"/>
      <c r="CN280" s="663"/>
      <c r="CO280" s="663"/>
      <c r="CP280" s="663"/>
      <c r="CQ280" s="663"/>
      <c r="CR280" s="663"/>
      <c r="CS280" s="663"/>
      <c r="CT280" s="663"/>
      <c r="CU280" s="663"/>
      <c r="CV280" s="663"/>
      <c r="CW280" s="663"/>
      <c r="CX280" s="663"/>
      <c r="CY280" s="663"/>
      <c r="CZ280" s="663"/>
      <c r="DA280" s="663"/>
      <c r="DB280" s="663"/>
      <c r="DC280" s="663"/>
      <c r="DD280" s="663"/>
      <c r="DE280" s="663"/>
      <c r="DF280" s="663"/>
      <c r="DG280" s="663"/>
      <c r="DH280" s="663"/>
      <c r="DI280" s="663"/>
      <c r="DJ280" s="663"/>
      <c r="DK280" s="663"/>
      <c r="DL280" s="663"/>
      <c r="DM280" s="663"/>
      <c r="DN280" s="663"/>
      <c r="DO280" s="663"/>
      <c r="DP280" s="663"/>
      <c r="DQ280" s="663"/>
      <c r="DR280" s="663"/>
      <c r="DS280" s="663"/>
      <c r="DT280" s="663"/>
      <c r="DU280" s="663"/>
      <c r="DV280" s="663"/>
      <c r="DW280" s="663"/>
      <c r="DX280" s="663"/>
      <c r="DY280" s="663"/>
      <c r="DZ280" s="663"/>
      <c r="EA280" s="663"/>
      <c r="EB280" s="663"/>
      <c r="EC280" s="663"/>
      <c r="ED280" s="663"/>
      <c r="EE280" s="663"/>
      <c r="EF280" s="663"/>
      <c r="EG280" s="663"/>
      <c r="EH280" s="663"/>
      <c r="EI280" s="663"/>
      <c r="EJ280" s="663"/>
      <c r="EK280" s="663"/>
      <c r="EL280" s="663"/>
      <c r="EM280" s="663"/>
      <c r="EN280" s="663"/>
      <c r="EO280" s="663"/>
      <c r="EP280" s="663"/>
      <c r="EQ280" s="663"/>
      <c r="ER280" s="663"/>
      <c r="ES280" s="663"/>
      <c r="ET280" s="663"/>
      <c r="EU280" s="663"/>
      <c r="EV280" s="663"/>
      <c r="EW280" s="663"/>
      <c r="EX280" s="663"/>
      <c r="EY280" s="663"/>
      <c r="EZ280" s="663"/>
      <c r="FA280" s="663"/>
      <c r="FB280" s="663"/>
      <c r="FC280" s="663"/>
      <c r="FD280" s="663"/>
      <c r="FE280" s="663"/>
      <c r="FF280" s="663"/>
      <c r="FG280" s="663"/>
      <c r="FH280" s="663"/>
      <c r="FI280" s="663"/>
      <c r="FJ280" s="663"/>
      <c r="FK280" s="663"/>
      <c r="FL280" s="663"/>
      <c r="FM280" s="663"/>
      <c r="FN280" s="663"/>
      <c r="FO280" s="663"/>
      <c r="FP280" s="663"/>
      <c r="FQ280" s="663"/>
      <c r="FR280" s="663"/>
      <c r="FS280" s="663"/>
      <c r="FT280" s="663"/>
      <c r="FU280" s="663"/>
      <c r="FV280" s="663"/>
      <c r="FW280" s="663"/>
      <c r="FX280" s="663"/>
      <c r="FY280" s="663"/>
      <c r="FZ280" s="663"/>
      <c r="GA280" s="663"/>
      <c r="GB280" s="663"/>
      <c r="GC280" s="663"/>
      <c r="GD280" s="663"/>
      <c r="GE280" s="663"/>
      <c r="GF280" s="663"/>
      <c r="GG280" s="663"/>
    </row>
    <row r="281" spans="1:189">
      <c r="A281" s="670"/>
      <c r="B281" s="670"/>
      <c r="C281" s="670"/>
      <c r="D281" s="670"/>
      <c r="E281" s="670"/>
      <c r="F281" s="670"/>
      <c r="G281" s="671"/>
      <c r="H281" s="626"/>
      <c r="I281" s="626"/>
      <c r="J281" s="672"/>
      <c r="K281" s="663"/>
      <c r="L281" s="663"/>
      <c r="M281" s="663"/>
      <c r="N281" s="663"/>
      <c r="O281" s="663"/>
      <c r="P281" s="663"/>
      <c r="Q281" s="663"/>
      <c r="R281" s="663"/>
      <c r="S281" s="663"/>
      <c r="T281" s="663"/>
      <c r="U281" s="663"/>
      <c r="V281" s="663"/>
      <c r="W281" s="663"/>
      <c r="X281" s="663"/>
      <c r="Y281" s="663"/>
      <c r="Z281" s="663"/>
      <c r="AA281" s="663"/>
      <c r="AB281" s="663"/>
      <c r="AC281" s="663"/>
      <c r="AD281" s="663"/>
      <c r="AE281" s="663"/>
      <c r="AF281" s="663"/>
      <c r="AG281" s="663"/>
      <c r="AH281" s="663"/>
      <c r="AI281" s="663"/>
      <c r="AJ281" s="663"/>
      <c r="AK281" s="663"/>
      <c r="AL281" s="663"/>
      <c r="AM281" s="663"/>
      <c r="AN281" s="663"/>
      <c r="AO281" s="663"/>
      <c r="AP281" s="663"/>
      <c r="AQ281" s="663"/>
      <c r="AR281" s="663"/>
      <c r="AS281" s="663"/>
      <c r="AT281" s="663"/>
      <c r="AU281" s="663"/>
      <c r="AV281" s="663"/>
      <c r="AW281" s="663"/>
      <c r="AX281" s="663"/>
      <c r="AY281" s="663"/>
      <c r="AZ281" s="663"/>
      <c r="BA281" s="663"/>
      <c r="BB281" s="663"/>
      <c r="BC281" s="663"/>
      <c r="BD281" s="663"/>
      <c r="BE281" s="663"/>
      <c r="BF281" s="663"/>
      <c r="BG281" s="663"/>
      <c r="BH281" s="663"/>
      <c r="BI281" s="663"/>
      <c r="BJ281" s="663"/>
      <c r="BK281" s="663"/>
      <c r="BL281" s="663"/>
      <c r="BM281" s="663"/>
      <c r="BN281" s="663"/>
      <c r="BO281" s="663"/>
      <c r="BP281" s="663"/>
      <c r="BQ281" s="663"/>
      <c r="BR281" s="663"/>
      <c r="BS281" s="663"/>
      <c r="BT281" s="663"/>
      <c r="BU281" s="663"/>
      <c r="BV281" s="663"/>
      <c r="BW281" s="663"/>
      <c r="BX281" s="663"/>
      <c r="BY281" s="663"/>
      <c r="BZ281" s="663"/>
      <c r="CA281" s="663"/>
      <c r="CB281" s="663"/>
      <c r="CC281" s="663"/>
      <c r="CD281" s="663"/>
      <c r="CE281" s="663"/>
      <c r="CF281" s="663"/>
      <c r="CG281" s="663"/>
      <c r="CH281" s="663"/>
      <c r="CI281" s="663"/>
      <c r="CJ281" s="663"/>
      <c r="CK281" s="663"/>
      <c r="CL281" s="663"/>
      <c r="CM281" s="663"/>
      <c r="CN281" s="663"/>
      <c r="CO281" s="663"/>
      <c r="CP281" s="663"/>
      <c r="CQ281" s="663"/>
      <c r="CR281" s="663"/>
      <c r="CS281" s="663"/>
      <c r="CT281" s="663"/>
      <c r="CU281" s="663"/>
      <c r="CV281" s="663"/>
      <c r="CW281" s="663"/>
      <c r="CX281" s="663"/>
      <c r="CY281" s="663"/>
      <c r="CZ281" s="663"/>
      <c r="DA281" s="663"/>
      <c r="DB281" s="663"/>
      <c r="DC281" s="663"/>
      <c r="DD281" s="663"/>
      <c r="DE281" s="663"/>
      <c r="DF281" s="663"/>
      <c r="DG281" s="663"/>
      <c r="DH281" s="663"/>
      <c r="DI281" s="663"/>
      <c r="DJ281" s="663"/>
      <c r="DK281" s="663"/>
      <c r="DL281" s="663"/>
      <c r="DM281" s="663"/>
      <c r="DN281" s="663"/>
      <c r="DO281" s="663"/>
      <c r="DP281" s="663"/>
      <c r="DQ281" s="663"/>
      <c r="DR281" s="663"/>
      <c r="DS281" s="663"/>
      <c r="DT281" s="663"/>
      <c r="DU281" s="663"/>
      <c r="DV281" s="663"/>
      <c r="DW281" s="663"/>
      <c r="DX281" s="663"/>
      <c r="DY281" s="663"/>
      <c r="DZ281" s="663"/>
      <c r="EA281" s="663"/>
      <c r="EB281" s="663"/>
      <c r="EC281" s="663"/>
      <c r="ED281" s="663"/>
      <c r="EE281" s="663"/>
      <c r="EF281" s="663"/>
      <c r="EG281" s="663"/>
      <c r="EH281" s="663"/>
      <c r="EI281" s="663"/>
      <c r="EJ281" s="663"/>
      <c r="EK281" s="663"/>
      <c r="EL281" s="663"/>
      <c r="EM281" s="663"/>
      <c r="EN281" s="663"/>
      <c r="EO281" s="663"/>
      <c r="EP281" s="663"/>
      <c r="EQ281" s="663"/>
      <c r="ER281" s="663"/>
      <c r="ES281" s="663"/>
      <c r="ET281" s="663"/>
      <c r="EU281" s="663"/>
      <c r="EV281" s="663"/>
      <c r="EW281" s="663"/>
      <c r="EX281" s="663"/>
      <c r="EY281" s="663"/>
      <c r="EZ281" s="663"/>
      <c r="FA281" s="663"/>
      <c r="FB281" s="663"/>
      <c r="FC281" s="663"/>
      <c r="FD281" s="663"/>
      <c r="FE281" s="663"/>
      <c r="FF281" s="663"/>
      <c r="FG281" s="663"/>
      <c r="FH281" s="663"/>
      <c r="FI281" s="663"/>
      <c r="FJ281" s="663"/>
      <c r="FK281" s="663"/>
      <c r="FL281" s="663"/>
      <c r="FM281" s="663"/>
      <c r="FN281" s="663"/>
      <c r="FO281" s="663"/>
      <c r="FP281" s="663"/>
      <c r="FQ281" s="663"/>
      <c r="FR281" s="663"/>
      <c r="FS281" s="663"/>
      <c r="FT281" s="663"/>
      <c r="FU281" s="663"/>
      <c r="FV281" s="663"/>
      <c r="FW281" s="663"/>
      <c r="FX281" s="663"/>
      <c r="FY281" s="663"/>
      <c r="FZ281" s="663"/>
      <c r="GA281" s="663"/>
      <c r="GB281" s="663"/>
      <c r="GC281" s="663"/>
      <c r="GD281" s="663"/>
      <c r="GE281" s="663"/>
      <c r="GF281" s="663"/>
      <c r="GG281" s="663"/>
    </row>
    <row r="282" spans="1:189">
      <c r="A282" s="670"/>
      <c r="B282" s="670"/>
      <c r="C282" s="670"/>
      <c r="D282" s="670"/>
      <c r="E282" s="670"/>
      <c r="F282" s="670"/>
      <c r="G282" s="671"/>
      <c r="H282" s="626"/>
      <c r="I282" s="626"/>
      <c r="J282" s="672"/>
      <c r="K282" s="663"/>
      <c r="L282" s="663"/>
      <c r="M282" s="663"/>
      <c r="N282" s="663"/>
      <c r="O282" s="663"/>
      <c r="P282" s="663"/>
      <c r="Q282" s="663"/>
      <c r="R282" s="663"/>
      <c r="S282" s="663"/>
      <c r="T282" s="663"/>
      <c r="U282" s="663"/>
      <c r="V282" s="663"/>
      <c r="W282" s="663"/>
      <c r="X282" s="663"/>
      <c r="Y282" s="663"/>
      <c r="Z282" s="663"/>
      <c r="AA282" s="663"/>
      <c r="AB282" s="663"/>
      <c r="AC282" s="663"/>
      <c r="AD282" s="663"/>
      <c r="AE282" s="663"/>
      <c r="AF282" s="663"/>
      <c r="AG282" s="663"/>
      <c r="AH282" s="663"/>
      <c r="AI282" s="663"/>
      <c r="AJ282" s="663"/>
      <c r="AK282" s="663"/>
      <c r="AL282" s="663"/>
      <c r="AM282" s="663"/>
      <c r="AN282" s="663"/>
      <c r="AO282" s="663"/>
      <c r="AP282" s="663"/>
      <c r="AQ282" s="663"/>
      <c r="AR282" s="663"/>
      <c r="AS282" s="663"/>
      <c r="AT282" s="663"/>
      <c r="AU282" s="663"/>
      <c r="AV282" s="663"/>
      <c r="AW282" s="663"/>
      <c r="AX282" s="663"/>
      <c r="AY282" s="663"/>
      <c r="AZ282" s="663"/>
      <c r="BA282" s="663"/>
      <c r="BB282" s="663"/>
      <c r="BC282" s="663"/>
      <c r="BD282" s="663"/>
      <c r="BE282" s="663"/>
      <c r="BF282" s="663"/>
      <c r="BG282" s="663"/>
      <c r="BH282" s="663"/>
      <c r="BI282" s="663"/>
      <c r="BJ282" s="663"/>
      <c r="BK282" s="663"/>
      <c r="BL282" s="663"/>
      <c r="BM282" s="663"/>
      <c r="BN282" s="663"/>
      <c r="BO282" s="663"/>
      <c r="BP282" s="663"/>
      <c r="BQ282" s="663"/>
      <c r="BR282" s="663"/>
      <c r="BS282" s="663"/>
      <c r="BT282" s="663"/>
      <c r="BU282" s="663"/>
      <c r="BV282" s="663"/>
      <c r="BW282" s="663"/>
      <c r="BX282" s="663"/>
      <c r="BY282" s="663"/>
      <c r="BZ282" s="663"/>
      <c r="CA282" s="663"/>
      <c r="CB282" s="663"/>
      <c r="CC282" s="663"/>
      <c r="CD282" s="663"/>
      <c r="CE282" s="663"/>
      <c r="CF282" s="663"/>
      <c r="CG282" s="663"/>
      <c r="CH282" s="663"/>
      <c r="CI282" s="663"/>
      <c r="CJ282" s="663"/>
      <c r="CK282" s="663"/>
      <c r="CL282" s="663"/>
      <c r="CM282" s="663"/>
      <c r="CN282" s="663"/>
      <c r="CO282" s="663"/>
      <c r="CP282" s="663"/>
      <c r="CQ282" s="663"/>
      <c r="CR282" s="663"/>
      <c r="CS282" s="663"/>
      <c r="CT282" s="663"/>
      <c r="CU282" s="663"/>
      <c r="CV282" s="663"/>
      <c r="CW282" s="663"/>
      <c r="CX282" s="663"/>
      <c r="CY282" s="663"/>
      <c r="CZ282" s="663"/>
      <c r="DA282" s="663"/>
      <c r="DB282" s="663"/>
      <c r="DC282" s="663"/>
      <c r="DD282" s="663"/>
      <c r="DE282" s="663"/>
      <c r="DF282" s="663"/>
      <c r="DG282" s="663"/>
      <c r="DH282" s="663"/>
      <c r="DI282" s="663"/>
      <c r="DJ282" s="663"/>
      <c r="DK282" s="663"/>
      <c r="DL282" s="663"/>
      <c r="DM282" s="663"/>
      <c r="DN282" s="663"/>
      <c r="DO282" s="663"/>
      <c r="DP282" s="663"/>
      <c r="DQ282" s="663"/>
      <c r="DR282" s="663"/>
      <c r="DS282" s="663"/>
      <c r="DT282" s="663"/>
      <c r="DU282" s="663"/>
      <c r="DV282" s="663"/>
      <c r="DW282" s="663"/>
      <c r="DX282" s="663"/>
      <c r="DY282" s="663"/>
      <c r="DZ282" s="663"/>
      <c r="EA282" s="663"/>
      <c r="EB282" s="663"/>
      <c r="EC282" s="663"/>
      <c r="ED282" s="663"/>
      <c r="EE282" s="663"/>
      <c r="EF282" s="663"/>
      <c r="EG282" s="663"/>
      <c r="EH282" s="663"/>
      <c r="EI282" s="663"/>
      <c r="EJ282" s="663"/>
      <c r="EK282" s="663"/>
      <c r="EL282" s="663"/>
      <c r="EM282" s="663"/>
      <c r="EN282" s="663"/>
      <c r="EO282" s="663"/>
      <c r="EP282" s="663"/>
      <c r="EQ282" s="663"/>
      <c r="ER282" s="663"/>
      <c r="ES282" s="663"/>
      <c r="ET282" s="663"/>
      <c r="EU282" s="663"/>
      <c r="EV282" s="663"/>
      <c r="EW282" s="663"/>
      <c r="EX282" s="663"/>
      <c r="EY282" s="663"/>
      <c r="EZ282" s="663"/>
      <c r="FA282" s="663"/>
      <c r="FB282" s="663"/>
      <c r="FC282" s="663"/>
      <c r="FD282" s="663"/>
      <c r="FE282" s="663"/>
      <c r="FF282" s="663"/>
      <c r="FG282" s="663"/>
      <c r="FH282" s="663"/>
      <c r="FI282" s="663"/>
      <c r="FJ282" s="663"/>
      <c r="FK282" s="663"/>
      <c r="FL282" s="663"/>
      <c r="FM282" s="663"/>
      <c r="FN282" s="663"/>
      <c r="FO282" s="663"/>
      <c r="FP282" s="663"/>
      <c r="FQ282" s="663"/>
      <c r="FR282" s="663"/>
      <c r="FS282" s="663"/>
      <c r="FT282" s="663"/>
      <c r="FU282" s="663"/>
      <c r="FV282" s="663"/>
      <c r="FW282" s="663"/>
      <c r="FX282" s="663"/>
      <c r="FY282" s="663"/>
      <c r="FZ282" s="663"/>
      <c r="GA282" s="663"/>
      <c r="GB282" s="663"/>
      <c r="GC282" s="663"/>
      <c r="GD282" s="663"/>
      <c r="GE282" s="663"/>
      <c r="GF282" s="663"/>
      <c r="GG282" s="663"/>
    </row>
    <row r="283" spans="1:189">
      <c r="A283" s="670"/>
      <c r="B283" s="670"/>
      <c r="C283" s="670"/>
      <c r="D283" s="670"/>
      <c r="E283" s="670"/>
      <c r="F283" s="670"/>
      <c r="G283" s="671"/>
      <c r="H283" s="626"/>
      <c r="I283" s="626"/>
      <c r="J283" s="672"/>
      <c r="K283" s="663"/>
      <c r="L283" s="663"/>
      <c r="M283" s="663"/>
      <c r="N283" s="663"/>
      <c r="O283" s="663"/>
      <c r="P283" s="663"/>
      <c r="Q283" s="663"/>
      <c r="R283" s="663"/>
      <c r="S283" s="663"/>
      <c r="T283" s="663"/>
      <c r="U283" s="663"/>
      <c r="V283" s="663"/>
      <c r="W283" s="663"/>
      <c r="X283" s="663"/>
      <c r="Y283" s="663"/>
      <c r="Z283" s="663"/>
      <c r="AA283" s="663"/>
      <c r="AB283" s="663"/>
      <c r="AC283" s="663"/>
      <c r="AD283" s="663"/>
      <c r="AE283" s="663"/>
      <c r="AF283" s="663"/>
      <c r="AG283" s="663"/>
      <c r="AH283" s="663"/>
      <c r="AI283" s="663"/>
      <c r="AJ283" s="663"/>
      <c r="AK283" s="663"/>
      <c r="AL283" s="663"/>
      <c r="AM283" s="663"/>
      <c r="AN283" s="663"/>
      <c r="AO283" s="663"/>
      <c r="AP283" s="663"/>
      <c r="AQ283" s="663"/>
      <c r="AR283" s="663"/>
      <c r="AS283" s="663"/>
      <c r="AT283" s="663"/>
      <c r="AU283" s="663"/>
      <c r="AV283" s="663"/>
      <c r="AW283" s="663"/>
      <c r="AX283" s="663"/>
      <c r="AY283" s="663"/>
      <c r="AZ283" s="663"/>
      <c r="BA283" s="663"/>
      <c r="BB283" s="663"/>
      <c r="BC283" s="663"/>
      <c r="BD283" s="663"/>
      <c r="BE283" s="663"/>
      <c r="BF283" s="663"/>
      <c r="BG283" s="663"/>
      <c r="BH283" s="663"/>
      <c r="BI283" s="663"/>
      <c r="BJ283" s="663"/>
      <c r="BK283" s="663"/>
      <c r="BL283" s="663"/>
      <c r="BM283" s="663"/>
      <c r="BN283" s="663"/>
      <c r="BO283" s="663"/>
      <c r="BP283" s="663"/>
      <c r="BQ283" s="663"/>
      <c r="BR283" s="663"/>
      <c r="BS283" s="663"/>
      <c r="BT283" s="663"/>
      <c r="BU283" s="663"/>
      <c r="BV283" s="663"/>
      <c r="BW283" s="663"/>
      <c r="BX283" s="663"/>
      <c r="BY283" s="663"/>
      <c r="BZ283" s="663"/>
      <c r="CA283" s="663"/>
      <c r="CB283" s="663"/>
      <c r="CC283" s="663"/>
      <c r="CD283" s="663"/>
      <c r="CE283" s="663"/>
      <c r="CF283" s="663"/>
      <c r="CG283" s="663"/>
      <c r="CH283" s="663"/>
      <c r="CI283" s="663"/>
      <c r="CJ283" s="663"/>
      <c r="CK283" s="663"/>
      <c r="CL283" s="663"/>
      <c r="CM283" s="663"/>
      <c r="CN283" s="663"/>
      <c r="CO283" s="663"/>
      <c r="CP283" s="663"/>
      <c r="CQ283" s="663"/>
      <c r="CR283" s="663"/>
      <c r="CS283" s="663"/>
      <c r="CT283" s="663"/>
      <c r="CU283" s="663"/>
      <c r="CV283" s="663"/>
      <c r="CW283" s="663"/>
      <c r="CX283" s="663"/>
      <c r="CY283" s="663"/>
      <c r="CZ283" s="663"/>
      <c r="DA283" s="663"/>
      <c r="DB283" s="663"/>
      <c r="DC283" s="663"/>
      <c r="DD283" s="663"/>
      <c r="DE283" s="663"/>
      <c r="DF283" s="663"/>
      <c r="DG283" s="663"/>
      <c r="DH283" s="663"/>
      <c r="DI283" s="663"/>
      <c r="DJ283" s="663"/>
      <c r="DK283" s="663"/>
      <c r="DL283" s="663"/>
      <c r="DM283" s="663"/>
      <c r="DN283" s="663"/>
      <c r="DO283" s="663"/>
      <c r="DP283" s="663"/>
      <c r="DQ283" s="663"/>
      <c r="DR283" s="663"/>
      <c r="DS283" s="663"/>
      <c r="DT283" s="663"/>
      <c r="DU283" s="663"/>
      <c r="DV283" s="663"/>
      <c r="DW283" s="663"/>
      <c r="DX283" s="663"/>
      <c r="DY283" s="663"/>
      <c r="DZ283" s="663"/>
      <c r="EA283" s="663"/>
      <c r="EB283" s="663"/>
      <c r="EC283" s="663"/>
      <c r="ED283" s="663"/>
      <c r="EE283" s="663"/>
      <c r="EF283" s="663"/>
      <c r="EG283" s="663"/>
      <c r="EH283" s="663"/>
      <c r="EI283" s="663"/>
      <c r="EJ283" s="663"/>
      <c r="EK283" s="663"/>
      <c r="EL283" s="663"/>
      <c r="EM283" s="663"/>
      <c r="EN283" s="663"/>
      <c r="EO283" s="663"/>
      <c r="EP283" s="663"/>
      <c r="EQ283" s="663"/>
      <c r="ER283" s="663"/>
      <c r="ES283" s="663"/>
      <c r="ET283" s="663"/>
      <c r="EU283" s="663"/>
      <c r="EV283" s="663"/>
      <c r="EW283" s="663"/>
      <c r="EX283" s="663"/>
      <c r="EY283" s="663"/>
      <c r="EZ283" s="663"/>
      <c r="FA283" s="663"/>
      <c r="FB283" s="663"/>
      <c r="FC283" s="663"/>
      <c r="FD283" s="663"/>
      <c r="FE283" s="663"/>
      <c r="FF283" s="663"/>
      <c r="FG283" s="663"/>
      <c r="FH283" s="663"/>
      <c r="FI283" s="663"/>
      <c r="FJ283" s="663"/>
      <c r="FK283" s="663"/>
      <c r="FL283" s="663"/>
      <c r="FM283" s="663"/>
      <c r="FN283" s="663"/>
      <c r="FO283" s="663"/>
      <c r="FP283" s="663"/>
      <c r="FQ283" s="663"/>
      <c r="FR283" s="663"/>
      <c r="FS283" s="663"/>
      <c r="FT283" s="663"/>
      <c r="FU283" s="663"/>
      <c r="FV283" s="663"/>
      <c r="FW283" s="663"/>
      <c r="FX283" s="663"/>
      <c r="FY283" s="663"/>
      <c r="FZ283" s="663"/>
      <c r="GA283" s="663"/>
      <c r="GB283" s="663"/>
      <c r="GC283" s="663"/>
      <c r="GD283" s="663"/>
      <c r="GE283" s="663"/>
      <c r="GF283" s="663"/>
      <c r="GG283" s="663"/>
    </row>
    <row r="284" spans="1:189">
      <c r="A284" s="670"/>
      <c r="B284" s="670"/>
      <c r="C284" s="670"/>
      <c r="D284" s="670"/>
      <c r="E284" s="670"/>
      <c r="F284" s="670"/>
      <c r="G284" s="671"/>
      <c r="H284" s="626"/>
      <c r="I284" s="626"/>
      <c r="J284" s="672"/>
      <c r="K284" s="663"/>
      <c r="L284" s="663"/>
      <c r="M284" s="663"/>
      <c r="N284" s="663"/>
      <c r="O284" s="663"/>
      <c r="P284" s="663"/>
      <c r="Q284" s="663"/>
      <c r="R284" s="663"/>
      <c r="S284" s="663"/>
      <c r="T284" s="663"/>
      <c r="U284" s="663"/>
      <c r="V284" s="663"/>
      <c r="W284" s="663"/>
      <c r="X284" s="663"/>
      <c r="Y284" s="663"/>
      <c r="Z284" s="663"/>
      <c r="AA284" s="663"/>
      <c r="AB284" s="663"/>
      <c r="AC284" s="663"/>
      <c r="AD284" s="663"/>
      <c r="AE284" s="663"/>
      <c r="AF284" s="663"/>
      <c r="AG284" s="663"/>
      <c r="AH284" s="663"/>
      <c r="AI284" s="663"/>
      <c r="AJ284" s="663"/>
      <c r="AK284" s="663"/>
      <c r="AL284" s="663"/>
      <c r="AM284" s="663"/>
      <c r="AN284" s="663"/>
      <c r="AO284" s="663"/>
      <c r="AP284" s="663"/>
      <c r="AQ284" s="663"/>
      <c r="AR284" s="663"/>
      <c r="AS284" s="663"/>
      <c r="AT284" s="663"/>
      <c r="AU284" s="663"/>
      <c r="AV284" s="663"/>
      <c r="AW284" s="663"/>
      <c r="AX284" s="663"/>
      <c r="AY284" s="663"/>
      <c r="AZ284" s="663"/>
      <c r="BA284" s="663"/>
      <c r="BB284" s="663"/>
      <c r="BC284" s="663"/>
      <c r="BD284" s="663"/>
      <c r="BE284" s="663"/>
      <c r="BF284" s="663"/>
      <c r="BG284" s="663"/>
      <c r="BH284" s="663"/>
      <c r="BI284" s="663"/>
      <c r="BJ284" s="663"/>
      <c r="BK284" s="663"/>
      <c r="BL284" s="663"/>
      <c r="BM284" s="663"/>
      <c r="BN284" s="663"/>
      <c r="BO284" s="663"/>
      <c r="BP284" s="663"/>
      <c r="BQ284" s="663"/>
      <c r="BR284" s="663"/>
      <c r="BS284" s="663"/>
      <c r="BT284" s="663"/>
      <c r="BU284" s="663"/>
      <c r="BV284" s="663"/>
      <c r="BW284" s="663"/>
      <c r="BX284" s="663"/>
      <c r="BY284" s="663"/>
      <c r="BZ284" s="663"/>
      <c r="CA284" s="663"/>
      <c r="CB284" s="663"/>
      <c r="CC284" s="663"/>
      <c r="CD284" s="663"/>
      <c r="CE284" s="663"/>
      <c r="CF284" s="663"/>
      <c r="CG284" s="663"/>
      <c r="CH284" s="663"/>
      <c r="CI284" s="663"/>
      <c r="CJ284" s="663"/>
      <c r="CK284" s="663"/>
      <c r="CL284" s="663"/>
      <c r="CM284" s="663"/>
      <c r="CN284" s="663"/>
      <c r="CO284" s="663"/>
      <c r="CP284" s="663"/>
      <c r="CQ284" s="663"/>
      <c r="CR284" s="663"/>
      <c r="CS284" s="663"/>
      <c r="CT284" s="663"/>
      <c r="CU284" s="663"/>
      <c r="CV284" s="663"/>
      <c r="CW284" s="663"/>
      <c r="CX284" s="663"/>
      <c r="CY284" s="663"/>
      <c r="CZ284" s="663"/>
      <c r="DA284" s="663"/>
      <c r="DB284" s="663"/>
      <c r="DC284" s="663"/>
      <c r="DD284" s="663"/>
      <c r="DE284" s="663"/>
      <c r="DF284" s="663"/>
      <c r="DG284" s="663"/>
      <c r="DH284" s="663"/>
      <c r="DI284" s="663"/>
      <c r="DJ284" s="663"/>
      <c r="DK284" s="663"/>
      <c r="DL284" s="663"/>
      <c r="DM284" s="663"/>
      <c r="DN284" s="663"/>
      <c r="DO284" s="663"/>
      <c r="DP284" s="663"/>
      <c r="DQ284" s="663"/>
      <c r="DR284" s="663"/>
      <c r="DS284" s="663"/>
      <c r="DT284" s="663"/>
      <c r="DU284" s="663"/>
      <c r="DV284" s="663"/>
      <c r="DW284" s="663"/>
      <c r="DX284" s="663"/>
      <c r="DY284" s="663"/>
      <c r="DZ284" s="663"/>
      <c r="EA284" s="663"/>
      <c r="EB284" s="663"/>
      <c r="EC284" s="663"/>
      <c r="ED284" s="663"/>
      <c r="EE284" s="663"/>
      <c r="EF284" s="663"/>
      <c r="EG284" s="663"/>
      <c r="EH284" s="663"/>
      <c r="EI284" s="663"/>
      <c r="EJ284" s="663"/>
      <c r="EK284" s="663"/>
      <c r="EL284" s="663"/>
      <c r="EM284" s="663"/>
      <c r="EN284" s="663"/>
      <c r="EO284" s="663"/>
      <c r="EP284" s="663"/>
      <c r="EQ284" s="663"/>
      <c r="ER284" s="663"/>
      <c r="ES284" s="663"/>
      <c r="ET284" s="663"/>
      <c r="EU284" s="663"/>
      <c r="EV284" s="663"/>
      <c r="EW284" s="663"/>
      <c r="EX284" s="663"/>
      <c r="EY284" s="663"/>
      <c r="EZ284" s="663"/>
      <c r="FA284" s="663"/>
      <c r="FB284" s="663"/>
      <c r="FC284" s="663"/>
      <c r="FD284" s="663"/>
      <c r="FE284" s="663"/>
      <c r="FF284" s="663"/>
      <c r="FG284" s="663"/>
      <c r="FH284" s="663"/>
      <c r="FI284" s="663"/>
      <c r="FJ284" s="663"/>
      <c r="FK284" s="663"/>
      <c r="FL284" s="663"/>
      <c r="FM284" s="663"/>
      <c r="FN284" s="663"/>
      <c r="FO284" s="663"/>
      <c r="FP284" s="663"/>
      <c r="FQ284" s="663"/>
      <c r="FR284" s="663"/>
      <c r="FS284" s="663"/>
      <c r="FT284" s="663"/>
      <c r="FU284" s="663"/>
      <c r="FV284" s="663"/>
      <c r="FW284" s="663"/>
      <c r="FX284" s="663"/>
      <c r="FY284" s="663"/>
      <c r="FZ284" s="663"/>
      <c r="GA284" s="663"/>
      <c r="GB284" s="663"/>
      <c r="GC284" s="663"/>
      <c r="GD284" s="663"/>
      <c r="GE284" s="663"/>
      <c r="GF284" s="663"/>
      <c r="GG284" s="663"/>
    </row>
    <row r="285" spans="1:189">
      <c r="A285" s="670"/>
      <c r="B285" s="670"/>
      <c r="C285" s="670"/>
      <c r="D285" s="670"/>
      <c r="E285" s="670"/>
      <c r="F285" s="670"/>
      <c r="G285" s="671"/>
      <c r="H285" s="626"/>
      <c r="I285" s="626"/>
      <c r="J285" s="672"/>
      <c r="K285" s="663"/>
      <c r="L285" s="663"/>
      <c r="M285" s="663"/>
      <c r="N285" s="663"/>
      <c r="O285" s="663"/>
      <c r="P285" s="663"/>
      <c r="Q285" s="663"/>
      <c r="R285" s="663"/>
      <c r="S285" s="663"/>
      <c r="T285" s="663"/>
      <c r="U285" s="663"/>
      <c r="V285" s="663"/>
      <c r="W285" s="663"/>
      <c r="X285" s="663"/>
      <c r="Y285" s="663"/>
      <c r="Z285" s="663"/>
      <c r="AA285" s="663"/>
      <c r="AB285" s="663"/>
      <c r="AC285" s="663"/>
      <c r="AD285" s="663"/>
      <c r="AE285" s="663"/>
      <c r="AF285" s="663"/>
      <c r="AG285" s="663"/>
      <c r="AH285" s="663"/>
      <c r="AI285" s="663"/>
      <c r="AJ285" s="663"/>
      <c r="AK285" s="663"/>
      <c r="AL285" s="663"/>
      <c r="AM285" s="663"/>
      <c r="AN285" s="663"/>
      <c r="AO285" s="663"/>
      <c r="AP285" s="663"/>
      <c r="AQ285" s="663"/>
      <c r="AR285" s="663"/>
      <c r="AS285" s="663"/>
      <c r="AT285" s="663"/>
      <c r="AU285" s="663"/>
      <c r="AV285" s="663"/>
      <c r="AW285" s="663"/>
      <c r="AX285" s="663"/>
      <c r="AY285" s="663"/>
      <c r="AZ285" s="663"/>
      <c r="BA285" s="663"/>
      <c r="BB285" s="663"/>
      <c r="BC285" s="663"/>
      <c r="BD285" s="663"/>
      <c r="BE285" s="663"/>
      <c r="BF285" s="663"/>
      <c r="BG285" s="663"/>
      <c r="BH285" s="663"/>
      <c r="BI285" s="663"/>
      <c r="BJ285" s="663"/>
      <c r="BK285" s="663"/>
      <c r="BL285" s="663"/>
      <c r="BM285" s="663"/>
      <c r="BN285" s="663"/>
      <c r="BO285" s="663"/>
      <c r="BP285" s="663"/>
      <c r="BQ285" s="663"/>
      <c r="BR285" s="663"/>
      <c r="BS285" s="663"/>
      <c r="BT285" s="663"/>
      <c r="BU285" s="663"/>
      <c r="BV285" s="663"/>
      <c r="BW285" s="663"/>
      <c r="BX285" s="663"/>
      <c r="BY285" s="663"/>
      <c r="BZ285" s="663"/>
      <c r="CA285" s="663"/>
      <c r="CB285" s="663"/>
      <c r="CC285" s="663"/>
      <c r="CD285" s="663"/>
      <c r="CE285" s="663"/>
      <c r="CF285" s="663"/>
      <c r="CG285" s="663"/>
      <c r="CH285" s="663"/>
      <c r="CI285" s="663"/>
      <c r="CJ285" s="663"/>
      <c r="CK285" s="663"/>
      <c r="CL285" s="663"/>
      <c r="CM285" s="663"/>
      <c r="CN285" s="663"/>
      <c r="CO285" s="663"/>
      <c r="CP285" s="663"/>
      <c r="CQ285" s="663"/>
      <c r="CR285" s="663"/>
      <c r="CS285" s="663"/>
      <c r="CT285" s="663"/>
      <c r="CU285" s="663"/>
      <c r="CV285" s="663"/>
      <c r="CW285" s="663"/>
      <c r="CX285" s="663"/>
      <c r="CY285" s="663"/>
      <c r="CZ285" s="663"/>
      <c r="DA285" s="663"/>
      <c r="DB285" s="663"/>
      <c r="DC285" s="663"/>
      <c r="DD285" s="663"/>
      <c r="DE285" s="663"/>
      <c r="DF285" s="663"/>
      <c r="DG285" s="663"/>
      <c r="DH285" s="663"/>
      <c r="DI285" s="663"/>
      <c r="DJ285" s="663"/>
      <c r="DK285" s="663"/>
      <c r="DL285" s="663"/>
      <c r="DM285" s="663"/>
      <c r="DN285" s="663"/>
      <c r="DO285" s="663"/>
      <c r="DP285" s="663"/>
      <c r="DQ285" s="663"/>
      <c r="DR285" s="663"/>
      <c r="DS285" s="663"/>
      <c r="DT285" s="663"/>
      <c r="DU285" s="663"/>
      <c r="DV285" s="663"/>
      <c r="DW285" s="663"/>
      <c r="DX285" s="663"/>
      <c r="DY285" s="663"/>
      <c r="DZ285" s="663"/>
      <c r="EA285" s="663"/>
      <c r="EB285" s="663"/>
      <c r="EC285" s="663"/>
      <c r="ED285" s="663"/>
      <c r="EE285" s="663"/>
      <c r="EF285" s="663"/>
      <c r="EG285" s="663"/>
      <c r="EH285" s="663"/>
      <c r="EI285" s="663"/>
      <c r="EJ285" s="663"/>
      <c r="EK285" s="663"/>
      <c r="EL285" s="663"/>
      <c r="EM285" s="663"/>
      <c r="EN285" s="663"/>
      <c r="EO285" s="663"/>
      <c r="EP285" s="663"/>
      <c r="EQ285" s="663"/>
      <c r="ER285" s="663"/>
      <c r="ES285" s="663"/>
      <c r="ET285" s="663"/>
      <c r="EU285" s="663"/>
      <c r="EV285" s="663"/>
      <c r="EW285" s="663"/>
      <c r="EX285" s="663"/>
      <c r="EY285" s="663"/>
      <c r="EZ285" s="663"/>
      <c r="FA285" s="663"/>
      <c r="FB285" s="663"/>
      <c r="FC285" s="663"/>
      <c r="FD285" s="663"/>
      <c r="FE285" s="663"/>
      <c r="FF285" s="663"/>
      <c r="FG285" s="663"/>
      <c r="FH285" s="663"/>
      <c r="FI285" s="663"/>
      <c r="FJ285" s="663"/>
      <c r="FK285" s="663"/>
      <c r="FL285" s="663"/>
      <c r="FM285" s="663"/>
      <c r="FN285" s="663"/>
      <c r="FO285" s="663"/>
      <c r="FP285" s="663"/>
      <c r="FQ285" s="663"/>
      <c r="FR285" s="663"/>
      <c r="FS285" s="663"/>
      <c r="FT285" s="663"/>
      <c r="FU285" s="663"/>
      <c r="FV285" s="663"/>
      <c r="FW285" s="663"/>
      <c r="FX285" s="663"/>
      <c r="FY285" s="663"/>
      <c r="FZ285" s="663"/>
      <c r="GA285" s="663"/>
      <c r="GB285" s="663"/>
      <c r="GC285" s="663"/>
      <c r="GD285" s="663"/>
      <c r="GE285" s="663"/>
      <c r="GF285" s="663"/>
      <c r="GG285" s="663"/>
    </row>
    <row r="286" spans="1:189">
      <c r="A286" s="670"/>
      <c r="B286" s="670"/>
      <c r="C286" s="670"/>
      <c r="D286" s="670"/>
      <c r="E286" s="670"/>
      <c r="F286" s="670"/>
      <c r="G286" s="671"/>
      <c r="H286" s="626"/>
      <c r="I286" s="626"/>
      <c r="J286" s="672"/>
      <c r="K286" s="663"/>
      <c r="L286" s="663"/>
      <c r="M286" s="663"/>
      <c r="N286" s="663"/>
      <c r="O286" s="663"/>
      <c r="P286" s="663"/>
      <c r="Q286" s="663"/>
      <c r="R286" s="663"/>
      <c r="S286" s="663"/>
      <c r="T286" s="663"/>
      <c r="U286" s="663"/>
      <c r="V286" s="663"/>
      <c r="W286" s="663"/>
      <c r="X286" s="663"/>
      <c r="Y286" s="663"/>
      <c r="Z286" s="663"/>
      <c r="AA286" s="663"/>
      <c r="AB286" s="663"/>
      <c r="AC286" s="663"/>
      <c r="AD286" s="663"/>
      <c r="AE286" s="663"/>
      <c r="AF286" s="663"/>
      <c r="AG286" s="663"/>
      <c r="AH286" s="663"/>
      <c r="AI286" s="663"/>
      <c r="AJ286" s="663"/>
      <c r="AK286" s="663"/>
      <c r="AL286" s="663"/>
      <c r="AM286" s="663"/>
      <c r="AN286" s="663"/>
      <c r="AO286" s="663"/>
      <c r="AP286" s="663"/>
      <c r="AQ286" s="663"/>
      <c r="AR286" s="663"/>
      <c r="AS286" s="663"/>
      <c r="AT286" s="663"/>
      <c r="AU286" s="663"/>
      <c r="AV286" s="663"/>
      <c r="AW286" s="663"/>
      <c r="AX286" s="663"/>
      <c r="AY286" s="663"/>
      <c r="AZ286" s="663"/>
      <c r="BA286" s="663"/>
      <c r="BB286" s="663"/>
      <c r="BC286" s="663"/>
      <c r="BD286" s="663"/>
      <c r="BE286" s="663"/>
      <c r="BF286" s="663"/>
      <c r="BG286" s="663"/>
      <c r="BH286" s="663"/>
      <c r="BI286" s="663"/>
      <c r="BJ286" s="663"/>
      <c r="BK286" s="663"/>
      <c r="BL286" s="663"/>
      <c r="BM286" s="663"/>
      <c r="BN286" s="663"/>
      <c r="BO286" s="663"/>
      <c r="BP286" s="663"/>
      <c r="BQ286" s="663"/>
      <c r="BR286" s="663"/>
      <c r="BS286" s="663"/>
      <c r="BT286" s="663"/>
      <c r="BU286" s="663"/>
      <c r="BV286" s="663"/>
      <c r="BW286" s="663"/>
      <c r="BX286" s="663"/>
      <c r="BY286" s="663"/>
      <c r="BZ286" s="663"/>
      <c r="CA286" s="663"/>
      <c r="CB286" s="663"/>
      <c r="CC286" s="663"/>
      <c r="CD286" s="663"/>
      <c r="CE286" s="663"/>
      <c r="CF286" s="663"/>
      <c r="CG286" s="663"/>
      <c r="CH286" s="663"/>
      <c r="CI286" s="663"/>
      <c r="CJ286" s="663"/>
      <c r="CK286" s="663"/>
      <c r="CL286" s="663"/>
      <c r="CM286" s="663"/>
      <c r="CN286" s="663"/>
      <c r="CO286" s="663"/>
      <c r="CP286" s="663"/>
      <c r="CQ286" s="663"/>
      <c r="CR286" s="663"/>
      <c r="CS286" s="663"/>
      <c r="CT286" s="663"/>
      <c r="CU286" s="663"/>
      <c r="CV286" s="663"/>
      <c r="CW286" s="663"/>
      <c r="CX286" s="663"/>
      <c r="CY286" s="663"/>
      <c r="CZ286" s="663"/>
      <c r="DA286" s="663"/>
      <c r="DB286" s="663"/>
      <c r="DC286" s="663"/>
      <c r="DD286" s="663"/>
      <c r="DE286" s="663"/>
      <c r="DF286" s="663"/>
      <c r="DG286" s="663"/>
      <c r="DH286" s="663"/>
      <c r="DI286" s="663"/>
      <c r="DJ286" s="663"/>
      <c r="DK286" s="663"/>
      <c r="DL286" s="663"/>
      <c r="DM286" s="663"/>
      <c r="DN286" s="663"/>
      <c r="DO286" s="663"/>
      <c r="DP286" s="663"/>
      <c r="DQ286" s="663"/>
      <c r="DR286" s="663"/>
      <c r="DS286" s="663"/>
      <c r="DT286" s="663"/>
      <c r="DU286" s="663"/>
      <c r="DV286" s="663"/>
      <c r="DW286" s="663"/>
      <c r="DX286" s="663"/>
      <c r="DY286" s="663"/>
      <c r="DZ286" s="663"/>
      <c r="EA286" s="663"/>
      <c r="EB286" s="663"/>
      <c r="EC286" s="663"/>
      <c r="ED286" s="663"/>
      <c r="EE286" s="663"/>
      <c r="EF286" s="663"/>
      <c r="EG286" s="663"/>
      <c r="EH286" s="663"/>
      <c r="EI286" s="663"/>
      <c r="EJ286" s="663"/>
      <c r="EK286" s="663"/>
      <c r="EL286" s="663"/>
      <c r="EM286" s="663"/>
      <c r="EN286" s="663"/>
      <c r="EO286" s="663"/>
      <c r="EP286" s="663"/>
      <c r="EQ286" s="663"/>
      <c r="ER286" s="663"/>
      <c r="ES286" s="663"/>
      <c r="ET286" s="663"/>
      <c r="EU286" s="663"/>
      <c r="EV286" s="663"/>
      <c r="EW286" s="663"/>
      <c r="EX286" s="663"/>
      <c r="EY286" s="663"/>
      <c r="EZ286" s="663"/>
      <c r="FA286" s="663"/>
      <c r="FB286" s="663"/>
      <c r="FC286" s="663"/>
      <c r="FD286" s="663"/>
      <c r="FE286" s="663"/>
      <c r="FF286" s="663"/>
      <c r="FG286" s="663"/>
      <c r="FH286" s="663"/>
      <c r="FI286" s="663"/>
      <c r="FJ286" s="663"/>
      <c r="FK286" s="663"/>
      <c r="FL286" s="663"/>
      <c r="FM286" s="663"/>
      <c r="FN286" s="663"/>
      <c r="FO286" s="663"/>
      <c r="FP286" s="663"/>
      <c r="FQ286" s="663"/>
      <c r="FR286" s="663"/>
      <c r="FS286" s="663"/>
      <c r="FT286" s="663"/>
      <c r="FU286" s="663"/>
      <c r="FV286" s="663"/>
      <c r="FW286" s="663"/>
      <c r="FX286" s="663"/>
      <c r="FY286" s="663"/>
      <c r="FZ286" s="663"/>
      <c r="GA286" s="663"/>
      <c r="GB286" s="663"/>
      <c r="GC286" s="663"/>
      <c r="GD286" s="663"/>
      <c r="GE286" s="663"/>
      <c r="GF286" s="663"/>
      <c r="GG286" s="663"/>
    </row>
    <row r="287" spans="1:189">
      <c r="A287" s="670"/>
      <c r="B287" s="670"/>
      <c r="C287" s="670"/>
      <c r="D287" s="670"/>
      <c r="E287" s="670"/>
      <c r="F287" s="670"/>
      <c r="G287" s="671"/>
      <c r="H287" s="626"/>
      <c r="I287" s="626"/>
      <c r="J287" s="672"/>
      <c r="K287" s="663"/>
      <c r="L287" s="663"/>
      <c r="M287" s="663"/>
      <c r="N287" s="663"/>
      <c r="O287" s="663"/>
      <c r="P287" s="663"/>
      <c r="Q287" s="663"/>
      <c r="R287" s="663"/>
      <c r="S287" s="663"/>
      <c r="T287" s="663"/>
      <c r="U287" s="663"/>
      <c r="V287" s="663"/>
      <c r="W287" s="663"/>
      <c r="X287" s="663"/>
      <c r="Y287" s="663"/>
      <c r="Z287" s="663"/>
      <c r="AA287" s="663"/>
      <c r="AB287" s="663"/>
      <c r="AC287" s="663"/>
      <c r="AD287" s="663"/>
      <c r="AE287" s="663"/>
      <c r="AF287" s="663"/>
      <c r="AG287" s="663"/>
      <c r="AH287" s="663"/>
      <c r="AI287" s="663"/>
      <c r="AJ287" s="663"/>
      <c r="AK287" s="663"/>
      <c r="AL287" s="663"/>
      <c r="AM287" s="663"/>
      <c r="AN287" s="663"/>
      <c r="AO287" s="663"/>
      <c r="AP287" s="663"/>
      <c r="AQ287" s="663"/>
      <c r="AR287" s="663"/>
      <c r="AS287" s="663"/>
      <c r="AT287" s="663"/>
      <c r="AU287" s="663"/>
      <c r="AV287" s="663"/>
      <c r="AW287" s="663"/>
      <c r="AX287" s="663"/>
      <c r="AY287" s="663"/>
      <c r="AZ287" s="663"/>
      <c r="BA287" s="663"/>
      <c r="BB287" s="663"/>
      <c r="BC287" s="663"/>
      <c r="BD287" s="663"/>
      <c r="BE287" s="663"/>
      <c r="BF287" s="663"/>
      <c r="BG287" s="663"/>
      <c r="BH287" s="663"/>
      <c r="BI287" s="663"/>
      <c r="BJ287" s="663"/>
      <c r="BK287" s="663"/>
      <c r="BL287" s="663"/>
      <c r="BM287" s="663"/>
      <c r="BN287" s="663"/>
      <c r="BO287" s="663"/>
      <c r="BP287" s="663"/>
      <c r="BQ287" s="663"/>
      <c r="BR287" s="663"/>
      <c r="BS287" s="663"/>
      <c r="BT287" s="663"/>
      <c r="BU287" s="663"/>
      <c r="BV287" s="663"/>
      <c r="BW287" s="663"/>
      <c r="BX287" s="663"/>
      <c r="BY287" s="663"/>
      <c r="BZ287" s="663"/>
      <c r="CA287" s="663"/>
      <c r="CB287" s="663"/>
      <c r="CC287" s="663"/>
      <c r="CD287" s="663"/>
      <c r="CE287" s="663"/>
      <c r="CF287" s="663"/>
      <c r="CG287" s="663"/>
      <c r="CH287" s="663"/>
      <c r="CI287" s="663"/>
      <c r="CJ287" s="663"/>
      <c r="CK287" s="663"/>
      <c r="CL287" s="663"/>
      <c r="CM287" s="663"/>
      <c r="CN287" s="663"/>
      <c r="CO287" s="663"/>
      <c r="CP287" s="663"/>
      <c r="CQ287" s="663"/>
      <c r="CR287" s="663"/>
      <c r="CS287" s="663"/>
      <c r="CT287" s="663"/>
      <c r="CU287" s="663"/>
      <c r="CV287" s="663"/>
      <c r="CW287" s="663"/>
      <c r="CX287" s="663"/>
      <c r="CY287" s="663"/>
      <c r="CZ287" s="663"/>
      <c r="DA287" s="663"/>
      <c r="DB287" s="663"/>
      <c r="DC287" s="663"/>
      <c r="DD287" s="663"/>
      <c r="DE287" s="663"/>
      <c r="DF287" s="663"/>
      <c r="DG287" s="663"/>
      <c r="DH287" s="663"/>
      <c r="DI287" s="663"/>
      <c r="DJ287" s="663"/>
      <c r="DK287" s="663"/>
      <c r="DL287" s="663"/>
      <c r="DM287" s="663"/>
      <c r="DN287" s="663"/>
      <c r="DO287" s="663"/>
      <c r="DP287" s="663"/>
      <c r="DQ287" s="663"/>
      <c r="DR287" s="663"/>
      <c r="DS287" s="663"/>
      <c r="DT287" s="663"/>
      <c r="DU287" s="663"/>
      <c r="DV287" s="663"/>
      <c r="DW287" s="663"/>
      <c r="DX287" s="663"/>
      <c r="DY287" s="663"/>
      <c r="DZ287" s="663"/>
      <c r="EA287" s="663"/>
      <c r="EB287" s="663"/>
      <c r="EC287" s="663"/>
      <c r="ED287" s="663"/>
      <c r="EE287" s="663"/>
      <c r="EF287" s="663"/>
      <c r="EG287" s="663"/>
      <c r="EH287" s="663"/>
      <c r="EI287" s="663"/>
      <c r="EJ287" s="663"/>
      <c r="EK287" s="663"/>
      <c r="EL287" s="663"/>
      <c r="EM287" s="663"/>
      <c r="EN287" s="663"/>
      <c r="EO287" s="663"/>
      <c r="EP287" s="663"/>
      <c r="EQ287" s="663"/>
      <c r="ER287" s="663"/>
      <c r="ES287" s="663"/>
      <c r="ET287" s="663"/>
      <c r="EU287" s="663"/>
      <c r="EV287" s="663"/>
      <c r="EW287" s="663"/>
      <c r="EX287" s="663"/>
      <c r="EY287" s="663"/>
      <c r="EZ287" s="663"/>
      <c r="FA287" s="663"/>
      <c r="FB287" s="663"/>
      <c r="FC287" s="663"/>
      <c r="FD287" s="663"/>
      <c r="FE287" s="663"/>
      <c r="FF287" s="663"/>
      <c r="FG287" s="663"/>
      <c r="FH287" s="663"/>
      <c r="FI287" s="663"/>
      <c r="FJ287" s="663"/>
      <c r="FK287" s="663"/>
      <c r="FL287" s="663"/>
      <c r="FM287" s="663"/>
      <c r="FN287" s="663"/>
      <c r="FO287" s="663"/>
      <c r="FP287" s="663"/>
      <c r="FQ287" s="663"/>
      <c r="FR287" s="663"/>
      <c r="FS287" s="663"/>
      <c r="FT287" s="663"/>
      <c r="FU287" s="663"/>
      <c r="FV287" s="663"/>
      <c r="FW287" s="663"/>
      <c r="FX287" s="663"/>
      <c r="FY287" s="663"/>
      <c r="FZ287" s="663"/>
      <c r="GA287" s="663"/>
      <c r="GB287" s="663"/>
      <c r="GC287" s="663"/>
      <c r="GD287" s="663"/>
      <c r="GE287" s="663"/>
      <c r="GF287" s="663"/>
      <c r="GG287" s="663"/>
    </row>
    <row r="288" spans="1:189">
      <c r="A288" s="670"/>
      <c r="B288" s="670"/>
      <c r="C288" s="670"/>
      <c r="D288" s="670"/>
      <c r="E288" s="670"/>
      <c r="F288" s="670"/>
      <c r="G288" s="671"/>
      <c r="H288" s="626"/>
      <c r="I288" s="626"/>
      <c r="J288" s="672"/>
      <c r="K288" s="663"/>
      <c r="L288" s="663"/>
      <c r="M288" s="663"/>
      <c r="N288" s="663"/>
      <c r="O288" s="663"/>
      <c r="P288" s="663"/>
      <c r="Q288" s="663"/>
      <c r="R288" s="663"/>
      <c r="S288" s="663"/>
      <c r="T288" s="663"/>
      <c r="U288" s="663"/>
      <c r="V288" s="663"/>
      <c r="W288" s="663"/>
      <c r="X288" s="663"/>
      <c r="Y288" s="663"/>
      <c r="Z288" s="663"/>
      <c r="AA288" s="663"/>
      <c r="AB288" s="663"/>
      <c r="AC288" s="663"/>
      <c r="AD288" s="663"/>
      <c r="AE288" s="663"/>
      <c r="AF288" s="663"/>
      <c r="AG288" s="663"/>
      <c r="AH288" s="663"/>
      <c r="AI288" s="663"/>
      <c r="AJ288" s="663"/>
      <c r="AK288" s="663"/>
      <c r="AL288" s="663"/>
      <c r="AM288" s="663"/>
      <c r="AN288" s="663"/>
      <c r="AO288" s="663"/>
      <c r="AP288" s="663"/>
      <c r="AQ288" s="663"/>
      <c r="AR288" s="663"/>
      <c r="AS288" s="663"/>
      <c r="AT288" s="663"/>
      <c r="AU288" s="663"/>
      <c r="AV288" s="663"/>
      <c r="AW288" s="663"/>
      <c r="AX288" s="663"/>
      <c r="AY288" s="663"/>
      <c r="AZ288" s="663"/>
      <c r="BA288" s="663"/>
      <c r="BB288" s="663"/>
      <c r="BC288" s="663"/>
      <c r="BD288" s="663"/>
      <c r="BE288" s="663"/>
      <c r="BF288" s="663"/>
      <c r="BG288" s="663"/>
      <c r="BH288" s="663"/>
      <c r="BI288" s="663"/>
      <c r="BJ288" s="663"/>
      <c r="BK288" s="663"/>
      <c r="BL288" s="663"/>
      <c r="BM288" s="663"/>
      <c r="BN288" s="663"/>
      <c r="BO288" s="663"/>
      <c r="BP288" s="663"/>
      <c r="BQ288" s="663"/>
      <c r="BR288" s="663"/>
      <c r="BS288" s="663"/>
      <c r="BT288" s="663"/>
      <c r="BU288" s="663"/>
      <c r="BV288" s="663"/>
      <c r="BW288" s="663"/>
      <c r="BX288" s="663"/>
      <c r="BY288" s="663"/>
      <c r="BZ288" s="663"/>
      <c r="CA288" s="663"/>
      <c r="CB288" s="663"/>
      <c r="CC288" s="663"/>
      <c r="CD288" s="663"/>
      <c r="CE288" s="663"/>
      <c r="CF288" s="663"/>
      <c r="CG288" s="663"/>
      <c r="CH288" s="663"/>
      <c r="CI288" s="663"/>
      <c r="CJ288" s="663"/>
      <c r="CK288" s="663"/>
      <c r="CL288" s="663"/>
      <c r="CM288" s="663"/>
      <c r="CN288" s="663"/>
      <c r="CO288" s="663"/>
      <c r="CP288" s="663"/>
      <c r="CQ288" s="663"/>
      <c r="CR288" s="663"/>
      <c r="CS288" s="663"/>
      <c r="CT288" s="663"/>
      <c r="CU288" s="663"/>
      <c r="CV288" s="663"/>
      <c r="CW288" s="663"/>
      <c r="CX288" s="663"/>
      <c r="CY288" s="663"/>
      <c r="CZ288" s="663"/>
      <c r="DA288" s="663"/>
      <c r="DB288" s="663"/>
      <c r="DC288" s="663"/>
      <c r="DD288" s="663"/>
      <c r="DE288" s="663"/>
      <c r="DF288" s="663"/>
      <c r="DG288" s="663"/>
      <c r="DH288" s="663"/>
      <c r="DI288" s="663"/>
      <c r="DJ288" s="663"/>
      <c r="DK288" s="663"/>
      <c r="DL288" s="663"/>
      <c r="DM288" s="663"/>
      <c r="DN288" s="663"/>
      <c r="DO288" s="663"/>
      <c r="DP288" s="663"/>
      <c r="DQ288" s="663"/>
      <c r="DR288" s="663"/>
      <c r="DS288" s="663"/>
      <c r="DT288" s="663"/>
      <c r="DU288" s="663"/>
      <c r="DV288" s="663"/>
      <c r="DW288" s="663"/>
      <c r="DX288" s="663"/>
      <c r="DY288" s="663"/>
      <c r="DZ288" s="663"/>
      <c r="EA288" s="663"/>
      <c r="EB288" s="663"/>
      <c r="EC288" s="663"/>
      <c r="ED288" s="663"/>
      <c r="EE288" s="663"/>
      <c r="EF288" s="663"/>
      <c r="EG288" s="663"/>
      <c r="EH288" s="663"/>
      <c r="EI288" s="663"/>
      <c r="EJ288" s="663"/>
      <c r="EK288" s="663"/>
      <c r="EL288" s="663"/>
      <c r="EM288" s="663"/>
      <c r="EN288" s="663"/>
      <c r="EO288" s="663"/>
      <c r="EP288" s="663"/>
      <c r="EQ288" s="663"/>
      <c r="ER288" s="663"/>
      <c r="ES288" s="663"/>
      <c r="ET288" s="663"/>
      <c r="EU288" s="663"/>
      <c r="EV288" s="663"/>
      <c r="EW288" s="663"/>
      <c r="EX288" s="663"/>
      <c r="EY288" s="663"/>
      <c r="EZ288" s="663"/>
      <c r="FA288" s="663"/>
      <c r="FB288" s="663"/>
      <c r="FC288" s="663"/>
      <c r="FD288" s="663"/>
      <c r="FE288" s="663"/>
      <c r="FF288" s="663"/>
      <c r="FG288" s="663"/>
      <c r="FH288" s="663"/>
      <c r="FI288" s="663"/>
      <c r="FJ288" s="663"/>
      <c r="FK288" s="663"/>
      <c r="FL288" s="663"/>
      <c r="FM288" s="663"/>
      <c r="FN288" s="663"/>
      <c r="FO288" s="663"/>
      <c r="FP288" s="663"/>
      <c r="FQ288" s="663"/>
      <c r="FR288" s="663"/>
      <c r="FS288" s="663"/>
      <c r="FT288" s="663"/>
      <c r="FU288" s="663"/>
      <c r="FV288" s="663"/>
      <c r="FW288" s="663"/>
      <c r="FX288" s="663"/>
      <c r="FY288" s="663"/>
      <c r="FZ288" s="663"/>
      <c r="GA288" s="663"/>
      <c r="GB288" s="663"/>
      <c r="GC288" s="663"/>
      <c r="GD288" s="663"/>
      <c r="GE288" s="663"/>
      <c r="GF288" s="663"/>
      <c r="GG288" s="663"/>
    </row>
    <row r="289" spans="1:189">
      <c r="A289" s="670"/>
      <c r="B289" s="670"/>
      <c r="C289" s="670"/>
      <c r="D289" s="670"/>
      <c r="E289" s="670"/>
      <c r="F289" s="670"/>
      <c r="G289" s="671"/>
      <c r="H289" s="626"/>
      <c r="I289" s="626"/>
      <c r="J289" s="672"/>
      <c r="K289" s="663"/>
      <c r="L289" s="663"/>
      <c r="M289" s="663"/>
      <c r="N289" s="663"/>
      <c r="O289" s="663"/>
      <c r="P289" s="663"/>
      <c r="Q289" s="663"/>
      <c r="R289" s="663"/>
      <c r="S289" s="663"/>
      <c r="T289" s="663"/>
      <c r="U289" s="663"/>
      <c r="V289" s="663"/>
      <c r="W289" s="663"/>
      <c r="X289" s="663"/>
      <c r="Y289" s="663"/>
      <c r="Z289" s="663"/>
      <c r="AA289" s="663"/>
      <c r="AB289" s="663"/>
      <c r="AC289" s="663"/>
      <c r="AD289" s="663"/>
      <c r="AE289" s="663"/>
      <c r="AF289" s="663"/>
      <c r="AG289" s="663"/>
      <c r="AH289" s="663"/>
      <c r="AI289" s="663"/>
      <c r="AJ289" s="663"/>
      <c r="AK289" s="663"/>
      <c r="AL289" s="663"/>
      <c r="AM289" s="663"/>
      <c r="AN289" s="663"/>
      <c r="AO289" s="663"/>
      <c r="AP289" s="663"/>
      <c r="AQ289" s="663"/>
      <c r="AR289" s="663"/>
      <c r="AS289" s="663"/>
      <c r="AT289" s="663"/>
      <c r="AU289" s="663"/>
      <c r="AV289" s="663"/>
      <c r="AW289" s="663"/>
      <c r="AX289" s="663"/>
      <c r="AY289" s="663"/>
      <c r="AZ289" s="663"/>
      <c r="BA289" s="663"/>
      <c r="BB289" s="663"/>
      <c r="BC289" s="663"/>
      <c r="BD289" s="663"/>
      <c r="BE289" s="663"/>
      <c r="BF289" s="663"/>
      <c r="BG289" s="663"/>
      <c r="BH289" s="663"/>
      <c r="BI289" s="663"/>
      <c r="BJ289" s="663"/>
      <c r="BK289" s="663"/>
      <c r="BL289" s="663"/>
      <c r="BM289" s="663"/>
      <c r="BN289" s="663"/>
      <c r="BO289" s="663"/>
      <c r="BP289" s="663"/>
      <c r="BQ289" s="663"/>
      <c r="BR289" s="663"/>
      <c r="BS289" s="663"/>
      <c r="BT289" s="663"/>
      <c r="BU289" s="663"/>
      <c r="BV289" s="663"/>
      <c r="BW289" s="663"/>
      <c r="BX289" s="663"/>
      <c r="BY289" s="663"/>
      <c r="BZ289" s="663"/>
      <c r="CA289" s="663"/>
      <c r="CB289" s="663"/>
      <c r="CC289" s="663"/>
      <c r="CD289" s="663"/>
      <c r="CE289" s="663"/>
      <c r="CF289" s="663"/>
      <c r="CG289" s="663"/>
      <c r="CH289" s="663"/>
      <c r="CI289" s="663"/>
      <c r="CJ289" s="663"/>
      <c r="CK289" s="663"/>
      <c r="CL289" s="663"/>
      <c r="CM289" s="663"/>
      <c r="CN289" s="663"/>
      <c r="CO289" s="663"/>
      <c r="CP289" s="663"/>
      <c r="CQ289" s="663"/>
      <c r="CR289" s="663"/>
      <c r="CS289" s="663"/>
      <c r="CT289" s="663"/>
      <c r="CU289" s="663"/>
      <c r="CV289" s="663"/>
      <c r="CW289" s="663"/>
      <c r="CX289" s="663"/>
      <c r="CY289" s="663"/>
      <c r="CZ289" s="663"/>
      <c r="DA289" s="663"/>
      <c r="DB289" s="663"/>
      <c r="DC289" s="663"/>
      <c r="DD289" s="663"/>
      <c r="DE289" s="663"/>
      <c r="DF289" s="663"/>
      <c r="DG289" s="663"/>
      <c r="DH289" s="663"/>
      <c r="DI289" s="663"/>
      <c r="DJ289" s="663"/>
      <c r="DK289" s="663"/>
      <c r="DL289" s="663"/>
      <c r="DM289" s="663"/>
      <c r="DN289" s="663"/>
      <c r="DO289" s="663"/>
      <c r="DP289" s="663"/>
      <c r="DQ289" s="663"/>
      <c r="DR289" s="663"/>
      <c r="DS289" s="663"/>
      <c r="DT289" s="663"/>
      <c r="DU289" s="663"/>
      <c r="DV289" s="663"/>
      <c r="DW289" s="663"/>
      <c r="DX289" s="663"/>
      <c r="DY289" s="663"/>
      <c r="DZ289" s="663"/>
      <c r="EA289" s="663"/>
      <c r="EB289" s="663"/>
      <c r="EC289" s="663"/>
      <c r="ED289" s="663"/>
      <c r="EE289" s="663"/>
      <c r="EF289" s="663"/>
      <c r="EG289" s="663"/>
      <c r="EH289" s="663"/>
      <c r="EI289" s="663"/>
      <c r="EJ289" s="663"/>
      <c r="EK289" s="663"/>
      <c r="EL289" s="663"/>
      <c r="EM289" s="663"/>
      <c r="EN289" s="663"/>
      <c r="EO289" s="663"/>
      <c r="EP289" s="663"/>
      <c r="EQ289" s="663"/>
      <c r="ER289" s="663"/>
      <c r="ES289" s="663"/>
      <c r="ET289" s="663"/>
      <c r="EU289" s="663"/>
      <c r="EV289" s="663"/>
      <c r="EW289" s="663"/>
      <c r="EX289" s="663"/>
      <c r="EY289" s="663"/>
      <c r="EZ289" s="663"/>
      <c r="FA289" s="663"/>
      <c r="FB289" s="663"/>
      <c r="FC289" s="663"/>
      <c r="FD289" s="663"/>
      <c r="FE289" s="663"/>
      <c r="FF289" s="663"/>
      <c r="FG289" s="663"/>
      <c r="FH289" s="663"/>
      <c r="FI289" s="663"/>
      <c r="FJ289" s="663"/>
      <c r="FK289" s="663"/>
      <c r="FL289" s="663"/>
      <c r="FM289" s="663"/>
      <c r="FN289" s="663"/>
      <c r="FO289" s="663"/>
      <c r="FP289" s="663"/>
      <c r="FQ289" s="663"/>
      <c r="FR289" s="663"/>
      <c r="FS289" s="663"/>
      <c r="FT289" s="663"/>
      <c r="FU289" s="663"/>
      <c r="FV289" s="663"/>
      <c r="FW289" s="663"/>
      <c r="FX289" s="663"/>
      <c r="FY289" s="663"/>
      <c r="FZ289" s="663"/>
      <c r="GA289" s="663"/>
      <c r="GB289" s="663"/>
      <c r="GC289" s="663"/>
      <c r="GD289" s="663"/>
      <c r="GE289" s="663"/>
      <c r="GF289" s="663"/>
      <c r="GG289" s="663"/>
    </row>
    <row r="290" spans="1:189">
      <c r="A290" s="670"/>
      <c r="B290" s="670"/>
      <c r="C290" s="670"/>
      <c r="D290" s="670"/>
      <c r="E290" s="670"/>
      <c r="F290" s="670"/>
      <c r="G290" s="671"/>
      <c r="H290" s="626"/>
      <c r="I290" s="626"/>
      <c r="J290" s="672"/>
      <c r="K290" s="663"/>
      <c r="L290" s="663"/>
      <c r="M290" s="663"/>
      <c r="N290" s="663"/>
      <c r="O290" s="663"/>
      <c r="P290" s="663"/>
      <c r="Q290" s="663"/>
      <c r="R290" s="663"/>
      <c r="S290" s="663"/>
      <c r="T290" s="663"/>
      <c r="U290" s="663"/>
      <c r="V290" s="663"/>
      <c r="W290" s="663"/>
      <c r="X290" s="663"/>
      <c r="Y290" s="663"/>
      <c r="Z290" s="663"/>
      <c r="AA290" s="663"/>
      <c r="AB290" s="663"/>
      <c r="AC290" s="663"/>
      <c r="AD290" s="663"/>
      <c r="AE290" s="663"/>
      <c r="AF290" s="663"/>
      <c r="AG290" s="663"/>
      <c r="AH290" s="663"/>
      <c r="AI290" s="663"/>
      <c r="AJ290" s="663"/>
      <c r="AK290" s="663"/>
      <c r="AL290" s="663"/>
      <c r="AM290" s="663"/>
      <c r="AN290" s="663"/>
      <c r="AO290" s="663"/>
      <c r="AP290" s="663"/>
      <c r="AQ290" s="663"/>
      <c r="AR290" s="663"/>
      <c r="AS290" s="663"/>
      <c r="AT290" s="663"/>
      <c r="AU290" s="663"/>
      <c r="AV290" s="663"/>
      <c r="AW290" s="663"/>
      <c r="AX290" s="663"/>
      <c r="AY290" s="663"/>
      <c r="AZ290" s="663"/>
      <c r="BA290" s="663"/>
      <c r="BB290" s="663"/>
      <c r="BC290" s="663"/>
      <c r="BD290" s="663"/>
      <c r="BE290" s="663"/>
      <c r="BF290" s="663"/>
      <c r="BG290" s="663"/>
      <c r="BH290" s="663"/>
      <c r="BI290" s="663"/>
      <c r="BJ290" s="663"/>
      <c r="BK290" s="663"/>
      <c r="BL290" s="663"/>
      <c r="BM290" s="663"/>
      <c r="BN290" s="663"/>
      <c r="BO290" s="663"/>
      <c r="BP290" s="663"/>
      <c r="BQ290" s="663"/>
      <c r="BR290" s="663"/>
      <c r="BS290" s="663"/>
      <c r="BT290" s="663"/>
      <c r="BU290" s="663"/>
      <c r="BV290" s="663"/>
      <c r="BW290" s="663"/>
      <c r="BX290" s="663"/>
      <c r="BY290" s="663"/>
      <c r="BZ290" s="663"/>
      <c r="CA290" s="663"/>
      <c r="CB290" s="663"/>
      <c r="CC290" s="663"/>
      <c r="CD290" s="663"/>
      <c r="CE290" s="663"/>
      <c r="CF290" s="663"/>
      <c r="CG290" s="663"/>
      <c r="CH290" s="663"/>
      <c r="CI290" s="663"/>
      <c r="CJ290" s="663"/>
      <c r="CK290" s="663"/>
      <c r="CL290" s="663"/>
      <c r="CM290" s="663"/>
      <c r="CN290" s="663"/>
      <c r="CO290" s="663"/>
      <c r="CP290" s="663"/>
      <c r="CQ290" s="663"/>
      <c r="CR290" s="663"/>
      <c r="CS290" s="663"/>
      <c r="CT290" s="663"/>
      <c r="CU290" s="663"/>
      <c r="CV290" s="663"/>
      <c r="CW290" s="663"/>
      <c r="CX290" s="663"/>
      <c r="CY290" s="663"/>
      <c r="CZ290" s="663"/>
      <c r="DA290" s="663"/>
      <c r="DB290" s="663"/>
      <c r="DC290" s="663"/>
      <c r="DD290" s="663"/>
      <c r="DE290" s="663"/>
      <c r="DF290" s="663"/>
      <c r="DG290" s="663"/>
      <c r="DH290" s="663"/>
      <c r="DI290" s="663"/>
      <c r="DJ290" s="663"/>
      <c r="DK290" s="663"/>
      <c r="DL290" s="663"/>
      <c r="DM290" s="663"/>
      <c r="DN290" s="663"/>
      <c r="DO290" s="663"/>
      <c r="DP290" s="663"/>
      <c r="DQ290" s="663"/>
      <c r="DR290" s="663"/>
      <c r="DS290" s="663"/>
      <c r="DT290" s="663"/>
      <c r="DU290" s="663"/>
      <c r="DV290" s="663"/>
      <c r="DW290" s="663"/>
      <c r="DX290" s="663"/>
      <c r="DY290" s="663"/>
      <c r="DZ290" s="663"/>
      <c r="EA290" s="663"/>
      <c r="EB290" s="663"/>
      <c r="EC290" s="663"/>
      <c r="ED290" s="663"/>
      <c r="EE290" s="663"/>
      <c r="EF290" s="663"/>
      <c r="EG290" s="663"/>
      <c r="EH290" s="663"/>
      <c r="EI290" s="663"/>
      <c r="EJ290" s="663"/>
      <c r="EK290" s="663"/>
      <c r="EL290" s="663"/>
      <c r="EM290" s="663"/>
      <c r="EN290" s="663"/>
      <c r="EO290" s="663"/>
      <c r="EP290" s="663"/>
      <c r="EQ290" s="663"/>
      <c r="ER290" s="663"/>
      <c r="ES290" s="663"/>
      <c r="ET290" s="663"/>
      <c r="EU290" s="663"/>
      <c r="EV290" s="663"/>
      <c r="EW290" s="663"/>
      <c r="EX290" s="663"/>
      <c r="EY290" s="663"/>
      <c r="EZ290" s="663"/>
      <c r="FA290" s="663"/>
      <c r="FB290" s="663"/>
      <c r="FC290" s="663"/>
      <c r="FD290" s="663"/>
      <c r="FE290" s="663"/>
      <c r="FF290" s="663"/>
      <c r="FG290" s="663"/>
      <c r="FH290" s="663"/>
      <c r="FI290" s="663"/>
      <c r="FJ290" s="663"/>
      <c r="FK290" s="663"/>
      <c r="FL290" s="663"/>
      <c r="FM290" s="663"/>
      <c r="FN290" s="663"/>
      <c r="FO290" s="663"/>
      <c r="FP290" s="663"/>
      <c r="FQ290" s="663"/>
      <c r="FR290" s="663"/>
      <c r="FS290" s="663"/>
      <c r="FT290" s="663"/>
      <c r="FU290" s="663"/>
      <c r="FV290" s="663"/>
      <c r="FW290" s="663"/>
      <c r="FX290" s="663"/>
      <c r="FY290" s="663"/>
      <c r="FZ290" s="663"/>
      <c r="GA290" s="663"/>
      <c r="GB290" s="663"/>
      <c r="GC290" s="663"/>
      <c r="GD290" s="663"/>
      <c r="GE290" s="663"/>
      <c r="GF290" s="663"/>
      <c r="GG290" s="663"/>
    </row>
    <row r="291" spans="1:189">
      <c r="A291" s="670"/>
      <c r="B291" s="670"/>
      <c r="C291" s="670"/>
      <c r="D291" s="670"/>
      <c r="E291" s="670"/>
      <c r="F291" s="670"/>
      <c r="G291" s="671"/>
      <c r="H291" s="626"/>
      <c r="I291" s="626"/>
      <c r="J291" s="672"/>
      <c r="K291" s="663"/>
      <c r="L291" s="663"/>
      <c r="M291" s="663"/>
      <c r="N291" s="663"/>
      <c r="O291" s="663"/>
      <c r="P291" s="663"/>
      <c r="Q291" s="663"/>
      <c r="R291" s="663"/>
      <c r="S291" s="663"/>
      <c r="T291" s="663"/>
      <c r="U291" s="663"/>
      <c r="V291" s="663"/>
      <c r="W291" s="663"/>
      <c r="X291" s="663"/>
      <c r="Y291" s="663"/>
      <c r="Z291" s="663"/>
      <c r="AA291" s="663"/>
      <c r="AB291" s="663"/>
      <c r="AC291" s="663"/>
      <c r="AD291" s="663"/>
      <c r="AE291" s="663"/>
      <c r="AF291" s="663"/>
      <c r="AG291" s="663"/>
      <c r="AH291" s="663"/>
      <c r="AI291" s="663"/>
      <c r="AJ291" s="663"/>
      <c r="AK291" s="663"/>
      <c r="AL291" s="663"/>
      <c r="AM291" s="663"/>
      <c r="AN291" s="663"/>
      <c r="AO291" s="663"/>
      <c r="AP291" s="663"/>
      <c r="AQ291" s="663"/>
      <c r="AR291" s="663"/>
      <c r="AS291" s="663"/>
      <c r="AT291" s="663"/>
      <c r="AU291" s="663"/>
      <c r="AV291" s="663"/>
      <c r="AW291" s="663"/>
      <c r="AX291" s="663"/>
      <c r="AY291" s="663"/>
      <c r="AZ291" s="663"/>
      <c r="BA291" s="663"/>
      <c r="BB291" s="663"/>
      <c r="BC291" s="663"/>
      <c r="BD291" s="663"/>
      <c r="BE291" s="663"/>
      <c r="BF291" s="663"/>
      <c r="BG291" s="663"/>
      <c r="BH291" s="663"/>
      <c r="BI291" s="663"/>
      <c r="BJ291" s="663"/>
      <c r="BK291" s="663"/>
      <c r="BL291" s="663"/>
      <c r="BM291" s="663"/>
      <c r="BN291" s="663"/>
      <c r="BO291" s="663"/>
      <c r="BP291" s="663"/>
      <c r="BQ291" s="663"/>
      <c r="BR291" s="663"/>
      <c r="BS291" s="663"/>
      <c r="BT291" s="663"/>
      <c r="BU291" s="663"/>
      <c r="BV291" s="663"/>
      <c r="BW291" s="663"/>
      <c r="BX291" s="663"/>
      <c r="BY291" s="663"/>
      <c r="BZ291" s="663"/>
      <c r="CA291" s="663"/>
      <c r="CB291" s="663"/>
      <c r="CC291" s="663"/>
      <c r="CD291" s="663"/>
      <c r="CE291" s="663"/>
      <c r="CF291" s="663"/>
      <c r="CG291" s="663"/>
      <c r="CH291" s="663"/>
      <c r="CI291" s="663"/>
      <c r="CJ291" s="663"/>
      <c r="CK291" s="663"/>
      <c r="CL291" s="663"/>
      <c r="CM291" s="663"/>
      <c r="CN291" s="663"/>
      <c r="CO291" s="663"/>
      <c r="CP291" s="663"/>
      <c r="CQ291" s="663"/>
      <c r="CR291" s="663"/>
      <c r="CS291" s="663"/>
      <c r="CT291" s="663"/>
      <c r="CU291" s="663"/>
      <c r="CV291" s="663"/>
      <c r="CW291" s="663"/>
      <c r="CX291" s="663"/>
      <c r="CY291" s="663"/>
      <c r="CZ291" s="663"/>
      <c r="DA291" s="663"/>
      <c r="DB291" s="663"/>
      <c r="DC291" s="663"/>
      <c r="DD291" s="663"/>
      <c r="DE291" s="663"/>
      <c r="DF291" s="663"/>
      <c r="DG291" s="663"/>
      <c r="DH291" s="663"/>
      <c r="DI291" s="663"/>
      <c r="DJ291" s="663"/>
      <c r="DK291" s="663"/>
      <c r="DL291" s="663"/>
      <c r="DM291" s="663"/>
      <c r="DN291" s="663"/>
      <c r="DO291" s="663"/>
      <c r="DP291" s="663"/>
      <c r="DQ291" s="663"/>
      <c r="DR291" s="663"/>
      <c r="DS291" s="663"/>
      <c r="DT291" s="663"/>
      <c r="DU291" s="663"/>
      <c r="DV291" s="663"/>
      <c r="DW291" s="663"/>
      <c r="DX291" s="663"/>
      <c r="DY291" s="663"/>
      <c r="DZ291" s="663"/>
      <c r="EA291" s="663"/>
      <c r="EB291" s="663"/>
      <c r="EC291" s="663"/>
      <c r="ED291" s="663"/>
      <c r="EE291" s="663"/>
      <c r="EF291" s="663"/>
      <c r="EG291" s="663"/>
      <c r="EH291" s="663"/>
      <c r="EI291" s="663"/>
      <c r="EJ291" s="663"/>
      <c r="EK291" s="663"/>
      <c r="EL291" s="663"/>
      <c r="EM291" s="663"/>
      <c r="EN291" s="663"/>
      <c r="EO291" s="663"/>
      <c r="EP291" s="663"/>
      <c r="EQ291" s="663"/>
      <c r="ER291" s="663"/>
      <c r="ES291" s="663"/>
      <c r="ET291" s="663"/>
      <c r="EU291" s="663"/>
      <c r="EV291" s="663"/>
      <c r="EW291" s="663"/>
      <c r="EX291" s="663"/>
      <c r="EY291" s="663"/>
      <c r="EZ291" s="663"/>
      <c r="FA291" s="663"/>
      <c r="FB291" s="663"/>
      <c r="FC291" s="663"/>
      <c r="FD291" s="663"/>
      <c r="FE291" s="663"/>
      <c r="FF291" s="663"/>
      <c r="FG291" s="663"/>
      <c r="FH291" s="663"/>
      <c r="FI291" s="663"/>
      <c r="FJ291" s="663"/>
      <c r="FK291" s="663"/>
      <c r="FL291" s="663"/>
      <c r="FM291" s="663"/>
      <c r="FN291" s="663"/>
      <c r="FO291" s="663"/>
      <c r="FP291" s="663"/>
      <c r="FQ291" s="663"/>
      <c r="FR291" s="663"/>
      <c r="FS291" s="663"/>
      <c r="FT291" s="663"/>
      <c r="FU291" s="663"/>
      <c r="FV291" s="663"/>
      <c r="FW291" s="663"/>
      <c r="FX291" s="663"/>
      <c r="FY291" s="663"/>
      <c r="FZ291" s="663"/>
      <c r="GA291" s="663"/>
      <c r="GB291" s="663"/>
      <c r="GC291" s="663"/>
      <c r="GD291" s="663"/>
      <c r="GE291" s="663"/>
      <c r="GF291" s="663"/>
      <c r="GG291" s="663"/>
    </row>
    <row r="292" spans="1:189">
      <c r="A292" s="670"/>
      <c r="B292" s="670"/>
      <c r="C292" s="670"/>
      <c r="D292" s="670"/>
      <c r="E292" s="670"/>
      <c r="F292" s="670"/>
      <c r="G292" s="671"/>
      <c r="H292" s="626"/>
      <c r="I292" s="626"/>
      <c r="J292" s="672"/>
      <c r="K292" s="663"/>
      <c r="L292" s="663"/>
      <c r="M292" s="663"/>
      <c r="N292" s="663"/>
      <c r="O292" s="663"/>
      <c r="P292" s="663"/>
      <c r="Q292" s="663"/>
      <c r="R292" s="663"/>
      <c r="S292" s="663"/>
      <c r="T292" s="663"/>
      <c r="U292" s="663"/>
      <c r="V292" s="663"/>
      <c r="W292" s="663"/>
      <c r="X292" s="663"/>
      <c r="Y292" s="663"/>
      <c r="Z292" s="663"/>
      <c r="AA292" s="663"/>
      <c r="AB292" s="663"/>
      <c r="AC292" s="663"/>
      <c r="AD292" s="663"/>
      <c r="AE292" s="663"/>
      <c r="AF292" s="663"/>
      <c r="AG292" s="663"/>
      <c r="AH292" s="663"/>
      <c r="AI292" s="663"/>
      <c r="AJ292" s="663"/>
      <c r="AK292" s="663"/>
      <c r="AL292" s="663"/>
      <c r="AM292" s="663"/>
      <c r="AN292" s="663"/>
      <c r="AO292" s="663"/>
      <c r="AP292" s="663"/>
      <c r="AQ292" s="663"/>
      <c r="AR292" s="663"/>
      <c r="AS292" s="663"/>
      <c r="AT292" s="663"/>
      <c r="AU292" s="663"/>
      <c r="AV292" s="663"/>
      <c r="AW292" s="663"/>
      <c r="AX292" s="663"/>
      <c r="AY292" s="663"/>
      <c r="AZ292" s="663"/>
      <c r="BA292" s="663"/>
      <c r="BB292" s="663"/>
      <c r="BC292" s="663"/>
      <c r="BD292" s="663"/>
      <c r="BE292" s="663"/>
      <c r="BF292" s="663"/>
      <c r="BG292" s="663"/>
      <c r="BH292" s="663"/>
      <c r="BI292" s="663"/>
      <c r="BJ292" s="663"/>
      <c r="BK292" s="663"/>
      <c r="BL292" s="663"/>
      <c r="BM292" s="663"/>
      <c r="BN292" s="663"/>
      <c r="BO292" s="663"/>
      <c r="BP292" s="663"/>
      <c r="BQ292" s="663"/>
      <c r="BR292" s="663"/>
      <c r="BS292" s="663"/>
      <c r="BT292" s="663"/>
      <c r="BU292" s="663"/>
      <c r="BV292" s="663"/>
      <c r="BW292" s="663"/>
      <c r="BX292" s="663"/>
      <c r="BY292" s="663"/>
      <c r="BZ292" s="663"/>
      <c r="CA292" s="663"/>
      <c r="CB292" s="663"/>
      <c r="CC292" s="663"/>
      <c r="CD292" s="663"/>
      <c r="CE292" s="663"/>
      <c r="CF292" s="663"/>
      <c r="CG292" s="663"/>
      <c r="CH292" s="663"/>
      <c r="CI292" s="663"/>
      <c r="CJ292" s="663"/>
      <c r="CK292" s="663"/>
      <c r="CL292" s="663"/>
      <c r="CM292" s="663"/>
      <c r="CN292" s="663"/>
      <c r="CO292" s="663"/>
      <c r="CP292" s="663"/>
      <c r="CQ292" s="663"/>
      <c r="CR292" s="663"/>
      <c r="CS292" s="663"/>
      <c r="CT292" s="663"/>
      <c r="CU292" s="663"/>
      <c r="CV292" s="663"/>
      <c r="CW292" s="663"/>
      <c r="CX292" s="663"/>
      <c r="CY292" s="663"/>
      <c r="CZ292" s="663"/>
      <c r="DA292" s="663"/>
      <c r="DB292" s="663"/>
      <c r="DC292" s="663"/>
      <c r="DD292" s="663"/>
      <c r="DE292" s="663"/>
      <c r="DF292" s="663"/>
      <c r="DG292" s="663"/>
      <c r="DH292" s="663"/>
      <c r="DI292" s="663"/>
      <c r="DJ292" s="663"/>
      <c r="DK292" s="663"/>
      <c r="DL292" s="663"/>
      <c r="DM292" s="663"/>
      <c r="DN292" s="663"/>
      <c r="DO292" s="663"/>
      <c r="DP292" s="663"/>
      <c r="DQ292" s="663"/>
      <c r="DR292" s="663"/>
      <c r="DS292" s="663"/>
      <c r="DT292" s="663"/>
      <c r="DU292" s="663"/>
      <c r="DV292" s="663"/>
      <c r="DW292" s="663"/>
      <c r="DX292" s="663"/>
      <c r="DY292" s="663"/>
      <c r="DZ292" s="663"/>
      <c r="EA292" s="663"/>
      <c r="EB292" s="663"/>
      <c r="EC292" s="663"/>
      <c r="ED292" s="663"/>
      <c r="EE292" s="663"/>
      <c r="EF292" s="663"/>
      <c r="EG292" s="663"/>
      <c r="EH292" s="663"/>
      <c r="EI292" s="663"/>
      <c r="EJ292" s="663"/>
      <c r="EK292" s="663"/>
      <c r="EL292" s="663"/>
      <c r="EM292" s="663"/>
      <c r="EN292" s="663"/>
      <c r="EO292" s="663"/>
      <c r="EP292" s="663"/>
      <c r="EQ292" s="663"/>
      <c r="ER292" s="663"/>
      <c r="ES292" s="663"/>
      <c r="ET292" s="663"/>
      <c r="EU292" s="663"/>
      <c r="EV292" s="663"/>
      <c r="EW292" s="663"/>
      <c r="EX292" s="663"/>
      <c r="EY292" s="663"/>
      <c r="EZ292" s="663"/>
      <c r="FA292" s="663"/>
      <c r="FB292" s="663"/>
      <c r="FC292" s="663"/>
      <c r="FD292" s="663"/>
      <c r="FE292" s="663"/>
      <c r="FF292" s="663"/>
      <c r="FG292" s="663"/>
      <c r="FH292" s="663"/>
      <c r="FI292" s="663"/>
      <c r="FJ292" s="663"/>
      <c r="FK292" s="663"/>
      <c r="FL292" s="663"/>
      <c r="FM292" s="663"/>
      <c r="FN292" s="663"/>
      <c r="FO292" s="663"/>
      <c r="FP292" s="663"/>
      <c r="FQ292" s="663"/>
      <c r="FR292" s="663"/>
      <c r="FS292" s="663"/>
      <c r="FT292" s="663"/>
      <c r="FU292" s="663"/>
      <c r="FV292" s="663"/>
      <c r="FW292" s="663"/>
      <c r="FX292" s="663"/>
      <c r="FY292" s="663"/>
      <c r="FZ292" s="663"/>
      <c r="GA292" s="663"/>
      <c r="GB292" s="663"/>
      <c r="GC292" s="663"/>
      <c r="GD292" s="663"/>
      <c r="GE292" s="663"/>
      <c r="GF292" s="663"/>
      <c r="GG292" s="663"/>
    </row>
    <row r="293" spans="1:189">
      <c r="A293" s="670"/>
      <c r="B293" s="670"/>
      <c r="C293" s="670"/>
      <c r="D293" s="670"/>
      <c r="E293" s="670"/>
      <c r="F293" s="670"/>
      <c r="G293" s="671"/>
      <c r="H293" s="626"/>
      <c r="I293" s="626"/>
      <c r="J293" s="672"/>
      <c r="K293" s="663"/>
      <c r="L293" s="663"/>
      <c r="M293" s="663"/>
      <c r="N293" s="663"/>
      <c r="O293" s="663"/>
      <c r="P293" s="663"/>
      <c r="Q293" s="663"/>
      <c r="R293" s="663"/>
      <c r="S293" s="663"/>
      <c r="T293" s="663"/>
      <c r="U293" s="663"/>
      <c r="V293" s="663"/>
      <c r="W293" s="663"/>
      <c r="X293" s="663"/>
      <c r="Y293" s="663"/>
      <c r="Z293" s="663"/>
      <c r="AA293" s="663"/>
      <c r="AB293" s="663"/>
      <c r="AC293" s="663"/>
      <c r="AD293" s="663"/>
      <c r="AE293" s="663"/>
      <c r="AF293" s="663"/>
      <c r="AG293" s="663"/>
      <c r="AH293" s="663"/>
      <c r="AI293" s="663"/>
      <c r="AJ293" s="663"/>
      <c r="AK293" s="663"/>
      <c r="AL293" s="663"/>
      <c r="AM293" s="663"/>
      <c r="AN293" s="663"/>
      <c r="AO293" s="663"/>
      <c r="AP293" s="663"/>
      <c r="AQ293" s="663"/>
      <c r="AR293" s="663"/>
      <c r="AS293" s="663"/>
      <c r="AT293" s="663"/>
      <c r="AU293" s="663"/>
      <c r="AV293" s="663"/>
      <c r="AW293" s="663"/>
      <c r="AX293" s="663"/>
      <c r="AY293" s="663"/>
      <c r="AZ293" s="663"/>
      <c r="BA293" s="663"/>
      <c r="BB293" s="663"/>
      <c r="BC293" s="663"/>
      <c r="BD293" s="663"/>
      <c r="BE293" s="663"/>
      <c r="BF293" s="663"/>
      <c r="BG293" s="663"/>
      <c r="BH293" s="663"/>
      <c r="BI293" s="663"/>
      <c r="BJ293" s="663"/>
      <c r="BK293" s="663"/>
      <c r="BL293" s="663"/>
      <c r="BM293" s="663"/>
      <c r="BN293" s="663"/>
      <c r="BO293" s="663"/>
      <c r="BP293" s="663"/>
      <c r="BQ293" s="663"/>
      <c r="BR293" s="663"/>
      <c r="BS293" s="663"/>
      <c r="BT293" s="663"/>
      <c r="BU293" s="663"/>
      <c r="BV293" s="663"/>
      <c r="BW293" s="663"/>
      <c r="BX293" s="663"/>
      <c r="BY293" s="663"/>
      <c r="BZ293" s="663"/>
      <c r="CA293" s="663"/>
      <c r="CB293" s="663"/>
      <c r="CC293" s="663"/>
      <c r="CD293" s="663"/>
      <c r="CE293" s="663"/>
      <c r="CF293" s="663"/>
      <c r="CG293" s="663"/>
      <c r="CH293" s="663"/>
      <c r="CI293" s="663"/>
      <c r="CJ293" s="663"/>
      <c r="CK293" s="663"/>
      <c r="CL293" s="663"/>
      <c r="CM293" s="663"/>
      <c r="CN293" s="663"/>
      <c r="CO293" s="663"/>
      <c r="CP293" s="663"/>
      <c r="CQ293" s="663"/>
      <c r="CR293" s="663"/>
      <c r="CS293" s="663"/>
      <c r="CT293" s="663"/>
      <c r="CU293" s="663"/>
      <c r="CV293" s="663"/>
      <c r="CW293" s="663"/>
      <c r="CX293" s="663"/>
      <c r="CY293" s="663"/>
      <c r="CZ293" s="663"/>
      <c r="DA293" s="663"/>
      <c r="DB293" s="663"/>
      <c r="DC293" s="663"/>
      <c r="DD293" s="663"/>
      <c r="DE293" s="663"/>
      <c r="DF293" s="663"/>
      <c r="DG293" s="663"/>
      <c r="DH293" s="663"/>
      <c r="DI293" s="663"/>
      <c r="DJ293" s="663"/>
      <c r="DK293" s="663"/>
      <c r="DL293" s="663"/>
      <c r="DM293" s="663"/>
      <c r="DN293" s="663"/>
      <c r="DO293" s="663"/>
      <c r="DP293" s="663"/>
      <c r="DQ293" s="663"/>
      <c r="DR293" s="663"/>
      <c r="DS293" s="663"/>
      <c r="DT293" s="663"/>
      <c r="DU293" s="663"/>
      <c r="DV293" s="663"/>
      <c r="DW293" s="663"/>
      <c r="DX293" s="663"/>
      <c r="DY293" s="663"/>
      <c r="DZ293" s="663"/>
      <c r="EA293" s="663"/>
      <c r="EB293" s="663"/>
      <c r="EC293" s="663"/>
      <c r="ED293" s="663"/>
      <c r="EE293" s="663"/>
      <c r="EF293" s="663"/>
      <c r="EG293" s="663"/>
      <c r="EH293" s="663"/>
      <c r="EI293" s="663"/>
      <c r="EJ293" s="663"/>
      <c r="EK293" s="663"/>
      <c r="EL293" s="663"/>
      <c r="EM293" s="663"/>
      <c r="EN293" s="663"/>
      <c r="EO293" s="663"/>
      <c r="EP293" s="663"/>
      <c r="EQ293" s="663"/>
      <c r="ER293" s="663"/>
      <c r="ES293" s="663"/>
      <c r="ET293" s="663"/>
      <c r="EU293" s="663"/>
      <c r="EV293" s="663"/>
      <c r="EW293" s="663"/>
      <c r="EX293" s="663"/>
      <c r="EY293" s="663"/>
      <c r="EZ293" s="663"/>
      <c r="FA293" s="663"/>
      <c r="FB293" s="663"/>
      <c r="FC293" s="663"/>
      <c r="FD293" s="663"/>
      <c r="FE293" s="663"/>
      <c r="FF293" s="663"/>
      <c r="FG293" s="663"/>
      <c r="FH293" s="663"/>
      <c r="FI293" s="663"/>
      <c r="FJ293" s="663"/>
      <c r="FK293" s="663"/>
      <c r="FL293" s="663"/>
      <c r="FM293" s="663"/>
      <c r="FN293" s="663"/>
      <c r="FO293" s="663"/>
      <c r="FP293" s="663"/>
      <c r="FQ293" s="663"/>
      <c r="FR293" s="663"/>
      <c r="FS293" s="663"/>
      <c r="FT293" s="663"/>
      <c r="FU293" s="663"/>
      <c r="FV293" s="663"/>
      <c r="FW293" s="663"/>
      <c r="FX293" s="663"/>
      <c r="FY293" s="663"/>
      <c r="FZ293" s="663"/>
      <c r="GA293" s="663"/>
      <c r="GB293" s="663"/>
      <c r="GC293" s="663"/>
      <c r="GD293" s="663"/>
      <c r="GE293" s="663"/>
      <c r="GF293" s="663"/>
      <c r="GG293" s="663"/>
    </row>
    <row r="294" spans="1:189">
      <c r="A294" s="670"/>
      <c r="B294" s="670"/>
      <c r="C294" s="670"/>
      <c r="D294" s="670"/>
      <c r="E294" s="670"/>
      <c r="F294" s="670"/>
      <c r="G294" s="671"/>
      <c r="H294" s="626"/>
      <c r="I294" s="626"/>
      <c r="J294" s="672"/>
      <c r="K294" s="663"/>
      <c r="L294" s="663"/>
      <c r="M294" s="663"/>
      <c r="N294" s="663"/>
      <c r="O294" s="663"/>
      <c r="P294" s="663"/>
      <c r="Q294" s="663"/>
      <c r="R294" s="663"/>
      <c r="S294" s="663"/>
      <c r="T294" s="663"/>
      <c r="U294" s="663"/>
      <c r="V294" s="663"/>
      <c r="W294" s="663"/>
      <c r="X294" s="663"/>
      <c r="Y294" s="663"/>
      <c r="Z294" s="663"/>
      <c r="AA294" s="663"/>
      <c r="AB294" s="663"/>
      <c r="AC294" s="663"/>
      <c r="AD294" s="663"/>
      <c r="AE294" s="663"/>
      <c r="AF294" s="663"/>
      <c r="AG294" s="663"/>
      <c r="AH294" s="663"/>
      <c r="AI294" s="663"/>
      <c r="AJ294" s="663"/>
      <c r="AK294" s="663"/>
      <c r="AL294" s="663"/>
      <c r="AM294" s="663"/>
      <c r="AN294" s="663"/>
      <c r="AO294" s="663"/>
      <c r="AP294" s="663"/>
      <c r="AQ294" s="663"/>
      <c r="AR294" s="663"/>
      <c r="AS294" s="663"/>
      <c r="AT294" s="663"/>
      <c r="AU294" s="663"/>
      <c r="AV294" s="663"/>
      <c r="AW294" s="663"/>
      <c r="AX294" s="663"/>
      <c r="AY294" s="663"/>
      <c r="AZ294" s="663"/>
      <c r="BA294" s="663"/>
      <c r="BB294" s="663"/>
      <c r="BC294" s="663"/>
      <c r="BD294" s="663"/>
      <c r="BE294" s="663"/>
      <c r="BF294" s="663"/>
      <c r="BG294" s="663"/>
      <c r="BH294" s="663"/>
      <c r="BI294" s="663"/>
      <c r="BJ294" s="663"/>
      <c r="BK294" s="663"/>
      <c r="BL294" s="663"/>
      <c r="BM294" s="663"/>
      <c r="BN294" s="663"/>
      <c r="BO294" s="663"/>
      <c r="BP294" s="663"/>
      <c r="BQ294" s="663"/>
      <c r="BR294" s="663"/>
      <c r="BS294" s="663"/>
      <c r="BT294" s="663"/>
      <c r="BU294" s="663"/>
      <c r="BV294" s="663"/>
      <c r="BW294" s="663"/>
      <c r="BX294" s="663"/>
      <c r="BY294" s="663"/>
      <c r="BZ294" s="663"/>
      <c r="CA294" s="663"/>
      <c r="CB294" s="663"/>
      <c r="CC294" s="663"/>
      <c r="CD294" s="663"/>
      <c r="CE294" s="663"/>
      <c r="CF294" s="663"/>
      <c r="CG294" s="663"/>
      <c r="CH294" s="663"/>
      <c r="CI294" s="663"/>
      <c r="CJ294" s="663"/>
      <c r="CK294" s="663"/>
      <c r="CL294" s="663"/>
      <c r="CM294" s="663"/>
      <c r="CN294" s="663"/>
      <c r="CO294" s="663"/>
      <c r="CP294" s="663"/>
      <c r="CQ294" s="663"/>
      <c r="CR294" s="663"/>
      <c r="CS294" s="663"/>
      <c r="CT294" s="663"/>
      <c r="CU294" s="663"/>
      <c r="CV294" s="663"/>
      <c r="CW294" s="663"/>
      <c r="CX294" s="663"/>
      <c r="CY294" s="663"/>
      <c r="CZ294" s="663"/>
      <c r="DA294" s="663"/>
      <c r="DB294" s="663"/>
      <c r="DC294" s="663"/>
      <c r="DD294" s="663"/>
      <c r="DE294" s="663"/>
      <c r="DF294" s="663"/>
      <c r="DG294" s="663"/>
      <c r="DH294" s="663"/>
      <c r="DI294" s="663"/>
      <c r="DJ294" s="663"/>
      <c r="DK294" s="663"/>
      <c r="DL294" s="663"/>
      <c r="DM294" s="663"/>
      <c r="DN294" s="663"/>
      <c r="DO294" s="663"/>
      <c r="DP294" s="663"/>
      <c r="DQ294" s="663"/>
      <c r="DR294" s="663"/>
      <c r="DS294" s="663"/>
      <c r="DT294" s="663"/>
      <c r="DU294" s="663"/>
      <c r="DV294" s="663"/>
      <c r="DW294" s="663"/>
      <c r="DX294" s="663"/>
      <c r="DY294" s="663"/>
      <c r="DZ294" s="663"/>
      <c r="EA294" s="663"/>
      <c r="EB294" s="663"/>
      <c r="EC294" s="663"/>
      <c r="ED294" s="663"/>
      <c r="EE294" s="663"/>
      <c r="EF294" s="663"/>
      <c r="EG294" s="663"/>
      <c r="EH294" s="663"/>
      <c r="EI294" s="663"/>
      <c r="EJ294" s="663"/>
      <c r="EK294" s="663"/>
      <c r="EL294" s="663"/>
      <c r="EM294" s="663"/>
      <c r="EN294" s="663"/>
      <c r="EO294" s="663"/>
      <c r="EP294" s="663"/>
      <c r="EQ294" s="663"/>
      <c r="ER294" s="663"/>
      <c r="ES294" s="663"/>
      <c r="ET294" s="663"/>
      <c r="EU294" s="663"/>
      <c r="EV294" s="663"/>
      <c r="EW294" s="663"/>
      <c r="EX294" s="663"/>
      <c r="EY294" s="663"/>
      <c r="EZ294" s="663"/>
      <c r="FA294" s="663"/>
      <c r="FB294" s="663"/>
      <c r="FC294" s="663"/>
      <c r="FD294" s="663"/>
      <c r="FE294" s="663"/>
      <c r="FF294" s="663"/>
      <c r="FG294" s="663"/>
      <c r="FH294" s="663"/>
      <c r="FI294" s="663"/>
      <c r="FJ294" s="663"/>
      <c r="FK294" s="663"/>
      <c r="FL294" s="663"/>
      <c r="FM294" s="663"/>
      <c r="FN294" s="663"/>
      <c r="FO294" s="663"/>
      <c r="FP294" s="663"/>
      <c r="FQ294" s="663"/>
      <c r="FR294" s="663"/>
      <c r="FS294" s="663"/>
      <c r="FT294" s="663"/>
      <c r="FU294" s="663"/>
      <c r="FV294" s="663"/>
      <c r="FW294" s="663"/>
      <c r="FX294" s="663"/>
      <c r="FY294" s="663"/>
      <c r="FZ294" s="663"/>
      <c r="GA294" s="663"/>
      <c r="GB294" s="663"/>
      <c r="GC294" s="663"/>
      <c r="GD294" s="663"/>
      <c r="GE294" s="663"/>
      <c r="GF294" s="663"/>
      <c r="GG294" s="663"/>
    </row>
    <row r="295" spans="1:189">
      <c r="A295" s="670"/>
      <c r="B295" s="670"/>
      <c r="C295" s="670"/>
      <c r="D295" s="670"/>
      <c r="E295" s="670"/>
      <c r="F295" s="670"/>
      <c r="G295" s="671"/>
      <c r="H295" s="626"/>
      <c r="I295" s="626"/>
      <c r="J295" s="672"/>
      <c r="K295" s="663"/>
      <c r="L295" s="663"/>
      <c r="M295" s="663"/>
      <c r="N295" s="663"/>
      <c r="O295" s="663"/>
      <c r="P295" s="663"/>
      <c r="Q295" s="663"/>
      <c r="R295" s="663"/>
      <c r="S295" s="663"/>
      <c r="T295" s="663"/>
      <c r="U295" s="663"/>
      <c r="V295" s="663"/>
      <c r="W295" s="663"/>
      <c r="X295" s="663"/>
      <c r="Y295" s="663"/>
      <c r="Z295" s="663"/>
      <c r="AA295" s="663"/>
      <c r="AB295" s="663"/>
      <c r="AC295" s="663"/>
      <c r="AD295" s="663"/>
      <c r="AE295" s="663"/>
      <c r="AF295" s="663"/>
      <c r="AG295" s="663"/>
      <c r="AH295" s="663"/>
      <c r="AI295" s="663"/>
      <c r="AJ295" s="663"/>
      <c r="AK295" s="663"/>
      <c r="AL295" s="663"/>
      <c r="AM295" s="663"/>
      <c r="AN295" s="663"/>
      <c r="AO295" s="663"/>
      <c r="AP295" s="663"/>
      <c r="AQ295" s="663"/>
      <c r="AR295" s="663"/>
      <c r="AS295" s="663"/>
      <c r="AT295" s="663"/>
      <c r="AU295" s="663"/>
      <c r="AV295" s="663"/>
      <c r="AW295" s="663"/>
      <c r="AX295" s="663"/>
      <c r="AY295" s="663"/>
      <c r="AZ295" s="663"/>
      <c r="BA295" s="663"/>
      <c r="BB295" s="663"/>
      <c r="BC295" s="663"/>
      <c r="BD295" s="663"/>
      <c r="BE295" s="663"/>
      <c r="BF295" s="663"/>
      <c r="BG295" s="663"/>
      <c r="BH295" s="663"/>
      <c r="BI295" s="663"/>
      <c r="BJ295" s="663"/>
      <c r="BK295" s="663"/>
      <c r="BL295" s="663"/>
      <c r="BM295" s="663"/>
      <c r="BN295" s="663"/>
      <c r="BO295" s="663"/>
      <c r="BP295" s="663"/>
      <c r="BQ295" s="663"/>
      <c r="BR295" s="663"/>
      <c r="BS295" s="663"/>
      <c r="BT295" s="663"/>
      <c r="BU295" s="663"/>
      <c r="BV295" s="663"/>
      <c r="BW295" s="663"/>
      <c r="BX295" s="663"/>
      <c r="BY295" s="663"/>
      <c r="BZ295" s="663"/>
      <c r="CA295" s="663"/>
      <c r="CB295" s="663"/>
      <c r="CC295" s="663"/>
      <c r="CD295" s="663"/>
      <c r="CE295" s="663"/>
      <c r="CF295" s="663"/>
      <c r="CG295" s="663"/>
      <c r="CH295" s="663"/>
      <c r="CI295" s="663"/>
      <c r="CJ295" s="663"/>
      <c r="CK295" s="663"/>
      <c r="CL295" s="663"/>
      <c r="CM295" s="663"/>
      <c r="CN295" s="663"/>
      <c r="CO295" s="663"/>
      <c r="CP295" s="663"/>
      <c r="CQ295" s="663"/>
      <c r="CR295" s="663"/>
      <c r="CS295" s="663"/>
      <c r="CT295" s="663"/>
      <c r="CU295" s="663"/>
      <c r="CV295" s="663"/>
      <c r="CW295" s="663"/>
      <c r="CX295" s="663"/>
      <c r="CY295" s="663"/>
      <c r="CZ295" s="663"/>
      <c r="DA295" s="663"/>
      <c r="DB295" s="663"/>
      <c r="DC295" s="663"/>
      <c r="DD295" s="663"/>
      <c r="DE295" s="663"/>
      <c r="DF295" s="663"/>
      <c r="DG295" s="663"/>
      <c r="DH295" s="663"/>
      <c r="DI295" s="663"/>
      <c r="DJ295" s="663"/>
      <c r="DK295" s="663"/>
      <c r="DL295" s="663"/>
      <c r="DM295" s="663"/>
      <c r="DN295" s="663"/>
      <c r="DO295" s="663"/>
      <c r="DP295" s="663"/>
      <c r="DQ295" s="663"/>
      <c r="DR295" s="663"/>
      <c r="DS295" s="663"/>
      <c r="DT295" s="663"/>
      <c r="DU295" s="663"/>
      <c r="DV295" s="663"/>
      <c r="DW295" s="663"/>
      <c r="DX295" s="663"/>
      <c r="DY295" s="663"/>
      <c r="DZ295" s="663"/>
      <c r="EA295" s="663"/>
      <c r="EB295" s="663"/>
      <c r="EC295" s="663"/>
      <c r="ED295" s="663"/>
      <c r="EE295" s="663"/>
      <c r="EF295" s="663"/>
      <c r="EG295" s="663"/>
      <c r="EH295" s="663"/>
      <c r="EI295" s="663"/>
      <c r="EJ295" s="663"/>
      <c r="EK295" s="663"/>
      <c r="EL295" s="663"/>
      <c r="EM295" s="663"/>
      <c r="EN295" s="663"/>
      <c r="EO295" s="663"/>
      <c r="EP295" s="663"/>
      <c r="EQ295" s="663"/>
      <c r="ER295" s="663"/>
      <c r="ES295" s="663"/>
      <c r="ET295" s="663"/>
      <c r="EU295" s="663"/>
      <c r="EV295" s="663"/>
      <c r="EW295" s="663"/>
      <c r="EX295" s="663"/>
      <c r="EY295" s="663"/>
      <c r="EZ295" s="663"/>
      <c r="FA295" s="663"/>
      <c r="FB295" s="663"/>
      <c r="FC295" s="663"/>
      <c r="FD295" s="663"/>
      <c r="FE295" s="663"/>
      <c r="FF295" s="663"/>
      <c r="FG295" s="663"/>
      <c r="FH295" s="663"/>
      <c r="FI295" s="663"/>
      <c r="FJ295" s="663"/>
      <c r="FK295" s="663"/>
      <c r="FL295" s="663"/>
      <c r="FM295" s="663"/>
      <c r="FN295" s="663"/>
      <c r="FO295" s="663"/>
      <c r="FP295" s="663"/>
      <c r="FQ295" s="663"/>
      <c r="FR295" s="663"/>
      <c r="FS295" s="663"/>
      <c r="FT295" s="663"/>
      <c r="FU295" s="663"/>
      <c r="FV295" s="663"/>
      <c r="FW295" s="663"/>
      <c r="FX295" s="663"/>
      <c r="FY295" s="663"/>
      <c r="FZ295" s="663"/>
      <c r="GA295" s="663"/>
      <c r="GB295" s="663"/>
      <c r="GC295" s="663"/>
      <c r="GD295" s="663"/>
      <c r="GE295" s="663"/>
      <c r="GF295" s="663"/>
      <c r="GG295" s="663"/>
    </row>
    <row r="296" spans="1:189">
      <c r="A296" s="670"/>
      <c r="B296" s="670"/>
      <c r="C296" s="670"/>
      <c r="D296" s="670"/>
      <c r="E296" s="670"/>
      <c r="F296" s="670"/>
      <c r="G296" s="671"/>
      <c r="H296" s="626"/>
      <c r="I296" s="626"/>
      <c r="J296" s="672"/>
      <c r="K296" s="663"/>
      <c r="L296" s="663"/>
      <c r="M296" s="663"/>
      <c r="N296" s="663"/>
      <c r="O296" s="663"/>
      <c r="P296" s="663"/>
      <c r="Q296" s="663"/>
      <c r="R296" s="663"/>
      <c r="S296" s="663"/>
      <c r="T296" s="663"/>
      <c r="U296" s="663"/>
      <c r="V296" s="663"/>
      <c r="W296" s="663"/>
      <c r="X296" s="663"/>
      <c r="Y296" s="663"/>
      <c r="Z296" s="663"/>
      <c r="AA296" s="663"/>
      <c r="AB296" s="663"/>
      <c r="AC296" s="663"/>
      <c r="AD296" s="663"/>
      <c r="AE296" s="663"/>
      <c r="AF296" s="663"/>
      <c r="AG296" s="663"/>
      <c r="AH296" s="663"/>
      <c r="AI296" s="663"/>
      <c r="AJ296" s="663"/>
      <c r="AK296" s="663"/>
      <c r="AL296" s="663"/>
      <c r="AM296" s="663"/>
      <c r="AN296" s="663"/>
      <c r="AO296" s="663"/>
      <c r="AP296" s="663"/>
      <c r="AQ296" s="663"/>
      <c r="AR296" s="663"/>
      <c r="AS296" s="663"/>
      <c r="AT296" s="663"/>
      <c r="AU296" s="663"/>
      <c r="AV296" s="663"/>
      <c r="AW296" s="663"/>
      <c r="AX296" s="663"/>
      <c r="AY296" s="663"/>
      <c r="AZ296" s="663"/>
      <c r="BA296" s="663"/>
      <c r="BB296" s="663"/>
      <c r="BC296" s="663"/>
      <c r="BD296" s="663"/>
      <c r="BE296" s="663"/>
      <c r="BF296" s="663"/>
      <c r="BG296" s="663"/>
      <c r="BH296" s="663"/>
      <c r="BI296" s="663"/>
      <c r="BJ296" s="663"/>
      <c r="BK296" s="663"/>
      <c r="BL296" s="663"/>
      <c r="BM296" s="663"/>
      <c r="BN296" s="663"/>
      <c r="BO296" s="663"/>
      <c r="BP296" s="663"/>
      <c r="BQ296" s="663"/>
      <c r="BR296" s="663"/>
      <c r="BS296" s="663"/>
      <c r="BT296" s="663"/>
      <c r="BU296" s="663"/>
      <c r="BV296" s="663"/>
      <c r="BW296" s="663"/>
      <c r="BX296" s="663"/>
      <c r="BY296" s="663"/>
      <c r="BZ296" s="663"/>
      <c r="CA296" s="663"/>
      <c r="CB296" s="663"/>
      <c r="CC296" s="663"/>
      <c r="CD296" s="663"/>
      <c r="CE296" s="663"/>
      <c r="CF296" s="663"/>
      <c r="CG296" s="663"/>
      <c r="CH296" s="663"/>
      <c r="CI296" s="663"/>
      <c r="CJ296" s="663"/>
      <c r="CK296" s="663"/>
      <c r="CL296" s="663"/>
      <c r="CM296" s="663"/>
      <c r="CN296" s="663"/>
      <c r="CO296" s="663"/>
      <c r="CP296" s="663"/>
      <c r="CQ296" s="663"/>
      <c r="CR296" s="663"/>
      <c r="CS296" s="663"/>
      <c r="CT296" s="663"/>
      <c r="CU296" s="663"/>
      <c r="CV296" s="663"/>
      <c r="CW296" s="663"/>
      <c r="CX296" s="663"/>
      <c r="CY296" s="663"/>
      <c r="CZ296" s="663"/>
      <c r="DA296" s="663"/>
      <c r="DB296" s="663"/>
      <c r="DC296" s="663"/>
      <c r="DD296" s="663"/>
      <c r="DE296" s="663"/>
      <c r="DF296" s="663"/>
      <c r="DG296" s="663"/>
      <c r="DH296" s="663"/>
      <c r="DI296" s="663"/>
      <c r="DJ296" s="663"/>
      <c r="DK296" s="663"/>
      <c r="DL296" s="663"/>
      <c r="DM296" s="663"/>
      <c r="DN296" s="663"/>
      <c r="DO296" s="663"/>
      <c r="DP296" s="663"/>
      <c r="DQ296" s="663"/>
      <c r="DR296" s="663"/>
      <c r="DS296" s="663"/>
      <c r="DT296" s="663"/>
      <c r="DU296" s="663"/>
      <c r="DV296" s="663"/>
      <c r="DW296" s="663"/>
      <c r="DX296" s="663"/>
      <c r="DY296" s="663"/>
      <c r="DZ296" s="663"/>
      <c r="EA296" s="663"/>
      <c r="EB296" s="663"/>
      <c r="EC296" s="663"/>
      <c r="ED296" s="663"/>
      <c r="EE296" s="663"/>
      <c r="EF296" s="663"/>
      <c r="EG296" s="663"/>
      <c r="EH296" s="663"/>
      <c r="EI296" s="663"/>
      <c r="EJ296" s="663"/>
      <c r="EK296" s="663"/>
      <c r="EL296" s="663"/>
      <c r="EM296" s="663"/>
      <c r="EN296" s="663"/>
      <c r="EO296" s="663"/>
      <c r="EP296" s="663"/>
      <c r="EQ296" s="663"/>
      <c r="ER296" s="663"/>
      <c r="ES296" s="663"/>
      <c r="ET296" s="663"/>
      <c r="EU296" s="663"/>
      <c r="EV296" s="663"/>
      <c r="EW296" s="663"/>
      <c r="EX296" s="663"/>
      <c r="EY296" s="663"/>
      <c r="EZ296" s="663"/>
      <c r="FA296" s="663"/>
      <c r="FB296" s="663"/>
      <c r="FC296" s="663"/>
      <c r="FD296" s="663"/>
      <c r="FE296" s="663"/>
      <c r="FF296" s="663"/>
      <c r="FG296" s="663"/>
      <c r="FH296" s="663"/>
      <c r="FI296" s="663"/>
      <c r="FJ296" s="663"/>
      <c r="FK296" s="663"/>
      <c r="FL296" s="663"/>
      <c r="FM296" s="663"/>
      <c r="FN296" s="663"/>
      <c r="FO296" s="663"/>
      <c r="FP296" s="663"/>
      <c r="FQ296" s="663"/>
      <c r="FR296" s="663"/>
      <c r="FS296" s="663"/>
      <c r="FT296" s="663"/>
      <c r="FU296" s="663"/>
      <c r="FV296" s="663"/>
      <c r="FW296" s="663"/>
      <c r="FX296" s="663"/>
      <c r="FY296" s="663"/>
      <c r="FZ296" s="663"/>
      <c r="GA296" s="663"/>
      <c r="GB296" s="663"/>
      <c r="GC296" s="663"/>
      <c r="GD296" s="663"/>
      <c r="GE296" s="663"/>
      <c r="GF296" s="663"/>
      <c r="GG296" s="663"/>
    </row>
    <row r="297" spans="1:189">
      <c r="A297" s="670"/>
      <c r="B297" s="670"/>
      <c r="C297" s="670"/>
      <c r="D297" s="670"/>
      <c r="E297" s="670"/>
      <c r="F297" s="670"/>
      <c r="G297" s="671"/>
      <c r="H297" s="626"/>
      <c r="I297" s="626"/>
      <c r="J297" s="672"/>
      <c r="K297" s="663"/>
      <c r="L297" s="663"/>
      <c r="M297" s="663"/>
      <c r="N297" s="663"/>
      <c r="O297" s="663"/>
      <c r="P297" s="663"/>
      <c r="Q297" s="663"/>
      <c r="R297" s="663"/>
      <c r="S297" s="663"/>
      <c r="T297" s="663"/>
      <c r="U297" s="663"/>
      <c r="V297" s="663"/>
      <c r="W297" s="663"/>
      <c r="X297" s="663"/>
      <c r="Y297" s="663"/>
      <c r="Z297" s="663"/>
      <c r="AA297" s="663"/>
      <c r="AB297" s="663"/>
      <c r="AC297" s="663"/>
      <c r="AD297" s="663"/>
      <c r="AE297" s="663"/>
      <c r="AF297" s="663"/>
      <c r="AG297" s="663"/>
      <c r="AH297" s="663"/>
      <c r="AI297" s="663"/>
      <c r="AJ297" s="663"/>
      <c r="AK297" s="663"/>
      <c r="AL297" s="663"/>
      <c r="AM297" s="663"/>
      <c r="AN297" s="663"/>
      <c r="AO297" s="663"/>
      <c r="AP297" s="663"/>
      <c r="AQ297" s="663"/>
      <c r="AR297" s="663"/>
      <c r="AS297" s="663"/>
      <c r="AT297" s="663"/>
      <c r="AU297" s="663"/>
      <c r="AV297" s="663"/>
      <c r="AW297" s="663"/>
      <c r="AX297" s="663"/>
      <c r="AY297" s="663"/>
      <c r="AZ297" s="663"/>
      <c r="BA297" s="663"/>
      <c r="BB297" s="663"/>
      <c r="BC297" s="663"/>
      <c r="BD297" s="663"/>
      <c r="BE297" s="663"/>
      <c r="BF297" s="663"/>
      <c r="BG297" s="663"/>
      <c r="BH297" s="663"/>
      <c r="BI297" s="663"/>
      <c r="BJ297" s="663"/>
      <c r="BK297" s="663"/>
      <c r="BL297" s="663"/>
      <c r="BM297" s="663"/>
      <c r="BN297" s="663"/>
      <c r="BO297" s="663"/>
      <c r="BP297" s="663"/>
      <c r="BQ297" s="663"/>
      <c r="BR297" s="663"/>
      <c r="BS297" s="663"/>
      <c r="BT297" s="663"/>
      <c r="BU297" s="663"/>
      <c r="BV297" s="663"/>
      <c r="BW297" s="663"/>
      <c r="BX297" s="663"/>
      <c r="BY297" s="663"/>
      <c r="BZ297" s="663"/>
      <c r="CA297" s="663"/>
      <c r="CB297" s="663"/>
      <c r="CC297" s="663"/>
      <c r="CD297" s="663"/>
      <c r="CE297" s="663"/>
      <c r="CF297" s="663"/>
      <c r="CG297" s="663"/>
      <c r="CH297" s="663"/>
      <c r="CI297" s="663"/>
      <c r="CJ297" s="663"/>
      <c r="CK297" s="663"/>
      <c r="CL297" s="663"/>
      <c r="CM297" s="663"/>
      <c r="CN297" s="663"/>
      <c r="CO297" s="663"/>
      <c r="CP297" s="663"/>
      <c r="CQ297" s="663"/>
      <c r="CR297" s="663"/>
      <c r="CS297" s="663"/>
      <c r="CT297" s="663"/>
      <c r="CU297" s="663"/>
      <c r="CV297" s="663"/>
      <c r="CW297" s="663"/>
      <c r="CX297" s="663"/>
      <c r="CY297" s="663"/>
      <c r="CZ297" s="663"/>
      <c r="DA297" s="663"/>
      <c r="DB297" s="663"/>
      <c r="DC297" s="663"/>
      <c r="DD297" s="663"/>
      <c r="DE297" s="663"/>
      <c r="DF297" s="663"/>
      <c r="DG297" s="663"/>
      <c r="DH297" s="663"/>
      <c r="DI297" s="663"/>
      <c r="DJ297" s="663"/>
      <c r="DK297" s="663"/>
      <c r="DL297" s="663"/>
      <c r="DM297" s="663"/>
      <c r="DN297" s="663"/>
      <c r="DO297" s="663"/>
      <c r="DP297" s="663"/>
      <c r="DQ297" s="663"/>
      <c r="DR297" s="663"/>
      <c r="DS297" s="663"/>
      <c r="DT297" s="663"/>
      <c r="DU297" s="663"/>
      <c r="DV297" s="663"/>
      <c r="DW297" s="663"/>
      <c r="DX297" s="663"/>
      <c r="DY297" s="663"/>
      <c r="DZ297" s="663"/>
      <c r="EA297" s="663"/>
      <c r="EB297" s="663"/>
      <c r="EC297" s="663"/>
      <c r="ED297" s="663"/>
      <c r="EE297" s="663"/>
      <c r="EF297" s="663"/>
      <c r="EG297" s="663"/>
      <c r="EH297" s="663"/>
      <c r="EI297" s="663"/>
      <c r="EJ297" s="663"/>
      <c r="EK297" s="663"/>
      <c r="EL297" s="663"/>
      <c r="EM297" s="663"/>
      <c r="EN297" s="663"/>
      <c r="EO297" s="663"/>
      <c r="EP297" s="663"/>
      <c r="EQ297" s="663"/>
      <c r="ER297" s="663"/>
      <c r="ES297" s="663"/>
      <c r="ET297" s="663"/>
      <c r="EU297" s="663"/>
      <c r="EV297" s="663"/>
      <c r="EW297" s="663"/>
      <c r="EX297" s="663"/>
      <c r="EY297" s="663"/>
      <c r="EZ297" s="663"/>
      <c r="FA297" s="663"/>
      <c r="FB297" s="663"/>
      <c r="FC297" s="663"/>
      <c r="FD297" s="663"/>
      <c r="FE297" s="663"/>
      <c r="FF297" s="663"/>
      <c r="FG297" s="663"/>
      <c r="FH297" s="663"/>
      <c r="FI297" s="663"/>
      <c r="FJ297" s="663"/>
      <c r="FK297" s="663"/>
      <c r="FL297" s="663"/>
      <c r="FM297" s="663"/>
      <c r="FN297" s="663"/>
      <c r="FO297" s="663"/>
      <c r="FP297" s="663"/>
      <c r="FQ297" s="663"/>
      <c r="FR297" s="663"/>
      <c r="FS297" s="663"/>
      <c r="FT297" s="663"/>
      <c r="FU297" s="663"/>
      <c r="FV297" s="663"/>
      <c r="FW297" s="663"/>
      <c r="FX297" s="663"/>
      <c r="FY297" s="663"/>
      <c r="FZ297" s="663"/>
      <c r="GA297" s="663"/>
      <c r="GB297" s="663"/>
      <c r="GC297" s="663"/>
      <c r="GD297" s="663"/>
      <c r="GE297" s="663"/>
      <c r="GF297" s="663"/>
      <c r="GG297" s="663"/>
    </row>
    <row r="298" spans="1:189">
      <c r="A298" s="670"/>
      <c r="B298" s="670"/>
      <c r="C298" s="670"/>
      <c r="D298" s="670"/>
      <c r="E298" s="670"/>
      <c r="F298" s="670"/>
      <c r="G298" s="671"/>
      <c r="H298" s="626"/>
      <c r="I298" s="626"/>
      <c r="J298" s="672"/>
      <c r="K298" s="663"/>
      <c r="L298" s="663"/>
      <c r="M298" s="663"/>
      <c r="N298" s="663"/>
      <c r="O298" s="663"/>
      <c r="P298" s="663"/>
      <c r="Q298" s="663"/>
      <c r="R298" s="663"/>
      <c r="S298" s="663"/>
      <c r="T298" s="663"/>
      <c r="U298" s="663"/>
      <c r="V298" s="663"/>
      <c r="W298" s="663"/>
      <c r="X298" s="663"/>
      <c r="Y298" s="663"/>
      <c r="Z298" s="663"/>
      <c r="AA298" s="663"/>
      <c r="AB298" s="663"/>
      <c r="AC298" s="663"/>
      <c r="AD298" s="663"/>
      <c r="AE298" s="663"/>
      <c r="AF298" s="663"/>
      <c r="AG298" s="663"/>
      <c r="AH298" s="663"/>
      <c r="AI298" s="663"/>
      <c r="AJ298" s="663"/>
      <c r="AK298" s="663"/>
      <c r="AL298" s="663"/>
      <c r="AM298" s="663"/>
      <c r="AN298" s="663"/>
      <c r="AO298" s="663"/>
      <c r="AP298" s="663"/>
      <c r="AQ298" s="663"/>
      <c r="AR298" s="663"/>
      <c r="AS298" s="663"/>
      <c r="AT298" s="663"/>
      <c r="AU298" s="663"/>
      <c r="AV298" s="663"/>
      <c r="AW298" s="663"/>
      <c r="AX298" s="663"/>
      <c r="AY298" s="663"/>
      <c r="AZ298" s="663"/>
      <c r="BA298" s="663"/>
      <c r="BB298" s="663"/>
      <c r="BC298" s="663"/>
      <c r="BD298" s="663"/>
      <c r="BE298" s="663"/>
      <c r="BF298" s="663"/>
      <c r="BG298" s="663"/>
      <c r="BH298" s="663"/>
      <c r="BI298" s="663"/>
      <c r="BJ298" s="663"/>
      <c r="BK298" s="663"/>
      <c r="BL298" s="663"/>
      <c r="BM298" s="663"/>
      <c r="BN298" s="663"/>
      <c r="BO298" s="663"/>
      <c r="BP298" s="663"/>
      <c r="BQ298" s="663"/>
      <c r="BR298" s="663"/>
      <c r="BS298" s="663"/>
      <c r="BT298" s="663"/>
      <c r="BU298" s="663"/>
      <c r="BV298" s="663"/>
      <c r="BW298" s="663"/>
      <c r="BX298" s="663"/>
      <c r="BY298" s="663"/>
      <c r="BZ298" s="663"/>
      <c r="CA298" s="663"/>
      <c r="CB298" s="663"/>
      <c r="CC298" s="663"/>
      <c r="CD298" s="663"/>
      <c r="CE298" s="663"/>
      <c r="CF298" s="663"/>
      <c r="CG298" s="663"/>
      <c r="CH298" s="663"/>
      <c r="CI298" s="663"/>
      <c r="CJ298" s="663"/>
      <c r="CK298" s="663"/>
      <c r="CL298" s="663"/>
      <c r="CM298" s="663"/>
      <c r="CN298" s="663"/>
      <c r="CO298" s="663"/>
      <c r="CP298" s="663"/>
      <c r="CQ298" s="663"/>
      <c r="CR298" s="663"/>
      <c r="CS298" s="663"/>
      <c r="CT298" s="663"/>
      <c r="CU298" s="663"/>
      <c r="CV298" s="663"/>
      <c r="CW298" s="663"/>
      <c r="CX298" s="663"/>
      <c r="CY298" s="663"/>
      <c r="CZ298" s="663"/>
      <c r="DA298" s="663"/>
      <c r="DB298" s="663"/>
      <c r="DC298" s="663"/>
      <c r="DD298" s="663"/>
      <c r="DE298" s="663"/>
      <c r="DF298" s="663"/>
      <c r="DG298" s="663"/>
      <c r="DH298" s="663"/>
      <c r="DI298" s="663"/>
      <c r="DJ298" s="663"/>
      <c r="DK298" s="663"/>
      <c r="DL298" s="663"/>
      <c r="DM298" s="663"/>
      <c r="DN298" s="663"/>
      <c r="DO298" s="663"/>
      <c r="DP298" s="663"/>
      <c r="DQ298" s="663"/>
      <c r="DR298" s="663"/>
      <c r="DS298" s="663"/>
      <c r="DT298" s="663"/>
      <c r="DU298" s="663"/>
      <c r="DV298" s="663"/>
      <c r="DW298" s="663"/>
      <c r="DX298" s="663"/>
      <c r="DY298" s="663"/>
      <c r="DZ298" s="663"/>
      <c r="EA298" s="663"/>
      <c r="EB298" s="663"/>
      <c r="EC298" s="663"/>
      <c r="ED298" s="663"/>
      <c r="EE298" s="663"/>
      <c r="EF298" s="663"/>
      <c r="EG298" s="663"/>
      <c r="EH298" s="663"/>
      <c r="EI298" s="663"/>
      <c r="EJ298" s="663"/>
      <c r="EK298" s="663"/>
      <c r="EL298" s="663"/>
      <c r="EM298" s="663"/>
      <c r="EN298" s="663"/>
      <c r="EO298" s="663"/>
      <c r="EP298" s="663"/>
      <c r="EQ298" s="663"/>
      <c r="ER298" s="663"/>
      <c r="ES298" s="663"/>
      <c r="ET298" s="663"/>
      <c r="EU298" s="663"/>
      <c r="EV298" s="663"/>
      <c r="EW298" s="663"/>
      <c r="EX298" s="663"/>
      <c r="EY298" s="663"/>
      <c r="EZ298" s="663"/>
      <c r="FA298" s="663"/>
      <c r="FB298" s="663"/>
      <c r="FC298" s="663"/>
      <c r="FD298" s="663"/>
      <c r="FE298" s="663"/>
      <c r="FF298" s="663"/>
      <c r="FG298" s="663"/>
      <c r="FH298" s="663"/>
      <c r="FI298" s="663"/>
      <c r="FJ298" s="663"/>
      <c r="FK298" s="663"/>
      <c r="FL298" s="663"/>
      <c r="FM298" s="663"/>
      <c r="FN298" s="663"/>
      <c r="FO298" s="663"/>
      <c r="FP298" s="663"/>
      <c r="FQ298" s="663"/>
      <c r="FR298" s="663"/>
      <c r="FS298" s="663"/>
      <c r="FT298" s="663"/>
      <c r="FU298" s="663"/>
      <c r="FV298" s="663"/>
      <c r="FW298" s="663"/>
      <c r="FX298" s="663"/>
      <c r="FY298" s="663"/>
      <c r="FZ298" s="663"/>
      <c r="GA298" s="663"/>
      <c r="GB298" s="663"/>
      <c r="GC298" s="663"/>
      <c r="GD298" s="663"/>
      <c r="GE298" s="663"/>
      <c r="GF298" s="663"/>
      <c r="GG298" s="663"/>
    </row>
    <row r="299" spans="1:189">
      <c r="A299" s="670"/>
      <c r="B299" s="670"/>
      <c r="C299" s="670"/>
      <c r="D299" s="670"/>
      <c r="E299" s="670"/>
      <c r="F299" s="670"/>
      <c r="G299" s="671"/>
      <c r="H299" s="626"/>
      <c r="I299" s="626"/>
      <c r="J299" s="672"/>
      <c r="K299" s="663"/>
      <c r="L299" s="663"/>
      <c r="M299" s="663"/>
      <c r="N299" s="663"/>
      <c r="O299" s="663"/>
      <c r="P299" s="663"/>
      <c r="Q299" s="663"/>
      <c r="R299" s="663"/>
      <c r="S299" s="663"/>
      <c r="T299" s="663"/>
      <c r="U299" s="663"/>
      <c r="V299" s="663"/>
      <c r="W299" s="663"/>
      <c r="X299" s="663"/>
      <c r="Y299" s="663"/>
      <c r="Z299" s="663"/>
      <c r="AA299" s="663"/>
      <c r="AB299" s="663"/>
      <c r="AC299" s="663"/>
      <c r="AD299" s="663"/>
      <c r="AE299" s="663"/>
      <c r="AF299" s="663"/>
      <c r="AG299" s="663"/>
      <c r="AH299" s="663"/>
      <c r="AI299" s="663"/>
      <c r="AJ299" s="663"/>
      <c r="AK299" s="663"/>
      <c r="AL299" s="663"/>
      <c r="AM299" s="663"/>
      <c r="AN299" s="663"/>
      <c r="AO299" s="663"/>
      <c r="AP299" s="663"/>
      <c r="AQ299" s="663"/>
      <c r="AR299" s="663"/>
      <c r="AS299" s="663"/>
      <c r="AT299" s="663"/>
      <c r="AU299" s="663"/>
      <c r="AV299" s="663"/>
      <c r="AW299" s="663"/>
      <c r="AX299" s="663"/>
      <c r="AY299" s="663"/>
      <c r="AZ299" s="663"/>
      <c r="BA299" s="663"/>
      <c r="BB299" s="663"/>
      <c r="BC299" s="663"/>
      <c r="BD299" s="663"/>
      <c r="BE299" s="663"/>
      <c r="BF299" s="663"/>
      <c r="BG299" s="663"/>
      <c r="BH299" s="663"/>
      <c r="BI299" s="663"/>
      <c r="BJ299" s="663"/>
      <c r="BK299" s="663"/>
      <c r="BL299" s="663"/>
      <c r="BM299" s="663"/>
      <c r="BN299" s="663"/>
      <c r="BO299" s="663"/>
      <c r="BP299" s="663"/>
      <c r="BQ299" s="663"/>
      <c r="BR299" s="663"/>
      <c r="BS299" s="663"/>
      <c r="BT299" s="663"/>
      <c r="BU299" s="663"/>
      <c r="BV299" s="663"/>
      <c r="BW299" s="663"/>
      <c r="BX299" s="663"/>
      <c r="BY299" s="663"/>
      <c r="BZ299" s="663"/>
      <c r="CA299" s="663"/>
      <c r="CB299" s="663"/>
      <c r="CC299" s="663"/>
      <c r="CD299" s="663"/>
      <c r="CE299" s="663"/>
      <c r="CF299" s="663"/>
      <c r="CG299" s="663"/>
      <c r="CH299" s="663"/>
      <c r="CI299" s="663"/>
      <c r="CJ299" s="663"/>
      <c r="CK299" s="663"/>
      <c r="CL299" s="663"/>
      <c r="CM299" s="663"/>
      <c r="CN299" s="663"/>
      <c r="CO299" s="663"/>
      <c r="CP299" s="663"/>
      <c r="CQ299" s="663"/>
      <c r="CR299" s="663"/>
      <c r="CS299" s="663"/>
      <c r="CT299" s="663"/>
      <c r="CU299" s="663"/>
      <c r="CV299" s="663"/>
      <c r="CW299" s="663"/>
      <c r="CX299" s="663"/>
      <c r="CY299" s="663"/>
      <c r="CZ299" s="663"/>
      <c r="DA299" s="663"/>
      <c r="DB299" s="663"/>
      <c r="DC299" s="663"/>
      <c r="DD299" s="663"/>
      <c r="DE299" s="663"/>
      <c r="DF299" s="663"/>
      <c r="DG299" s="663"/>
      <c r="DH299" s="663"/>
      <c r="DI299" s="663"/>
      <c r="DJ299" s="663"/>
      <c r="DK299" s="663"/>
      <c r="DL299" s="663"/>
      <c r="DM299" s="663"/>
      <c r="DN299" s="663"/>
      <c r="DO299" s="663"/>
      <c r="DP299" s="663"/>
      <c r="DQ299" s="663"/>
      <c r="DR299" s="663"/>
      <c r="DS299" s="663"/>
      <c r="DT299" s="663"/>
      <c r="DU299" s="663"/>
      <c r="DV299" s="663"/>
      <c r="DW299" s="663"/>
      <c r="DX299" s="663"/>
      <c r="DY299" s="663"/>
      <c r="DZ299" s="663"/>
      <c r="EA299" s="663"/>
      <c r="EB299" s="663"/>
      <c r="EC299" s="663"/>
      <c r="ED299" s="663"/>
      <c r="EE299" s="663"/>
      <c r="EF299" s="663"/>
      <c r="EG299" s="663"/>
      <c r="EH299" s="663"/>
      <c r="EI299" s="663"/>
      <c r="EJ299" s="663"/>
      <c r="EK299" s="663"/>
      <c r="EL299" s="663"/>
      <c r="EM299" s="663"/>
      <c r="EN299" s="663"/>
      <c r="EO299" s="663"/>
      <c r="EP299" s="663"/>
      <c r="EQ299" s="663"/>
      <c r="ER299" s="663"/>
      <c r="ES299" s="663"/>
      <c r="ET299" s="663"/>
      <c r="EU299" s="663"/>
      <c r="EV299" s="663"/>
      <c r="EW299" s="663"/>
      <c r="EX299" s="663"/>
      <c r="EY299" s="663"/>
      <c r="EZ299" s="663"/>
      <c r="FA299" s="663"/>
      <c r="FB299" s="663"/>
      <c r="FC299" s="663"/>
      <c r="FD299" s="663"/>
      <c r="FE299" s="663"/>
      <c r="FF299" s="663"/>
      <c r="FG299" s="663"/>
      <c r="FH299" s="663"/>
      <c r="FI299" s="663"/>
      <c r="FJ299" s="663"/>
      <c r="FK299" s="663"/>
      <c r="FL299" s="663"/>
      <c r="FM299" s="663"/>
      <c r="FN299" s="663"/>
      <c r="FO299" s="663"/>
      <c r="FP299" s="663"/>
      <c r="FQ299" s="663"/>
      <c r="FR299" s="663"/>
      <c r="FS299" s="663"/>
      <c r="FT299" s="663"/>
      <c r="FU299" s="663"/>
      <c r="FV299" s="663"/>
      <c r="FW299" s="663"/>
      <c r="FX299" s="663"/>
      <c r="FY299" s="663"/>
      <c r="FZ299" s="663"/>
      <c r="GA299" s="663"/>
      <c r="GB299" s="663"/>
      <c r="GC299" s="663"/>
      <c r="GD299" s="663"/>
      <c r="GE299" s="663"/>
      <c r="GF299" s="663"/>
      <c r="GG299" s="663"/>
    </row>
    <row r="300" spans="1:189">
      <c r="A300" s="670"/>
      <c r="B300" s="670"/>
      <c r="C300" s="670"/>
      <c r="D300" s="670"/>
      <c r="E300" s="670"/>
      <c r="F300" s="670"/>
      <c r="G300" s="671"/>
      <c r="H300" s="626"/>
      <c r="I300" s="626"/>
      <c r="J300" s="672"/>
      <c r="K300" s="663"/>
      <c r="L300" s="663"/>
      <c r="M300" s="663"/>
      <c r="N300" s="663"/>
      <c r="O300" s="663"/>
      <c r="P300" s="663"/>
      <c r="Q300" s="663"/>
      <c r="R300" s="663"/>
      <c r="S300" s="663"/>
      <c r="T300" s="663"/>
      <c r="U300" s="663"/>
      <c r="V300" s="663"/>
      <c r="W300" s="663"/>
      <c r="X300" s="663"/>
      <c r="Y300" s="663"/>
      <c r="Z300" s="663"/>
      <c r="AA300" s="663"/>
      <c r="AB300" s="663"/>
      <c r="AC300" s="663"/>
      <c r="AD300" s="663"/>
      <c r="AE300" s="663"/>
      <c r="AF300" s="663"/>
      <c r="AG300" s="663"/>
      <c r="AH300" s="663"/>
      <c r="AI300" s="663"/>
      <c r="AJ300" s="663"/>
      <c r="AK300" s="663"/>
      <c r="AL300" s="663"/>
      <c r="AM300" s="663"/>
      <c r="AN300" s="663"/>
      <c r="AO300" s="663"/>
      <c r="AP300" s="663"/>
      <c r="AQ300" s="663"/>
      <c r="AR300" s="663"/>
      <c r="AS300" s="663"/>
      <c r="AT300" s="663"/>
      <c r="AU300" s="663"/>
      <c r="AV300" s="663"/>
      <c r="AW300" s="663"/>
      <c r="AX300" s="663"/>
      <c r="AY300" s="663"/>
      <c r="AZ300" s="663"/>
      <c r="BA300" s="663"/>
      <c r="BB300" s="663"/>
      <c r="BC300" s="663"/>
      <c r="BD300" s="663"/>
      <c r="BE300" s="663"/>
      <c r="BF300" s="663"/>
      <c r="BG300" s="663"/>
      <c r="BH300" s="663"/>
      <c r="BI300" s="663"/>
      <c r="BJ300" s="663"/>
      <c r="BK300" s="663"/>
      <c r="BL300" s="663"/>
      <c r="BM300" s="663"/>
      <c r="BN300" s="663"/>
      <c r="BO300" s="663"/>
      <c r="BP300" s="663"/>
      <c r="BQ300" s="663"/>
      <c r="BR300" s="663"/>
      <c r="BS300" s="663"/>
      <c r="BT300" s="663"/>
      <c r="BU300" s="663"/>
      <c r="BV300" s="663"/>
      <c r="BW300" s="663"/>
      <c r="BX300" s="663"/>
      <c r="BY300" s="663"/>
      <c r="BZ300" s="663"/>
      <c r="CA300" s="663"/>
      <c r="CB300" s="663"/>
      <c r="CC300" s="663"/>
      <c r="CD300" s="663"/>
      <c r="CE300" s="663"/>
      <c r="CF300" s="663"/>
      <c r="CG300" s="663"/>
      <c r="CH300" s="663"/>
      <c r="CI300" s="663"/>
      <c r="CJ300" s="663"/>
      <c r="CK300" s="663"/>
      <c r="CL300" s="663"/>
      <c r="CM300" s="663"/>
      <c r="CN300" s="663"/>
      <c r="CO300" s="663"/>
      <c r="CP300" s="663"/>
      <c r="CQ300" s="663"/>
      <c r="CR300" s="663"/>
      <c r="CS300" s="663"/>
      <c r="CT300" s="663"/>
      <c r="CU300" s="663"/>
      <c r="CV300" s="663"/>
      <c r="CW300" s="663"/>
      <c r="CX300" s="663"/>
      <c r="CY300" s="663"/>
      <c r="CZ300" s="663"/>
      <c r="DA300" s="663"/>
      <c r="DB300" s="663"/>
      <c r="DC300" s="663"/>
      <c r="DD300" s="663"/>
      <c r="DE300" s="663"/>
      <c r="DF300" s="663"/>
      <c r="DG300" s="663"/>
      <c r="DH300" s="663"/>
      <c r="DI300" s="663"/>
      <c r="DJ300" s="663"/>
      <c r="DK300" s="663"/>
      <c r="DL300" s="663"/>
      <c r="DM300" s="663"/>
      <c r="DN300" s="663"/>
      <c r="DO300" s="663"/>
      <c r="DP300" s="663"/>
      <c r="DQ300" s="663"/>
      <c r="DR300" s="663"/>
      <c r="DS300" s="663"/>
      <c r="DT300" s="663"/>
      <c r="DU300" s="663"/>
      <c r="DV300" s="663"/>
      <c r="DW300" s="663"/>
      <c r="DX300" s="663"/>
      <c r="DY300" s="663"/>
      <c r="DZ300" s="663"/>
      <c r="EA300" s="663"/>
      <c r="EB300" s="663"/>
      <c r="EC300" s="663"/>
      <c r="ED300" s="663"/>
      <c r="EE300" s="663"/>
      <c r="EF300" s="663"/>
      <c r="EG300" s="663"/>
      <c r="EH300" s="663"/>
      <c r="EI300" s="663"/>
      <c r="EJ300" s="663"/>
      <c r="EK300" s="663"/>
      <c r="EL300" s="663"/>
      <c r="EM300" s="663"/>
      <c r="EN300" s="663"/>
      <c r="EO300" s="663"/>
      <c r="EP300" s="663"/>
      <c r="EQ300" s="663"/>
      <c r="ER300" s="663"/>
      <c r="ES300" s="663"/>
      <c r="ET300" s="663"/>
      <c r="EU300" s="663"/>
      <c r="EV300" s="663"/>
      <c r="EW300" s="663"/>
      <c r="EX300" s="663"/>
      <c r="EY300" s="663"/>
      <c r="EZ300" s="663"/>
      <c r="FA300" s="663"/>
      <c r="FB300" s="663"/>
      <c r="FC300" s="663"/>
      <c r="FD300" s="663"/>
      <c r="FE300" s="663"/>
      <c r="FF300" s="663"/>
      <c r="FG300" s="663"/>
      <c r="FH300" s="663"/>
      <c r="FI300" s="663"/>
      <c r="FJ300" s="663"/>
      <c r="FK300" s="663"/>
      <c r="FL300" s="663"/>
      <c r="FM300" s="663"/>
      <c r="FN300" s="663"/>
      <c r="FO300" s="663"/>
      <c r="FP300" s="663"/>
      <c r="FQ300" s="663"/>
      <c r="FR300" s="663"/>
      <c r="FS300" s="663"/>
      <c r="FT300" s="663"/>
      <c r="FU300" s="663"/>
      <c r="FV300" s="663"/>
      <c r="FW300" s="663"/>
      <c r="FX300" s="663"/>
      <c r="FY300" s="663"/>
      <c r="FZ300" s="663"/>
      <c r="GA300" s="663"/>
      <c r="GB300" s="663"/>
      <c r="GC300" s="663"/>
      <c r="GD300" s="663"/>
      <c r="GE300" s="663"/>
      <c r="GF300" s="663"/>
      <c r="GG300" s="663"/>
    </row>
    <row r="301" spans="1:189">
      <c r="A301" s="670"/>
      <c r="B301" s="670"/>
      <c r="C301" s="670"/>
      <c r="D301" s="670"/>
      <c r="E301" s="670"/>
      <c r="F301" s="670"/>
      <c r="G301" s="671"/>
      <c r="H301" s="626"/>
      <c r="I301" s="626"/>
      <c r="J301" s="672"/>
      <c r="K301" s="663"/>
      <c r="L301" s="663"/>
      <c r="M301" s="663"/>
      <c r="N301" s="663"/>
      <c r="O301" s="663"/>
      <c r="P301" s="663"/>
      <c r="Q301" s="663"/>
      <c r="R301" s="663"/>
      <c r="S301" s="663"/>
      <c r="T301" s="663"/>
      <c r="U301" s="663"/>
      <c r="V301" s="663"/>
      <c r="W301" s="663"/>
      <c r="X301" s="663"/>
      <c r="Y301" s="663"/>
      <c r="Z301" s="663"/>
      <c r="AA301" s="663"/>
      <c r="AB301" s="663"/>
      <c r="AC301" s="663"/>
      <c r="AD301" s="663"/>
      <c r="AE301" s="663"/>
      <c r="AF301" s="663"/>
      <c r="AG301" s="663"/>
      <c r="AH301" s="663"/>
      <c r="AI301" s="663"/>
      <c r="AJ301" s="663"/>
      <c r="AK301" s="663"/>
      <c r="AL301" s="663"/>
      <c r="AM301" s="663"/>
      <c r="AN301" s="663"/>
      <c r="AO301" s="663"/>
      <c r="AP301" s="663"/>
      <c r="AQ301" s="663"/>
      <c r="AR301" s="663"/>
      <c r="AS301" s="663"/>
      <c r="AT301" s="663"/>
      <c r="AU301" s="663"/>
      <c r="AV301" s="663"/>
      <c r="AW301" s="663"/>
      <c r="AX301" s="663"/>
      <c r="AY301" s="663"/>
      <c r="AZ301" s="663"/>
      <c r="BA301" s="663"/>
      <c r="BB301" s="663"/>
      <c r="BC301" s="663"/>
      <c r="BD301" s="663"/>
      <c r="BE301" s="663"/>
      <c r="BF301" s="663"/>
      <c r="BG301" s="663"/>
      <c r="BH301" s="663"/>
      <c r="BI301" s="663"/>
      <c r="BJ301" s="663"/>
      <c r="BK301" s="663"/>
      <c r="BL301" s="663"/>
      <c r="BM301" s="663"/>
      <c r="BN301" s="663"/>
      <c r="BO301" s="663"/>
      <c r="BP301" s="663"/>
      <c r="BQ301" s="663"/>
      <c r="BR301" s="663"/>
      <c r="BS301" s="663"/>
      <c r="BT301" s="663"/>
      <c r="BU301" s="663"/>
      <c r="BV301" s="663"/>
      <c r="BW301" s="663"/>
      <c r="BX301" s="663"/>
      <c r="BY301" s="663"/>
      <c r="BZ301" s="663"/>
      <c r="CA301" s="663"/>
      <c r="CB301" s="663"/>
      <c r="CC301" s="663"/>
      <c r="CD301" s="663"/>
      <c r="CE301" s="663"/>
      <c r="CF301" s="663"/>
      <c r="CG301" s="663"/>
      <c r="CH301" s="663"/>
      <c r="CI301" s="663"/>
      <c r="CJ301" s="663"/>
      <c r="CK301" s="663"/>
      <c r="CL301" s="663"/>
      <c r="CM301" s="663"/>
      <c r="CN301" s="663"/>
      <c r="CO301" s="663"/>
      <c r="CP301" s="663"/>
      <c r="CQ301" s="663"/>
      <c r="CR301" s="663"/>
      <c r="CS301" s="663"/>
      <c r="CT301" s="663"/>
      <c r="CU301" s="663"/>
      <c r="CV301" s="663"/>
      <c r="CW301" s="663"/>
      <c r="CX301" s="663"/>
      <c r="CY301" s="663"/>
      <c r="CZ301" s="663"/>
      <c r="DA301" s="663"/>
      <c r="DB301" s="663"/>
      <c r="DC301" s="663"/>
      <c r="DD301" s="663"/>
      <c r="DE301" s="663"/>
      <c r="DF301" s="663"/>
      <c r="DG301" s="663"/>
      <c r="DH301" s="663"/>
      <c r="DI301" s="663"/>
      <c r="DJ301" s="663"/>
      <c r="DK301" s="663"/>
      <c r="DL301" s="663"/>
      <c r="DM301" s="663"/>
      <c r="DN301" s="663"/>
      <c r="DO301" s="663"/>
      <c r="DP301" s="663"/>
      <c r="DQ301" s="663"/>
      <c r="DR301" s="663"/>
      <c r="DS301" s="663"/>
      <c r="DT301" s="663"/>
      <c r="DU301" s="663"/>
      <c r="DV301" s="663"/>
      <c r="DW301" s="663"/>
      <c r="DX301" s="663"/>
      <c r="DY301" s="663"/>
      <c r="DZ301" s="663"/>
      <c r="EA301" s="663"/>
      <c r="EB301" s="663"/>
      <c r="EC301" s="663"/>
      <c r="ED301" s="663"/>
      <c r="EE301" s="663"/>
      <c r="EF301" s="663"/>
      <c r="EG301" s="663"/>
      <c r="EH301" s="663"/>
      <c r="EI301" s="663"/>
      <c r="EJ301" s="663"/>
      <c r="EK301" s="663"/>
      <c r="EL301" s="663"/>
      <c r="EM301" s="663"/>
      <c r="EN301" s="663"/>
      <c r="EO301" s="663"/>
      <c r="EP301" s="663"/>
      <c r="EQ301" s="663"/>
      <c r="ER301" s="663"/>
      <c r="ES301" s="663"/>
      <c r="ET301" s="663"/>
      <c r="EU301" s="663"/>
      <c r="EV301" s="663"/>
      <c r="EW301" s="663"/>
      <c r="EX301" s="663"/>
      <c r="EY301" s="663"/>
      <c r="EZ301" s="663"/>
      <c r="FA301" s="663"/>
      <c r="FB301" s="663"/>
      <c r="FC301" s="663"/>
      <c r="FD301" s="663"/>
      <c r="FE301" s="663"/>
      <c r="FF301" s="663"/>
      <c r="FG301" s="663"/>
      <c r="FH301" s="663"/>
      <c r="FI301" s="663"/>
      <c r="FJ301" s="663"/>
      <c r="FK301" s="663"/>
      <c r="FL301" s="663"/>
      <c r="FM301" s="663"/>
      <c r="FN301" s="663"/>
      <c r="FO301" s="663"/>
      <c r="FP301" s="663"/>
      <c r="FQ301" s="663"/>
      <c r="FR301" s="663"/>
      <c r="FS301" s="663"/>
      <c r="FT301" s="663"/>
      <c r="FU301" s="663"/>
      <c r="FV301" s="663"/>
      <c r="FW301" s="663"/>
      <c r="FX301" s="663"/>
      <c r="FY301" s="663"/>
      <c r="FZ301" s="663"/>
      <c r="GA301" s="663"/>
      <c r="GB301" s="663"/>
      <c r="GC301" s="663"/>
      <c r="GD301" s="663"/>
      <c r="GE301" s="663"/>
      <c r="GF301" s="663"/>
      <c r="GG301" s="663"/>
    </row>
    <row r="302" spans="1:189">
      <c r="A302" s="670"/>
      <c r="B302" s="670"/>
      <c r="C302" s="670"/>
      <c r="D302" s="670"/>
      <c r="E302" s="670"/>
      <c r="F302" s="670"/>
      <c r="G302" s="671"/>
      <c r="H302" s="626"/>
      <c r="I302" s="626"/>
      <c r="J302" s="672"/>
      <c r="K302" s="663"/>
      <c r="L302" s="663"/>
      <c r="M302" s="663"/>
      <c r="N302" s="663"/>
      <c r="O302" s="663"/>
      <c r="P302" s="663"/>
      <c r="Q302" s="663"/>
      <c r="R302" s="663"/>
      <c r="S302" s="663"/>
      <c r="T302" s="663"/>
      <c r="U302" s="663"/>
      <c r="V302" s="663"/>
      <c r="W302" s="663"/>
      <c r="X302" s="663"/>
      <c r="Y302" s="663"/>
      <c r="Z302" s="663"/>
      <c r="AA302" s="663"/>
      <c r="AB302" s="663"/>
      <c r="AC302" s="663"/>
      <c r="AD302" s="663"/>
      <c r="AE302" s="663"/>
      <c r="AF302" s="663"/>
      <c r="AG302" s="663"/>
      <c r="AH302" s="663"/>
      <c r="AI302" s="663"/>
      <c r="AJ302" s="663"/>
      <c r="AK302" s="663"/>
      <c r="AL302" s="663"/>
      <c r="AM302" s="663"/>
      <c r="AN302" s="663"/>
      <c r="AO302" s="663"/>
      <c r="AP302" s="663"/>
      <c r="AQ302" s="663"/>
      <c r="AR302" s="663"/>
      <c r="AS302" s="663"/>
      <c r="AT302" s="663"/>
      <c r="AU302" s="663"/>
      <c r="AV302" s="663"/>
      <c r="AW302" s="663"/>
      <c r="AX302" s="663"/>
      <c r="AY302" s="663"/>
      <c r="AZ302" s="663"/>
      <c r="BA302" s="663"/>
      <c r="BB302" s="663"/>
      <c r="BC302" s="663"/>
      <c r="BD302" s="663"/>
      <c r="BE302" s="663"/>
      <c r="BF302" s="663"/>
      <c r="BG302" s="663"/>
      <c r="BH302" s="663"/>
      <c r="BI302" s="663"/>
      <c r="BJ302" s="663"/>
      <c r="BK302" s="663"/>
      <c r="BL302" s="663"/>
      <c r="BM302" s="663"/>
      <c r="BN302" s="663"/>
      <c r="BO302" s="663"/>
      <c r="BP302" s="663"/>
      <c r="BQ302" s="663"/>
      <c r="BR302" s="663"/>
      <c r="BS302" s="663"/>
      <c r="BT302" s="663"/>
      <c r="BU302" s="663"/>
      <c r="BV302" s="663"/>
      <c r="BW302" s="663"/>
      <c r="BX302" s="663"/>
      <c r="BY302" s="663"/>
      <c r="BZ302" s="663"/>
      <c r="CA302" s="663"/>
      <c r="CB302" s="663"/>
      <c r="CC302" s="663"/>
      <c r="CD302" s="663"/>
      <c r="CE302" s="663"/>
      <c r="CF302" s="663"/>
      <c r="CG302" s="663"/>
      <c r="CH302" s="663"/>
      <c r="CI302" s="663"/>
      <c r="CJ302" s="663"/>
      <c r="CK302" s="663"/>
      <c r="CL302" s="663"/>
      <c r="CM302" s="663"/>
      <c r="CN302" s="663"/>
      <c r="CO302" s="663"/>
      <c r="CP302" s="663"/>
      <c r="CQ302" s="663"/>
      <c r="CR302" s="663"/>
      <c r="CS302" s="663"/>
      <c r="CT302" s="663"/>
      <c r="CU302" s="663"/>
      <c r="CV302" s="663"/>
      <c r="CW302" s="663"/>
      <c r="CX302" s="663"/>
      <c r="CY302" s="663"/>
      <c r="CZ302" s="663"/>
      <c r="DA302" s="663"/>
      <c r="DB302" s="663"/>
      <c r="DC302" s="663"/>
      <c r="DD302" s="663"/>
      <c r="DE302" s="663"/>
      <c r="DF302" s="663"/>
      <c r="DG302" s="663"/>
      <c r="DH302" s="663"/>
      <c r="DI302" s="663"/>
      <c r="DJ302" s="663"/>
      <c r="DK302" s="663"/>
      <c r="DL302" s="663"/>
      <c r="DM302" s="663"/>
      <c r="DN302" s="663"/>
      <c r="DO302" s="663"/>
      <c r="DP302" s="663"/>
      <c r="DQ302" s="663"/>
      <c r="DR302" s="663"/>
      <c r="DS302" s="663"/>
      <c r="DT302" s="663"/>
      <c r="DU302" s="663"/>
      <c r="DV302" s="663"/>
      <c r="DW302" s="663"/>
      <c r="DX302" s="663"/>
      <c r="DY302" s="663"/>
      <c r="DZ302" s="663"/>
      <c r="EA302" s="663"/>
      <c r="EB302" s="663"/>
      <c r="EC302" s="663"/>
      <c r="ED302" s="663"/>
      <c r="EE302" s="663"/>
      <c r="EF302" s="663"/>
      <c r="EG302" s="663"/>
      <c r="EH302" s="663"/>
      <c r="EI302" s="663"/>
      <c r="EJ302" s="663"/>
      <c r="EK302" s="663"/>
      <c r="EL302" s="663"/>
      <c r="EM302" s="663"/>
      <c r="EN302" s="663"/>
      <c r="EO302" s="663"/>
      <c r="EP302" s="663"/>
      <c r="EQ302" s="663"/>
      <c r="ER302" s="663"/>
      <c r="ES302" s="663"/>
      <c r="ET302" s="663"/>
      <c r="EU302" s="663"/>
      <c r="EV302" s="663"/>
      <c r="EW302" s="663"/>
      <c r="EX302" s="663"/>
      <c r="EY302" s="663"/>
      <c r="EZ302" s="663"/>
      <c r="FA302" s="663"/>
      <c r="FB302" s="663"/>
      <c r="FC302" s="663"/>
      <c r="FD302" s="663"/>
      <c r="FE302" s="663"/>
      <c r="FF302" s="663"/>
      <c r="FG302" s="663"/>
      <c r="FH302" s="663"/>
      <c r="FI302" s="663"/>
      <c r="FJ302" s="663"/>
      <c r="FK302" s="663"/>
      <c r="FL302" s="663"/>
      <c r="FM302" s="663"/>
      <c r="FN302" s="663"/>
      <c r="FO302" s="663"/>
      <c r="FP302" s="663"/>
      <c r="FQ302" s="663"/>
      <c r="FR302" s="663"/>
      <c r="FS302" s="663"/>
      <c r="FT302" s="663"/>
      <c r="FU302" s="663"/>
      <c r="FV302" s="663"/>
      <c r="FW302" s="663"/>
      <c r="FX302" s="663"/>
      <c r="FY302" s="663"/>
      <c r="FZ302" s="663"/>
      <c r="GA302" s="663"/>
      <c r="GB302" s="663"/>
      <c r="GC302" s="663"/>
      <c r="GD302" s="663"/>
      <c r="GE302" s="663"/>
      <c r="GF302" s="663"/>
      <c r="GG302" s="663"/>
    </row>
    <row r="303" spans="1:189">
      <c r="A303" s="670"/>
      <c r="B303" s="670"/>
      <c r="C303" s="670"/>
      <c r="D303" s="670"/>
      <c r="E303" s="670"/>
      <c r="F303" s="670"/>
      <c r="G303" s="671"/>
      <c r="H303" s="626"/>
      <c r="I303" s="626"/>
      <c r="J303" s="672"/>
      <c r="K303" s="663"/>
      <c r="L303" s="663"/>
      <c r="M303" s="663"/>
      <c r="N303" s="663"/>
      <c r="O303" s="663"/>
      <c r="P303" s="663"/>
      <c r="Q303" s="663"/>
      <c r="R303" s="663"/>
      <c r="S303" s="663"/>
      <c r="T303" s="663"/>
      <c r="U303" s="663"/>
      <c r="V303" s="663"/>
      <c r="W303" s="663"/>
      <c r="X303" s="663"/>
      <c r="Y303" s="663"/>
      <c r="Z303" s="663"/>
      <c r="AA303" s="663"/>
      <c r="AB303" s="663"/>
      <c r="AC303" s="663"/>
      <c r="AD303" s="663"/>
      <c r="AE303" s="663"/>
      <c r="AF303" s="663"/>
      <c r="AG303" s="663"/>
      <c r="AH303" s="663"/>
      <c r="AI303" s="663"/>
      <c r="AJ303" s="663"/>
      <c r="AK303" s="663"/>
      <c r="AL303" s="663"/>
      <c r="AM303" s="663"/>
      <c r="AN303" s="663"/>
      <c r="AO303" s="663"/>
      <c r="AP303" s="663"/>
      <c r="AQ303" s="663"/>
      <c r="AR303" s="663"/>
      <c r="AS303" s="663"/>
      <c r="AT303" s="663"/>
      <c r="AU303" s="663"/>
      <c r="AV303" s="663"/>
      <c r="AW303" s="663"/>
      <c r="AX303" s="663"/>
      <c r="AY303" s="663"/>
      <c r="AZ303" s="663"/>
      <c r="BA303" s="663"/>
      <c r="BB303" s="663"/>
      <c r="BC303" s="663"/>
      <c r="BD303" s="663"/>
      <c r="BE303" s="663"/>
      <c r="BF303" s="663"/>
      <c r="BG303" s="663"/>
      <c r="BH303" s="663"/>
      <c r="BI303" s="663"/>
      <c r="BJ303" s="663"/>
      <c r="BK303" s="663"/>
      <c r="BL303" s="663"/>
      <c r="BM303" s="663"/>
      <c r="BN303" s="663"/>
      <c r="BO303" s="663"/>
      <c r="BP303" s="663"/>
      <c r="BQ303" s="663"/>
      <c r="BR303" s="663"/>
      <c r="BS303" s="663"/>
      <c r="BT303" s="663"/>
      <c r="BU303" s="663"/>
      <c r="BV303" s="663"/>
      <c r="BW303" s="663"/>
      <c r="BX303" s="663"/>
      <c r="BY303" s="663"/>
      <c r="BZ303" s="663"/>
      <c r="CA303" s="663"/>
      <c r="CB303" s="663"/>
      <c r="CC303" s="663"/>
      <c r="CD303" s="663"/>
      <c r="CE303" s="663"/>
      <c r="CF303" s="663"/>
      <c r="CG303" s="663"/>
      <c r="CH303" s="663"/>
      <c r="CI303" s="663"/>
      <c r="CJ303" s="663"/>
      <c r="CK303" s="663"/>
      <c r="CL303" s="663"/>
      <c r="CM303" s="663"/>
      <c r="CN303" s="663"/>
      <c r="CO303" s="663"/>
      <c r="CP303" s="663"/>
      <c r="CQ303" s="663"/>
      <c r="CR303" s="663"/>
      <c r="CS303" s="663"/>
      <c r="CT303" s="663"/>
      <c r="CU303" s="663"/>
      <c r="CV303" s="663"/>
      <c r="CW303" s="663"/>
      <c r="CX303" s="663"/>
      <c r="CY303" s="663"/>
      <c r="CZ303" s="663"/>
      <c r="DA303" s="663"/>
      <c r="DB303" s="663"/>
      <c r="DC303" s="663"/>
      <c r="DD303" s="663"/>
      <c r="DE303" s="663"/>
      <c r="DF303" s="663"/>
      <c r="DG303" s="663"/>
      <c r="DH303" s="663"/>
      <c r="DI303" s="663"/>
      <c r="DJ303" s="663"/>
      <c r="DK303" s="663"/>
      <c r="DL303" s="663"/>
      <c r="DM303" s="663"/>
      <c r="DN303" s="663"/>
      <c r="DO303" s="663"/>
      <c r="DP303" s="663"/>
      <c r="DQ303" s="663"/>
      <c r="DR303" s="663"/>
      <c r="DS303" s="663"/>
      <c r="DT303" s="663"/>
      <c r="DU303" s="663"/>
      <c r="DV303" s="663"/>
      <c r="DW303" s="663"/>
      <c r="DX303" s="663"/>
      <c r="DY303" s="663"/>
      <c r="DZ303" s="663"/>
      <c r="EA303" s="663"/>
      <c r="EB303" s="663"/>
      <c r="EC303" s="663"/>
      <c r="ED303" s="663"/>
      <c r="EE303" s="663"/>
      <c r="EF303" s="663"/>
      <c r="EG303" s="663"/>
      <c r="EH303" s="663"/>
      <c r="EI303" s="663"/>
      <c r="EJ303" s="663"/>
      <c r="EK303" s="663"/>
      <c r="EL303" s="663"/>
      <c r="EM303" s="663"/>
      <c r="EN303" s="663"/>
      <c r="EO303" s="663"/>
      <c r="EP303" s="663"/>
      <c r="EQ303" s="663"/>
      <c r="ER303" s="663"/>
      <c r="ES303" s="663"/>
      <c r="ET303" s="663"/>
      <c r="EU303" s="663"/>
      <c r="EV303" s="663"/>
      <c r="EW303" s="663"/>
      <c r="EX303" s="663"/>
      <c r="EY303" s="663"/>
      <c r="EZ303" s="663"/>
      <c r="FA303" s="663"/>
      <c r="FB303" s="663"/>
      <c r="FC303" s="663"/>
      <c r="FD303" s="663"/>
      <c r="FE303" s="663"/>
      <c r="FF303" s="663"/>
      <c r="FG303" s="663"/>
      <c r="FH303" s="663"/>
      <c r="FI303" s="663"/>
      <c r="FJ303" s="663"/>
      <c r="FK303" s="663"/>
      <c r="FL303" s="663"/>
      <c r="FM303" s="663"/>
      <c r="FN303" s="663"/>
      <c r="FO303" s="663"/>
      <c r="FP303" s="663"/>
      <c r="FQ303" s="663"/>
      <c r="FR303" s="663"/>
      <c r="FS303" s="663"/>
      <c r="FT303" s="663"/>
      <c r="FU303" s="663"/>
      <c r="FV303" s="663"/>
      <c r="FW303" s="663"/>
      <c r="FX303" s="663"/>
      <c r="FY303" s="663"/>
      <c r="FZ303" s="663"/>
      <c r="GA303" s="663"/>
      <c r="GB303" s="663"/>
      <c r="GC303" s="663"/>
      <c r="GD303" s="663"/>
      <c r="GE303" s="663"/>
      <c r="GF303" s="663"/>
      <c r="GG303" s="663"/>
    </row>
    <row r="304" spans="1:189">
      <c r="A304" s="670"/>
      <c r="B304" s="670"/>
      <c r="C304" s="670"/>
      <c r="D304" s="670"/>
      <c r="E304" s="670"/>
      <c r="F304" s="670"/>
      <c r="G304" s="671"/>
      <c r="H304" s="626"/>
      <c r="I304" s="626"/>
      <c r="J304" s="672"/>
      <c r="K304" s="663"/>
      <c r="L304" s="663"/>
      <c r="M304" s="663"/>
      <c r="N304" s="663"/>
      <c r="O304" s="663"/>
      <c r="P304" s="663"/>
      <c r="Q304" s="663"/>
      <c r="R304" s="663"/>
      <c r="S304" s="663"/>
      <c r="T304" s="663"/>
      <c r="U304" s="663"/>
      <c r="V304" s="663"/>
      <c r="W304" s="663"/>
      <c r="X304" s="663"/>
      <c r="Y304" s="663"/>
      <c r="Z304" s="663"/>
      <c r="AA304" s="663"/>
      <c r="AB304" s="663"/>
      <c r="AC304" s="663"/>
      <c r="AD304" s="663"/>
      <c r="AE304" s="663"/>
      <c r="AF304" s="663"/>
      <c r="AG304" s="663"/>
      <c r="AH304" s="663"/>
      <c r="AI304" s="663"/>
      <c r="AJ304" s="663"/>
      <c r="AK304" s="663"/>
      <c r="AL304" s="663"/>
      <c r="AM304" s="663"/>
      <c r="AN304" s="663"/>
      <c r="AO304" s="663"/>
      <c r="AP304" s="663"/>
      <c r="AQ304" s="663"/>
      <c r="AR304" s="663"/>
      <c r="AS304" s="663"/>
      <c r="AT304" s="663"/>
      <c r="AU304" s="663"/>
      <c r="AV304" s="663"/>
      <c r="AW304" s="663"/>
      <c r="AX304" s="663"/>
      <c r="AY304" s="663"/>
      <c r="AZ304" s="663"/>
      <c r="BA304" s="663"/>
      <c r="BB304" s="663"/>
      <c r="BC304" s="663"/>
      <c r="BD304" s="663"/>
      <c r="BE304" s="663"/>
      <c r="BF304" s="663"/>
      <c r="BG304" s="663"/>
      <c r="BH304" s="663"/>
      <c r="BI304" s="663"/>
      <c r="BJ304" s="663"/>
      <c r="BK304" s="663"/>
      <c r="BL304" s="663"/>
      <c r="BM304" s="663"/>
      <c r="BN304" s="663"/>
      <c r="BO304" s="663"/>
      <c r="BP304" s="663"/>
      <c r="BQ304" s="663"/>
      <c r="BR304" s="663"/>
      <c r="BS304" s="663"/>
      <c r="BT304" s="663"/>
      <c r="BU304" s="663"/>
      <c r="BV304" s="663"/>
      <c r="BW304" s="663"/>
      <c r="BX304" s="663"/>
      <c r="BY304" s="663"/>
      <c r="BZ304" s="663"/>
      <c r="CA304" s="663"/>
      <c r="CB304" s="663"/>
      <c r="CC304" s="663"/>
      <c r="CD304" s="663"/>
      <c r="CE304" s="663"/>
      <c r="CF304" s="663"/>
      <c r="CG304" s="663"/>
      <c r="CH304" s="663"/>
      <c r="CI304" s="663"/>
      <c r="CJ304" s="663"/>
      <c r="CK304" s="663"/>
      <c r="CL304" s="663"/>
      <c r="CM304" s="663"/>
      <c r="CN304" s="663"/>
      <c r="CO304" s="663"/>
      <c r="CP304" s="663"/>
      <c r="CQ304" s="663"/>
      <c r="CR304" s="663"/>
      <c r="CS304" s="663"/>
      <c r="CT304" s="663"/>
      <c r="CU304" s="663"/>
      <c r="CV304" s="663"/>
      <c r="CW304" s="663"/>
      <c r="CX304" s="663"/>
      <c r="CY304" s="663"/>
      <c r="CZ304" s="663"/>
      <c r="DA304" s="663"/>
      <c r="DB304" s="663"/>
      <c r="DC304" s="663"/>
      <c r="DD304" s="663"/>
      <c r="DE304" s="663"/>
      <c r="DF304" s="663"/>
      <c r="DG304" s="663"/>
      <c r="DH304" s="663"/>
      <c r="DI304" s="663"/>
      <c r="DJ304" s="663"/>
      <c r="DK304" s="663"/>
      <c r="DL304" s="663"/>
      <c r="DM304" s="663"/>
      <c r="DN304" s="663"/>
      <c r="DO304" s="663"/>
      <c r="DP304" s="663"/>
      <c r="DQ304" s="663"/>
      <c r="DR304" s="663"/>
      <c r="DS304" s="663"/>
      <c r="DT304" s="663"/>
      <c r="DU304" s="663"/>
      <c r="DV304" s="663"/>
      <c r="DW304" s="663"/>
      <c r="DX304" s="663"/>
      <c r="DY304" s="663"/>
      <c r="DZ304" s="663"/>
      <c r="EA304" s="663"/>
      <c r="EB304" s="663"/>
      <c r="EC304" s="663"/>
      <c r="ED304" s="663"/>
      <c r="EE304" s="663"/>
      <c r="EF304" s="663"/>
      <c r="EG304" s="663"/>
      <c r="EH304" s="663"/>
      <c r="EI304" s="663"/>
      <c r="EJ304" s="663"/>
      <c r="EK304" s="663"/>
      <c r="EL304" s="663"/>
      <c r="EM304" s="663"/>
      <c r="EN304" s="663"/>
      <c r="EO304" s="663"/>
      <c r="EP304" s="663"/>
      <c r="EQ304" s="663"/>
      <c r="ER304" s="663"/>
      <c r="ES304" s="663"/>
      <c r="ET304" s="663"/>
      <c r="EU304" s="663"/>
      <c r="EV304" s="663"/>
      <c r="EW304" s="663"/>
      <c r="EX304" s="663"/>
      <c r="EY304" s="663"/>
      <c r="EZ304" s="663"/>
      <c r="FA304" s="663"/>
      <c r="FB304" s="663"/>
      <c r="FC304" s="663"/>
      <c r="FD304" s="663"/>
      <c r="FE304" s="663"/>
      <c r="FF304" s="663"/>
      <c r="FG304" s="663"/>
      <c r="FH304" s="663"/>
      <c r="FI304" s="663"/>
      <c r="FJ304" s="663"/>
      <c r="FK304" s="663"/>
      <c r="FL304" s="663"/>
      <c r="FM304" s="663"/>
      <c r="FN304" s="663"/>
      <c r="FO304" s="663"/>
      <c r="FP304" s="663"/>
      <c r="FQ304" s="663"/>
      <c r="FR304" s="663"/>
      <c r="FS304" s="663"/>
      <c r="FT304" s="663"/>
      <c r="FU304" s="663"/>
      <c r="FV304" s="663"/>
      <c r="FW304" s="663"/>
      <c r="FX304" s="663"/>
      <c r="FY304" s="663"/>
      <c r="FZ304" s="663"/>
      <c r="GA304" s="663"/>
      <c r="GB304" s="663"/>
      <c r="GC304" s="663"/>
      <c r="GD304" s="663"/>
      <c r="GE304" s="663"/>
      <c r="GF304" s="663"/>
      <c r="GG304" s="663"/>
    </row>
    <row r="305" spans="1:189">
      <c r="A305" s="670"/>
      <c r="B305" s="670"/>
      <c r="C305" s="670"/>
      <c r="D305" s="670"/>
      <c r="E305" s="670"/>
      <c r="F305" s="670"/>
      <c r="G305" s="671"/>
      <c r="H305" s="626"/>
      <c r="I305" s="626"/>
      <c r="J305" s="672"/>
      <c r="K305" s="663"/>
      <c r="L305" s="663"/>
      <c r="M305" s="663"/>
      <c r="N305" s="663"/>
      <c r="O305" s="663"/>
      <c r="P305" s="663"/>
      <c r="Q305" s="663"/>
      <c r="R305" s="663"/>
      <c r="S305" s="663"/>
      <c r="T305" s="663"/>
      <c r="U305" s="663"/>
      <c r="V305" s="663"/>
      <c r="W305" s="663"/>
      <c r="X305" s="663"/>
      <c r="Y305" s="663"/>
      <c r="Z305" s="663"/>
      <c r="AA305" s="663"/>
      <c r="AB305" s="663"/>
      <c r="AC305" s="663"/>
      <c r="AD305" s="663"/>
      <c r="AE305" s="663"/>
      <c r="AF305" s="663"/>
      <c r="AG305" s="663"/>
      <c r="AH305" s="663"/>
      <c r="AI305" s="663"/>
      <c r="AJ305" s="663"/>
      <c r="AK305" s="663"/>
      <c r="AL305" s="663"/>
      <c r="AM305" s="663"/>
      <c r="AN305" s="663"/>
      <c r="AO305" s="663"/>
      <c r="AP305" s="663"/>
      <c r="AQ305" s="663"/>
      <c r="AR305" s="663"/>
      <c r="AS305" s="663"/>
      <c r="AT305" s="663"/>
      <c r="AU305" s="663"/>
      <c r="AV305" s="663"/>
      <c r="AW305" s="663"/>
      <c r="AX305" s="663"/>
      <c r="AY305" s="663"/>
      <c r="AZ305" s="663"/>
      <c r="BA305" s="663"/>
      <c r="BB305" s="663"/>
      <c r="BC305" s="663"/>
      <c r="BD305" s="663"/>
      <c r="BE305" s="663"/>
      <c r="BF305" s="663"/>
      <c r="BG305" s="663"/>
      <c r="BH305" s="663"/>
      <c r="BI305" s="663"/>
      <c r="BJ305" s="663"/>
      <c r="BK305" s="663"/>
      <c r="BL305" s="663"/>
      <c r="BM305" s="663"/>
      <c r="BN305" s="663"/>
      <c r="BO305" s="663"/>
      <c r="BP305" s="663"/>
      <c r="BQ305" s="663"/>
      <c r="BR305" s="663"/>
      <c r="BS305" s="663"/>
      <c r="BT305" s="663"/>
      <c r="BU305" s="663"/>
      <c r="BV305" s="663"/>
      <c r="BW305" s="663"/>
      <c r="BX305" s="663"/>
      <c r="BY305" s="663"/>
      <c r="BZ305" s="663"/>
      <c r="CA305" s="663"/>
      <c r="CB305" s="663"/>
      <c r="CC305" s="663"/>
      <c r="CD305" s="663"/>
      <c r="CE305" s="663"/>
      <c r="CF305" s="663"/>
      <c r="CG305" s="663"/>
      <c r="CH305" s="663"/>
      <c r="CI305" s="663"/>
      <c r="CJ305" s="663"/>
      <c r="CK305" s="663"/>
      <c r="CL305" s="663"/>
      <c r="CM305" s="663"/>
      <c r="CN305" s="663"/>
      <c r="CO305" s="663"/>
      <c r="CP305" s="663"/>
      <c r="CQ305" s="663"/>
      <c r="CR305" s="663"/>
      <c r="CS305" s="663"/>
      <c r="CT305" s="663"/>
      <c r="CU305" s="663"/>
      <c r="CV305" s="663"/>
      <c r="CW305" s="663"/>
      <c r="CX305" s="663"/>
      <c r="CY305" s="663"/>
      <c r="CZ305" s="663"/>
      <c r="DA305" s="663"/>
      <c r="DB305" s="663"/>
      <c r="DC305" s="663"/>
      <c r="DD305" s="663"/>
      <c r="DE305" s="663"/>
      <c r="DF305" s="663"/>
      <c r="DG305" s="663"/>
      <c r="DH305" s="663"/>
      <c r="DI305" s="663"/>
      <c r="DJ305" s="663"/>
      <c r="DK305" s="663"/>
      <c r="DL305" s="663"/>
      <c r="DM305" s="663"/>
      <c r="DN305" s="663"/>
      <c r="DO305" s="663"/>
      <c r="DP305" s="663"/>
      <c r="DQ305" s="663"/>
      <c r="DR305" s="663"/>
      <c r="DS305" s="663"/>
      <c r="DT305" s="663"/>
      <c r="DU305" s="663"/>
      <c r="DV305" s="663"/>
      <c r="DW305" s="663"/>
      <c r="DX305" s="663"/>
      <c r="DY305" s="663"/>
      <c r="DZ305" s="663"/>
      <c r="EA305" s="663"/>
      <c r="EB305" s="663"/>
      <c r="EC305" s="663"/>
      <c r="ED305" s="663"/>
      <c r="EE305" s="663"/>
      <c r="EF305" s="663"/>
      <c r="EG305" s="663"/>
      <c r="EH305" s="663"/>
      <c r="EI305" s="663"/>
      <c r="EJ305" s="663"/>
      <c r="EK305" s="663"/>
      <c r="EL305" s="663"/>
      <c r="EM305" s="663"/>
      <c r="EN305" s="663"/>
      <c r="EO305" s="663"/>
      <c r="EP305" s="663"/>
      <c r="EQ305" s="663"/>
      <c r="ER305" s="663"/>
      <c r="ES305" s="663"/>
      <c r="ET305" s="663"/>
      <c r="EU305" s="663"/>
      <c r="EV305" s="663"/>
      <c r="EW305" s="663"/>
      <c r="EX305" s="663"/>
      <c r="EY305" s="663"/>
      <c r="EZ305" s="663"/>
      <c r="FA305" s="663"/>
      <c r="FB305" s="663"/>
      <c r="FC305" s="663"/>
      <c r="FD305" s="663"/>
      <c r="FE305" s="663"/>
      <c r="FF305" s="663"/>
      <c r="FG305" s="663"/>
      <c r="FH305" s="663"/>
      <c r="FI305" s="663"/>
      <c r="FJ305" s="663"/>
      <c r="FK305" s="663"/>
      <c r="FL305" s="663"/>
      <c r="FM305" s="663"/>
      <c r="FN305" s="663"/>
      <c r="FO305" s="663"/>
      <c r="FP305" s="663"/>
      <c r="FQ305" s="663"/>
      <c r="FR305" s="663"/>
      <c r="FS305" s="663"/>
      <c r="FT305" s="663"/>
      <c r="FU305" s="663"/>
      <c r="FV305" s="663"/>
      <c r="FW305" s="663"/>
      <c r="FX305" s="663"/>
      <c r="FY305" s="663"/>
      <c r="FZ305" s="663"/>
      <c r="GA305" s="663"/>
      <c r="GB305" s="663"/>
      <c r="GC305" s="663"/>
      <c r="GD305" s="663"/>
      <c r="GE305" s="663"/>
      <c r="GF305" s="663"/>
      <c r="GG305" s="663"/>
    </row>
    <row r="306" spans="1:189">
      <c r="A306" s="670"/>
      <c r="B306" s="670"/>
      <c r="C306" s="670"/>
      <c r="D306" s="670"/>
      <c r="E306" s="670"/>
      <c r="F306" s="670"/>
      <c r="G306" s="671"/>
      <c r="H306" s="626"/>
      <c r="I306" s="626"/>
      <c r="J306" s="672"/>
      <c r="K306" s="663"/>
      <c r="L306" s="663"/>
      <c r="M306" s="663"/>
      <c r="N306" s="663"/>
      <c r="O306" s="663"/>
      <c r="P306" s="663"/>
      <c r="Q306" s="663"/>
      <c r="R306" s="663"/>
      <c r="S306" s="663"/>
      <c r="T306" s="663"/>
      <c r="U306" s="663"/>
      <c r="V306" s="663"/>
      <c r="W306" s="663"/>
      <c r="X306" s="663"/>
      <c r="Y306" s="663"/>
      <c r="Z306" s="663"/>
      <c r="AA306" s="663"/>
      <c r="AB306" s="663"/>
      <c r="AC306" s="663"/>
      <c r="AD306" s="663"/>
      <c r="AE306" s="663"/>
      <c r="AF306" s="663"/>
      <c r="AG306" s="663"/>
      <c r="AH306" s="663"/>
      <c r="AI306" s="663"/>
      <c r="AJ306" s="663"/>
      <c r="AK306" s="663"/>
      <c r="AL306" s="663"/>
      <c r="AM306" s="663"/>
      <c r="AN306" s="663"/>
      <c r="AO306" s="663"/>
      <c r="AP306" s="663"/>
      <c r="AQ306" s="663"/>
      <c r="AR306" s="663"/>
      <c r="AS306" s="663"/>
      <c r="AT306" s="663"/>
      <c r="AU306" s="663"/>
      <c r="AV306" s="663"/>
      <c r="AW306" s="663"/>
      <c r="AX306" s="663"/>
      <c r="AY306" s="663"/>
      <c r="AZ306" s="663"/>
      <c r="BA306" s="663"/>
      <c r="BB306" s="663"/>
      <c r="BC306" s="663"/>
      <c r="BD306" s="663"/>
      <c r="BE306" s="663"/>
      <c r="BF306" s="663"/>
      <c r="BG306" s="663"/>
      <c r="BH306" s="663"/>
      <c r="BI306" s="663"/>
      <c r="BJ306" s="663"/>
      <c r="BK306" s="663"/>
      <c r="BL306" s="663"/>
      <c r="BM306" s="663"/>
      <c r="BN306" s="663"/>
      <c r="BO306" s="663"/>
      <c r="BP306" s="663"/>
      <c r="BQ306" s="663"/>
      <c r="BR306" s="663"/>
      <c r="BS306" s="663"/>
      <c r="BT306" s="663"/>
      <c r="BU306" s="663"/>
      <c r="BV306" s="663"/>
      <c r="BW306" s="663"/>
      <c r="BX306" s="663"/>
      <c r="BY306" s="663"/>
      <c r="BZ306" s="663"/>
      <c r="CA306" s="663"/>
      <c r="CB306" s="663"/>
      <c r="CC306" s="663"/>
      <c r="CD306" s="663"/>
      <c r="CE306" s="663"/>
      <c r="CF306" s="663"/>
      <c r="CG306" s="663"/>
      <c r="CH306" s="663"/>
      <c r="CI306" s="663"/>
      <c r="CJ306" s="663"/>
      <c r="CK306" s="663"/>
      <c r="CL306" s="663"/>
      <c r="CM306" s="663"/>
      <c r="CN306" s="663"/>
      <c r="CO306" s="663"/>
      <c r="CP306" s="663"/>
      <c r="CQ306" s="663"/>
      <c r="CR306" s="663"/>
      <c r="CS306" s="663"/>
      <c r="CT306" s="663"/>
      <c r="CU306" s="663"/>
      <c r="CV306" s="663"/>
      <c r="CW306" s="663"/>
      <c r="CX306" s="663"/>
      <c r="CY306" s="663"/>
      <c r="CZ306" s="663"/>
      <c r="DA306" s="663"/>
      <c r="DB306" s="663"/>
      <c r="DC306" s="663"/>
      <c r="DD306" s="663"/>
      <c r="DE306" s="663"/>
      <c r="DF306" s="663"/>
      <c r="DG306" s="663"/>
      <c r="DH306" s="663"/>
      <c r="DI306" s="663"/>
      <c r="DJ306" s="663"/>
      <c r="DK306" s="663"/>
      <c r="DL306" s="663"/>
      <c r="DM306" s="663"/>
      <c r="DN306" s="663"/>
      <c r="DO306" s="663"/>
      <c r="DP306" s="663"/>
      <c r="DQ306" s="663"/>
      <c r="DR306" s="663"/>
      <c r="DS306" s="663"/>
      <c r="DT306" s="663"/>
      <c r="DU306" s="663"/>
      <c r="DV306" s="663"/>
      <c r="DW306" s="663"/>
      <c r="DX306" s="663"/>
      <c r="DY306" s="663"/>
      <c r="DZ306" s="663"/>
      <c r="EA306" s="663"/>
      <c r="EB306" s="663"/>
      <c r="EC306" s="663"/>
      <c r="ED306" s="663"/>
      <c r="EE306" s="663"/>
      <c r="EF306" s="663"/>
      <c r="EG306" s="663"/>
      <c r="EH306" s="663"/>
      <c r="EI306" s="663"/>
      <c r="EJ306" s="663"/>
      <c r="EK306" s="663"/>
      <c r="EL306" s="663"/>
      <c r="EM306" s="663"/>
      <c r="EN306" s="663"/>
      <c r="EO306" s="663"/>
      <c r="EP306" s="663"/>
      <c r="EQ306" s="663"/>
      <c r="ER306" s="663"/>
      <c r="ES306" s="663"/>
      <c r="ET306" s="663"/>
      <c r="EU306" s="663"/>
      <c r="EV306" s="663"/>
      <c r="EW306" s="663"/>
      <c r="EX306" s="663"/>
      <c r="EY306" s="663"/>
      <c r="EZ306" s="663"/>
      <c r="FA306" s="663"/>
      <c r="FB306" s="663"/>
      <c r="FC306" s="663"/>
      <c r="FD306" s="663"/>
      <c r="FE306" s="663"/>
      <c r="FF306" s="663"/>
      <c r="FG306" s="663"/>
      <c r="FH306" s="663"/>
      <c r="FI306" s="663"/>
      <c r="FJ306" s="663"/>
      <c r="FK306" s="663"/>
      <c r="FL306" s="663"/>
      <c r="FM306" s="663"/>
      <c r="FN306" s="663"/>
      <c r="FO306" s="663"/>
      <c r="FP306" s="663"/>
      <c r="FQ306" s="663"/>
      <c r="FR306" s="663"/>
      <c r="FS306" s="663"/>
      <c r="FT306" s="663"/>
      <c r="FU306" s="663"/>
      <c r="FV306" s="663"/>
      <c r="FW306" s="663"/>
      <c r="FX306" s="663"/>
      <c r="FY306" s="663"/>
      <c r="FZ306" s="663"/>
      <c r="GA306" s="663"/>
      <c r="GB306" s="663"/>
      <c r="GC306" s="663"/>
      <c r="GD306" s="663"/>
      <c r="GE306" s="663"/>
      <c r="GF306" s="663"/>
      <c r="GG306" s="663"/>
    </row>
    <row r="307" spans="1:189">
      <c r="A307" s="670"/>
      <c r="B307" s="670"/>
      <c r="C307" s="670"/>
      <c r="D307" s="670"/>
      <c r="E307" s="670"/>
      <c r="F307" s="670"/>
      <c r="G307" s="671"/>
      <c r="H307" s="626"/>
      <c r="I307" s="626"/>
      <c r="J307" s="672"/>
      <c r="K307" s="663"/>
      <c r="L307" s="663"/>
      <c r="M307" s="663"/>
      <c r="N307" s="663"/>
      <c r="O307" s="663"/>
      <c r="P307" s="663"/>
      <c r="Q307" s="663"/>
      <c r="R307" s="663"/>
      <c r="S307" s="663"/>
      <c r="T307" s="663"/>
      <c r="U307" s="663"/>
      <c r="V307" s="663"/>
      <c r="W307" s="663"/>
      <c r="X307" s="663"/>
      <c r="Y307" s="663"/>
      <c r="Z307" s="663"/>
      <c r="AA307" s="663"/>
      <c r="AB307" s="663"/>
      <c r="AC307" s="663"/>
      <c r="AD307" s="663"/>
      <c r="AE307" s="663"/>
      <c r="AF307" s="663"/>
      <c r="AG307" s="663"/>
      <c r="AH307" s="663"/>
      <c r="AI307" s="663"/>
      <c r="AJ307" s="663"/>
      <c r="AK307" s="663"/>
      <c r="AL307" s="663"/>
      <c r="AM307" s="663"/>
      <c r="AN307" s="663"/>
      <c r="AO307" s="663"/>
      <c r="AP307" s="663"/>
      <c r="AQ307" s="663"/>
      <c r="AR307" s="663"/>
      <c r="AS307" s="663"/>
      <c r="AT307" s="663"/>
      <c r="AU307" s="663"/>
      <c r="AV307" s="663"/>
      <c r="AW307" s="663"/>
      <c r="AX307" s="663"/>
      <c r="AY307" s="663"/>
      <c r="AZ307" s="663"/>
      <c r="BA307" s="663"/>
      <c r="BB307" s="663"/>
      <c r="BC307" s="663"/>
      <c r="BD307" s="663"/>
      <c r="BE307" s="663"/>
      <c r="BF307" s="663"/>
      <c r="BG307" s="663"/>
      <c r="BH307" s="663"/>
      <c r="BI307" s="663"/>
      <c r="BJ307" s="663"/>
      <c r="BK307" s="663"/>
      <c r="BL307" s="663"/>
      <c r="BM307" s="663"/>
      <c r="BN307" s="663"/>
      <c r="BO307" s="663"/>
      <c r="BP307" s="663"/>
      <c r="BQ307" s="663"/>
      <c r="BR307" s="663"/>
      <c r="BS307" s="663"/>
      <c r="BT307" s="663"/>
      <c r="BU307" s="663"/>
      <c r="BV307" s="663"/>
      <c r="BW307" s="663"/>
      <c r="BX307" s="663"/>
      <c r="BY307" s="663"/>
      <c r="BZ307" s="663"/>
      <c r="CA307" s="663"/>
      <c r="CB307" s="663"/>
      <c r="CC307" s="663"/>
      <c r="CD307" s="663"/>
      <c r="CE307" s="663"/>
      <c r="CF307" s="663"/>
      <c r="CG307" s="663"/>
      <c r="CH307" s="663"/>
      <c r="CI307" s="663"/>
      <c r="CJ307" s="663"/>
      <c r="CK307" s="663"/>
      <c r="CL307" s="663"/>
      <c r="CM307" s="663"/>
      <c r="CN307" s="663"/>
      <c r="CO307" s="663"/>
      <c r="CP307" s="663"/>
      <c r="CQ307" s="663"/>
      <c r="CR307" s="663"/>
      <c r="CS307" s="663"/>
      <c r="CT307" s="663"/>
      <c r="CU307" s="663"/>
      <c r="CV307" s="663"/>
      <c r="CW307" s="663"/>
      <c r="CX307" s="663"/>
      <c r="CY307" s="663"/>
      <c r="CZ307" s="663"/>
      <c r="DA307" s="663"/>
      <c r="DB307" s="663"/>
      <c r="DC307" s="663"/>
      <c r="DD307" s="663"/>
      <c r="DE307" s="663"/>
      <c r="DF307" s="663"/>
      <c r="DG307" s="663"/>
      <c r="DH307" s="663"/>
      <c r="DI307" s="663"/>
      <c r="DJ307" s="663"/>
      <c r="DK307" s="663"/>
      <c r="DL307" s="663"/>
      <c r="DM307" s="663"/>
      <c r="DN307" s="663"/>
      <c r="DO307" s="663"/>
      <c r="DP307" s="663"/>
      <c r="DQ307" s="663"/>
      <c r="DR307" s="663"/>
      <c r="DS307" s="663"/>
      <c r="DT307" s="663"/>
      <c r="DU307" s="663"/>
      <c r="DV307" s="663"/>
      <c r="DW307" s="663"/>
      <c r="DX307" s="663"/>
      <c r="DY307" s="663"/>
      <c r="DZ307" s="663"/>
      <c r="EA307" s="663"/>
      <c r="EB307" s="663"/>
      <c r="EC307" s="663"/>
      <c r="ED307" s="663"/>
      <c r="EE307" s="663"/>
      <c r="EF307" s="663"/>
      <c r="EG307" s="663"/>
      <c r="EH307" s="663"/>
      <c r="EI307" s="663"/>
      <c r="EJ307" s="663"/>
      <c r="EK307" s="663"/>
      <c r="EL307" s="663"/>
      <c r="EM307" s="663"/>
      <c r="EN307" s="663"/>
      <c r="EO307" s="663"/>
      <c r="EP307" s="663"/>
      <c r="EQ307" s="663"/>
      <c r="ER307" s="663"/>
      <c r="ES307" s="663"/>
      <c r="ET307" s="663"/>
      <c r="EU307" s="663"/>
      <c r="EV307" s="663"/>
      <c r="EW307" s="663"/>
      <c r="EX307" s="663"/>
      <c r="EY307" s="663"/>
      <c r="EZ307" s="663"/>
      <c r="FA307" s="663"/>
      <c r="FB307" s="663"/>
      <c r="FC307" s="663"/>
      <c r="FD307" s="663"/>
      <c r="FE307" s="663"/>
      <c r="FF307" s="663"/>
      <c r="FG307" s="663"/>
      <c r="FH307" s="663"/>
      <c r="FI307" s="663"/>
      <c r="FJ307" s="663"/>
      <c r="FK307" s="663"/>
      <c r="FL307" s="663"/>
      <c r="FM307" s="663"/>
      <c r="FN307" s="663"/>
      <c r="FO307" s="663"/>
      <c r="FP307" s="663"/>
      <c r="FQ307" s="663"/>
      <c r="FR307" s="663"/>
      <c r="FS307" s="663"/>
      <c r="FT307" s="663"/>
      <c r="FU307" s="663"/>
      <c r="FV307" s="663"/>
      <c r="FW307" s="663"/>
      <c r="FX307" s="663"/>
      <c r="FY307" s="663"/>
      <c r="FZ307" s="663"/>
      <c r="GA307" s="663"/>
      <c r="GB307" s="663"/>
      <c r="GC307" s="663"/>
      <c r="GD307" s="663"/>
      <c r="GE307" s="663"/>
      <c r="GF307" s="663"/>
      <c r="GG307" s="663"/>
    </row>
    <row r="308" spans="1:189">
      <c r="A308" s="670"/>
      <c r="B308" s="670"/>
      <c r="C308" s="670"/>
      <c r="D308" s="670"/>
      <c r="E308" s="670"/>
      <c r="F308" s="670"/>
      <c r="G308" s="671"/>
      <c r="H308" s="626"/>
      <c r="I308" s="626"/>
      <c r="J308" s="672"/>
      <c r="K308" s="663"/>
      <c r="L308" s="663"/>
      <c r="M308" s="663"/>
      <c r="N308" s="663"/>
      <c r="O308" s="663"/>
      <c r="P308" s="663"/>
      <c r="Q308" s="663"/>
      <c r="R308" s="663"/>
      <c r="S308" s="663"/>
      <c r="T308" s="663"/>
      <c r="U308" s="663"/>
      <c r="V308" s="663"/>
      <c r="W308" s="663"/>
      <c r="X308" s="663"/>
      <c r="Y308" s="663"/>
      <c r="Z308" s="663"/>
      <c r="AA308" s="663"/>
      <c r="AB308" s="663"/>
      <c r="AC308" s="663"/>
      <c r="AD308" s="663"/>
      <c r="AE308" s="663"/>
      <c r="AF308" s="663"/>
      <c r="AG308" s="663"/>
      <c r="AH308" s="663"/>
      <c r="AI308" s="663"/>
      <c r="AJ308" s="663"/>
      <c r="AK308" s="663"/>
      <c r="AL308" s="663"/>
      <c r="AM308" s="663"/>
      <c r="AN308" s="663"/>
      <c r="AO308" s="663"/>
      <c r="AP308" s="663"/>
      <c r="AQ308" s="663"/>
      <c r="AR308" s="663"/>
      <c r="AS308" s="663"/>
      <c r="AT308" s="663"/>
      <c r="AU308" s="663"/>
      <c r="AV308" s="663"/>
      <c r="AW308" s="663"/>
      <c r="AX308" s="663"/>
      <c r="AY308" s="663"/>
      <c r="AZ308" s="663"/>
      <c r="BA308" s="663"/>
      <c r="BB308" s="663"/>
      <c r="BC308" s="663"/>
      <c r="BD308" s="663"/>
      <c r="BE308" s="663"/>
      <c r="BF308" s="663"/>
      <c r="BG308" s="663"/>
      <c r="BH308" s="663"/>
      <c r="BI308" s="663"/>
      <c r="BJ308" s="663"/>
      <c r="BK308" s="663"/>
      <c r="BL308" s="663"/>
      <c r="BM308" s="663"/>
      <c r="BN308" s="663"/>
      <c r="BO308" s="663"/>
      <c r="BP308" s="663"/>
      <c r="BQ308" s="663"/>
      <c r="BR308" s="663"/>
      <c r="BS308" s="663"/>
      <c r="BT308" s="663"/>
      <c r="BU308" s="663"/>
      <c r="BV308" s="663"/>
      <c r="BW308" s="663"/>
      <c r="BX308" s="663"/>
      <c r="BY308" s="663"/>
      <c r="BZ308" s="663"/>
      <c r="CA308" s="663"/>
      <c r="CB308" s="663"/>
      <c r="CC308" s="663"/>
      <c r="CD308" s="663"/>
      <c r="CE308" s="663"/>
      <c r="CF308" s="663"/>
      <c r="CG308" s="663"/>
      <c r="CH308" s="663"/>
      <c r="CI308" s="663"/>
      <c r="CJ308" s="663"/>
      <c r="CK308" s="663"/>
      <c r="CL308" s="663"/>
      <c r="CM308" s="663"/>
      <c r="CN308" s="663"/>
      <c r="CO308" s="663"/>
      <c r="CP308" s="663"/>
      <c r="CQ308" s="663"/>
      <c r="CR308" s="663"/>
      <c r="CS308" s="663"/>
      <c r="CT308" s="663"/>
      <c r="CU308" s="663"/>
      <c r="CV308" s="663"/>
      <c r="CW308" s="663"/>
      <c r="CX308" s="663"/>
      <c r="CY308" s="663"/>
      <c r="CZ308" s="663"/>
      <c r="DA308" s="663"/>
      <c r="DB308" s="663"/>
      <c r="DC308" s="663"/>
      <c r="DD308" s="663"/>
      <c r="DE308" s="663"/>
      <c r="DF308" s="663"/>
      <c r="DG308" s="663"/>
      <c r="DH308" s="663"/>
      <c r="DI308" s="663"/>
      <c r="DJ308" s="663"/>
      <c r="DK308" s="663"/>
      <c r="DL308" s="663"/>
      <c r="DM308" s="663"/>
      <c r="DN308" s="663"/>
      <c r="DO308" s="663"/>
      <c r="DP308" s="663"/>
      <c r="DQ308" s="663"/>
      <c r="DR308" s="663"/>
      <c r="DS308" s="663"/>
      <c r="DT308" s="663"/>
      <c r="DU308" s="663"/>
      <c r="DV308" s="663"/>
      <c r="DW308" s="663"/>
      <c r="DX308" s="663"/>
      <c r="DY308" s="663"/>
      <c r="DZ308" s="663"/>
      <c r="EA308" s="663"/>
      <c r="EB308" s="663"/>
      <c r="EC308" s="663"/>
      <c r="ED308" s="663"/>
      <c r="EE308" s="663"/>
      <c r="EF308" s="663"/>
      <c r="EG308" s="663"/>
      <c r="EH308" s="663"/>
      <c r="EI308" s="663"/>
      <c r="EJ308" s="663"/>
      <c r="EK308" s="663"/>
      <c r="EL308" s="663"/>
      <c r="EM308" s="663"/>
      <c r="EN308" s="663"/>
      <c r="EO308" s="663"/>
      <c r="EP308" s="663"/>
      <c r="EQ308" s="663"/>
      <c r="ER308" s="663"/>
      <c r="ES308" s="663"/>
      <c r="ET308" s="663"/>
      <c r="EU308" s="663"/>
      <c r="EV308" s="663"/>
      <c r="EW308" s="663"/>
      <c r="EX308" s="663"/>
      <c r="EY308" s="663"/>
      <c r="EZ308" s="663"/>
      <c r="FA308" s="663"/>
      <c r="FB308" s="663"/>
      <c r="FC308" s="663"/>
      <c r="FD308" s="663"/>
      <c r="FE308" s="663"/>
      <c r="FF308" s="663"/>
      <c r="FG308" s="663"/>
      <c r="FH308" s="663"/>
      <c r="FI308" s="663"/>
      <c r="FJ308" s="663"/>
      <c r="FK308" s="663"/>
      <c r="FL308" s="663"/>
      <c r="FM308" s="663"/>
      <c r="FN308" s="663"/>
      <c r="FO308" s="663"/>
      <c r="FP308" s="663"/>
      <c r="FQ308" s="663"/>
      <c r="FR308" s="663"/>
      <c r="FS308" s="663"/>
      <c r="FT308" s="663"/>
      <c r="FU308" s="663"/>
      <c r="FV308" s="663"/>
      <c r="FW308" s="663"/>
      <c r="FX308" s="663"/>
      <c r="FY308" s="663"/>
      <c r="FZ308" s="663"/>
      <c r="GA308" s="663"/>
      <c r="GB308" s="663"/>
      <c r="GC308" s="663"/>
      <c r="GD308" s="663"/>
      <c r="GE308" s="663"/>
      <c r="GF308" s="663"/>
      <c r="GG308" s="663"/>
    </row>
    <row r="309" spans="1:189">
      <c r="A309" s="670"/>
      <c r="B309" s="670"/>
      <c r="C309" s="670"/>
      <c r="D309" s="670"/>
      <c r="E309" s="670"/>
      <c r="F309" s="670"/>
      <c r="G309" s="671"/>
      <c r="H309" s="626"/>
      <c r="I309" s="626"/>
      <c r="J309" s="672"/>
      <c r="K309" s="663"/>
      <c r="L309" s="663"/>
      <c r="M309" s="663"/>
      <c r="N309" s="663"/>
      <c r="O309" s="663"/>
      <c r="P309" s="663"/>
      <c r="Q309" s="663"/>
      <c r="R309" s="663"/>
      <c r="S309" s="663"/>
      <c r="T309" s="663"/>
      <c r="U309" s="663"/>
      <c r="V309" s="663"/>
      <c r="W309" s="663"/>
      <c r="X309" s="663"/>
      <c r="Y309" s="663"/>
      <c r="Z309" s="663"/>
      <c r="AA309" s="663"/>
      <c r="AB309" s="663"/>
      <c r="AC309" s="663"/>
      <c r="AD309" s="663"/>
      <c r="AE309" s="663"/>
      <c r="AF309" s="663"/>
      <c r="AG309" s="663"/>
      <c r="AH309" s="663"/>
      <c r="AI309" s="663"/>
      <c r="AJ309" s="663"/>
      <c r="AK309" s="663"/>
      <c r="AL309" s="663"/>
      <c r="AM309" s="663"/>
      <c r="AN309" s="663"/>
      <c r="AO309" s="663"/>
      <c r="AP309" s="663"/>
      <c r="AQ309" s="663"/>
      <c r="AR309" s="663"/>
      <c r="AS309" s="663"/>
      <c r="AT309" s="663"/>
      <c r="AU309" s="663"/>
      <c r="AV309" s="663"/>
      <c r="AW309" s="663"/>
      <c r="AX309" s="663"/>
      <c r="AY309" s="663"/>
      <c r="AZ309" s="663"/>
      <c r="BA309" s="663"/>
      <c r="BB309" s="663"/>
      <c r="BC309" s="663"/>
      <c r="BD309" s="663"/>
      <c r="BE309" s="663"/>
      <c r="BF309" s="663"/>
      <c r="BG309" s="663"/>
      <c r="BH309" s="663"/>
      <c r="BI309" s="663"/>
      <c r="BJ309" s="663"/>
      <c r="BK309" s="663"/>
      <c r="BL309" s="663"/>
      <c r="BM309" s="663"/>
      <c r="BN309" s="663"/>
      <c r="BO309" s="663"/>
      <c r="BP309" s="663"/>
      <c r="BQ309" s="663"/>
      <c r="BR309" s="663"/>
      <c r="BS309" s="663"/>
      <c r="BT309" s="663"/>
      <c r="BU309" s="663"/>
      <c r="BV309" s="663"/>
      <c r="BW309" s="663"/>
      <c r="BX309" s="663"/>
      <c r="BY309" s="663"/>
      <c r="BZ309" s="663"/>
      <c r="CA309" s="663"/>
      <c r="CB309" s="663"/>
      <c r="CC309" s="663"/>
      <c r="CD309" s="663"/>
      <c r="CE309" s="663"/>
      <c r="CF309" s="663"/>
      <c r="CG309" s="663"/>
      <c r="CH309" s="663"/>
      <c r="CI309" s="663"/>
      <c r="CJ309" s="663"/>
      <c r="CK309" s="663"/>
      <c r="CL309" s="663"/>
      <c r="CM309" s="663"/>
      <c r="CN309" s="663"/>
      <c r="CO309" s="663"/>
      <c r="CP309" s="663"/>
      <c r="CQ309" s="663"/>
      <c r="CR309" s="663"/>
      <c r="CS309" s="663"/>
      <c r="CT309" s="663"/>
      <c r="CU309" s="663"/>
      <c r="CV309" s="663"/>
      <c r="CW309" s="663"/>
      <c r="CX309" s="663"/>
      <c r="CY309" s="663"/>
      <c r="CZ309" s="663"/>
      <c r="DA309" s="663"/>
      <c r="DB309" s="663"/>
      <c r="DC309" s="663"/>
      <c r="DD309" s="663"/>
      <c r="DE309" s="663"/>
      <c r="DF309" s="663"/>
      <c r="DG309" s="663"/>
      <c r="DH309" s="663"/>
      <c r="DI309" s="663"/>
      <c r="DJ309" s="663"/>
      <c r="DK309" s="663"/>
      <c r="DL309" s="663"/>
      <c r="DM309" s="663"/>
      <c r="DN309" s="663"/>
      <c r="DO309" s="663"/>
      <c r="DP309" s="663"/>
      <c r="DQ309" s="663"/>
      <c r="DR309" s="663"/>
      <c r="DS309" s="663"/>
      <c r="DT309" s="663"/>
      <c r="DU309" s="663"/>
      <c r="DV309" s="663"/>
      <c r="DW309" s="663"/>
      <c r="DX309" s="663"/>
      <c r="DY309" s="663"/>
      <c r="DZ309" s="663"/>
      <c r="EA309" s="663"/>
      <c r="EB309" s="663"/>
      <c r="EC309" s="663"/>
      <c r="ED309" s="663"/>
      <c r="EE309" s="663"/>
      <c r="EF309" s="663"/>
      <c r="EG309" s="663"/>
      <c r="EH309" s="663"/>
      <c r="EI309" s="663"/>
      <c r="EJ309" s="663"/>
      <c r="EK309" s="663"/>
      <c r="EL309" s="663"/>
      <c r="EM309" s="663"/>
      <c r="EN309" s="663"/>
      <c r="EO309" s="663"/>
      <c r="EP309" s="663"/>
      <c r="EQ309" s="663"/>
      <c r="ER309" s="663"/>
      <c r="ES309" s="663"/>
      <c r="ET309" s="663"/>
      <c r="EU309" s="663"/>
      <c r="EV309" s="663"/>
      <c r="EW309" s="663"/>
      <c r="EX309" s="663"/>
      <c r="EY309" s="663"/>
      <c r="EZ309" s="663"/>
      <c r="FA309" s="663"/>
      <c r="FB309" s="663"/>
      <c r="FC309" s="663"/>
      <c r="FD309" s="663"/>
      <c r="FE309" s="663"/>
      <c r="FF309" s="663"/>
      <c r="FG309" s="663"/>
      <c r="FH309" s="663"/>
      <c r="FI309" s="663"/>
      <c r="FJ309" s="663"/>
      <c r="FK309" s="663"/>
      <c r="FL309" s="663"/>
      <c r="FM309" s="663"/>
      <c r="FN309" s="663"/>
      <c r="FO309" s="663"/>
      <c r="FP309" s="663"/>
      <c r="FQ309" s="663"/>
      <c r="FR309" s="663"/>
      <c r="FS309" s="663"/>
      <c r="FT309" s="663"/>
      <c r="FU309" s="663"/>
      <c r="FV309" s="663"/>
      <c r="FW309" s="663"/>
      <c r="FX309" s="663"/>
      <c r="FY309" s="663"/>
      <c r="FZ309" s="663"/>
      <c r="GA309" s="663"/>
      <c r="GB309" s="663"/>
      <c r="GC309" s="663"/>
      <c r="GD309" s="663"/>
      <c r="GE309" s="663"/>
      <c r="GF309" s="663"/>
      <c r="GG309" s="663"/>
    </row>
    <row r="310" spans="1:189">
      <c r="A310" s="670"/>
      <c r="B310" s="670"/>
      <c r="C310" s="670"/>
      <c r="D310" s="670"/>
      <c r="E310" s="670"/>
      <c r="F310" s="670"/>
      <c r="G310" s="671"/>
      <c r="H310" s="626"/>
      <c r="I310" s="626"/>
      <c r="J310" s="672"/>
      <c r="K310" s="663"/>
      <c r="L310" s="663"/>
      <c r="M310" s="663"/>
      <c r="N310" s="663"/>
      <c r="O310" s="663"/>
      <c r="P310" s="663"/>
      <c r="Q310" s="663"/>
      <c r="R310" s="663"/>
      <c r="S310" s="663"/>
      <c r="T310" s="663"/>
      <c r="U310" s="663"/>
      <c r="V310" s="663"/>
      <c r="W310" s="663"/>
      <c r="X310" s="663"/>
      <c r="Y310" s="663"/>
      <c r="Z310" s="663"/>
      <c r="AA310" s="663"/>
      <c r="AB310" s="663"/>
      <c r="AC310" s="663"/>
      <c r="AD310" s="663"/>
      <c r="AE310" s="663"/>
      <c r="AF310" s="663"/>
      <c r="AG310" s="663"/>
      <c r="AH310" s="663"/>
      <c r="AI310" s="663"/>
      <c r="AJ310" s="663"/>
      <c r="AK310" s="663"/>
      <c r="AL310" s="663"/>
      <c r="AM310" s="663"/>
      <c r="AN310" s="663"/>
      <c r="AO310" s="663"/>
      <c r="AP310" s="663"/>
      <c r="AQ310" s="663"/>
      <c r="AR310" s="663"/>
      <c r="AS310" s="663"/>
      <c r="AT310" s="663"/>
      <c r="AU310" s="663"/>
      <c r="AV310" s="663"/>
      <c r="AW310" s="663"/>
      <c r="AX310" s="663"/>
      <c r="AY310" s="663"/>
      <c r="AZ310" s="663"/>
      <c r="BA310" s="663"/>
      <c r="BB310" s="663"/>
      <c r="BC310" s="663"/>
      <c r="BD310" s="663"/>
      <c r="BE310" s="663"/>
      <c r="BF310" s="663"/>
      <c r="BG310" s="663"/>
      <c r="BH310" s="663"/>
      <c r="BI310" s="663"/>
      <c r="BJ310" s="663"/>
      <c r="BK310" s="663"/>
      <c r="BL310" s="663"/>
      <c r="BM310" s="663"/>
      <c r="BN310" s="663"/>
      <c r="BO310" s="663"/>
      <c r="BP310" s="663"/>
      <c r="BQ310" s="663"/>
      <c r="BR310" s="663"/>
      <c r="BS310" s="663"/>
      <c r="BT310" s="663"/>
      <c r="BU310" s="663"/>
      <c r="BV310" s="663"/>
      <c r="BW310" s="663"/>
      <c r="BX310" s="663"/>
      <c r="BY310" s="663"/>
      <c r="BZ310" s="663"/>
      <c r="CA310" s="663"/>
      <c r="CB310" s="663"/>
      <c r="CC310" s="663"/>
      <c r="CD310" s="663"/>
      <c r="CE310" s="663"/>
      <c r="CF310" s="663"/>
      <c r="CG310" s="663"/>
      <c r="CH310" s="663"/>
      <c r="CI310" s="663"/>
      <c r="CJ310" s="663"/>
      <c r="CK310" s="663"/>
      <c r="CL310" s="663"/>
      <c r="CM310" s="663"/>
      <c r="CN310" s="663"/>
      <c r="CO310" s="663"/>
      <c r="CP310" s="663"/>
      <c r="CQ310" s="663"/>
      <c r="CR310" s="663"/>
      <c r="CS310" s="663"/>
      <c r="CT310" s="663"/>
      <c r="CU310" s="663"/>
      <c r="CV310" s="663"/>
      <c r="CW310" s="663"/>
      <c r="CX310" s="663"/>
      <c r="CY310" s="663"/>
      <c r="CZ310" s="663"/>
      <c r="DA310" s="663"/>
      <c r="DB310" s="663"/>
      <c r="DC310" s="663"/>
      <c r="DD310" s="663"/>
      <c r="DE310" s="663"/>
      <c r="DF310" s="663"/>
      <c r="DG310" s="663"/>
      <c r="DH310" s="663"/>
      <c r="DI310" s="663"/>
      <c r="DJ310" s="663"/>
      <c r="DK310" s="663"/>
      <c r="DL310" s="663"/>
      <c r="DM310" s="663"/>
      <c r="DN310" s="663"/>
      <c r="DO310" s="663"/>
      <c r="DP310" s="663"/>
      <c r="DQ310" s="663"/>
      <c r="DR310" s="663"/>
      <c r="DS310" s="663"/>
      <c r="DT310" s="663"/>
      <c r="DU310" s="663"/>
      <c r="DV310" s="663"/>
      <c r="DW310" s="663"/>
      <c r="DX310" s="663"/>
      <c r="DY310" s="663"/>
      <c r="DZ310" s="663"/>
      <c r="EA310" s="663"/>
      <c r="EB310" s="663"/>
      <c r="EC310" s="663"/>
      <c r="ED310" s="663"/>
      <c r="EE310" s="663"/>
      <c r="EF310" s="663"/>
      <c r="EG310" s="663"/>
      <c r="EH310" s="663"/>
      <c r="EI310" s="663"/>
      <c r="EJ310" s="663"/>
      <c r="EK310" s="663"/>
      <c r="EL310" s="663"/>
      <c r="EM310" s="663"/>
      <c r="EN310" s="663"/>
      <c r="EO310" s="663"/>
      <c r="EP310" s="663"/>
      <c r="EQ310" s="663"/>
      <c r="ER310" s="663"/>
      <c r="ES310" s="663"/>
      <c r="ET310" s="663"/>
      <c r="EU310" s="663"/>
      <c r="EV310" s="663"/>
      <c r="EW310" s="663"/>
      <c r="EX310" s="663"/>
      <c r="EY310" s="663"/>
      <c r="EZ310" s="663"/>
      <c r="FA310" s="663"/>
      <c r="FB310" s="663"/>
      <c r="FC310" s="663"/>
      <c r="FD310" s="663"/>
      <c r="FE310" s="663"/>
      <c r="FF310" s="663"/>
      <c r="FG310" s="663"/>
      <c r="FH310" s="663"/>
      <c r="FI310" s="663"/>
      <c r="FJ310" s="663"/>
      <c r="FK310" s="663"/>
      <c r="FL310" s="663"/>
      <c r="FM310" s="663"/>
      <c r="FN310" s="663"/>
      <c r="FO310" s="663"/>
      <c r="FP310" s="663"/>
      <c r="FQ310" s="663"/>
      <c r="FR310" s="663"/>
      <c r="FS310" s="663"/>
      <c r="FT310" s="663"/>
      <c r="FU310" s="663"/>
      <c r="FV310" s="663"/>
      <c r="FW310" s="663"/>
      <c r="FX310" s="663"/>
      <c r="FY310" s="663"/>
      <c r="FZ310" s="663"/>
      <c r="GA310" s="663"/>
      <c r="GB310" s="663"/>
      <c r="GC310" s="663"/>
      <c r="GD310" s="663"/>
      <c r="GE310" s="663"/>
      <c r="GF310" s="663"/>
      <c r="GG310" s="663"/>
    </row>
    <row r="311" spans="1:189">
      <c r="A311" s="670"/>
      <c r="B311" s="670"/>
      <c r="C311" s="670"/>
      <c r="D311" s="670"/>
      <c r="E311" s="670"/>
      <c r="F311" s="670"/>
      <c r="G311" s="671"/>
      <c r="H311" s="626"/>
      <c r="I311" s="626"/>
      <c r="J311" s="672"/>
      <c r="K311" s="663"/>
      <c r="L311" s="663"/>
      <c r="M311" s="663"/>
      <c r="N311" s="663"/>
      <c r="O311" s="663"/>
      <c r="P311" s="663"/>
      <c r="Q311" s="663"/>
      <c r="R311" s="663"/>
      <c r="S311" s="663"/>
      <c r="T311" s="663"/>
      <c r="U311" s="663"/>
      <c r="V311" s="663"/>
      <c r="W311" s="663"/>
      <c r="X311" s="663"/>
      <c r="Y311" s="663"/>
      <c r="Z311" s="663"/>
      <c r="AA311" s="663"/>
      <c r="AB311" s="663"/>
      <c r="AC311" s="663"/>
      <c r="AD311" s="663"/>
      <c r="AE311" s="663"/>
      <c r="AF311" s="663"/>
      <c r="AG311" s="663"/>
      <c r="AH311" s="663"/>
      <c r="AI311" s="663"/>
      <c r="AJ311" s="663"/>
      <c r="AK311" s="663"/>
      <c r="AL311" s="663"/>
      <c r="AM311" s="663"/>
      <c r="AN311" s="663"/>
      <c r="AO311" s="663"/>
      <c r="AP311" s="663"/>
      <c r="AQ311" s="663"/>
      <c r="AR311" s="663"/>
      <c r="AS311" s="663"/>
      <c r="AT311" s="663"/>
      <c r="AU311" s="663"/>
      <c r="AV311" s="663"/>
      <c r="AW311" s="663"/>
      <c r="AX311" s="663"/>
      <c r="AY311" s="663"/>
      <c r="AZ311" s="663"/>
      <c r="BA311" s="663"/>
      <c r="BB311" s="663"/>
      <c r="BC311" s="663"/>
      <c r="BD311" s="663"/>
      <c r="BE311" s="663"/>
      <c r="BF311" s="663"/>
      <c r="BG311" s="663"/>
      <c r="BH311" s="663"/>
      <c r="BI311" s="663"/>
      <c r="BJ311" s="663"/>
      <c r="BK311" s="663"/>
      <c r="BL311" s="663"/>
      <c r="BM311" s="663"/>
      <c r="BN311" s="663"/>
      <c r="BO311" s="663"/>
      <c r="BP311" s="663"/>
      <c r="BQ311" s="663"/>
      <c r="BR311" s="663"/>
      <c r="BS311" s="663"/>
      <c r="BT311" s="663"/>
      <c r="BU311" s="663"/>
      <c r="BV311" s="663"/>
      <c r="BW311" s="663"/>
      <c r="BX311" s="663"/>
      <c r="BY311" s="663"/>
      <c r="BZ311" s="663"/>
      <c r="CA311" s="663"/>
      <c r="CB311" s="663"/>
      <c r="CC311" s="663"/>
      <c r="CD311" s="663"/>
      <c r="CE311" s="663"/>
      <c r="CF311" s="663"/>
      <c r="CG311" s="663"/>
      <c r="CH311" s="663"/>
      <c r="CI311" s="663"/>
      <c r="CJ311" s="663"/>
      <c r="CK311" s="663"/>
      <c r="CL311" s="663"/>
      <c r="CM311" s="663"/>
      <c r="CN311" s="663"/>
      <c r="CO311" s="663"/>
      <c r="CP311" s="663"/>
      <c r="CQ311" s="663"/>
      <c r="CR311" s="663"/>
      <c r="CS311" s="663"/>
      <c r="CT311" s="663"/>
      <c r="CU311" s="663"/>
      <c r="CV311" s="663"/>
      <c r="CW311" s="663"/>
      <c r="CX311" s="663"/>
      <c r="CY311" s="663"/>
      <c r="CZ311" s="663"/>
      <c r="DA311" s="663"/>
      <c r="DB311" s="663"/>
      <c r="DC311" s="663"/>
      <c r="DD311" s="663"/>
      <c r="DE311" s="663"/>
      <c r="DF311" s="663"/>
      <c r="DG311" s="663"/>
      <c r="DH311" s="663"/>
      <c r="DI311" s="663"/>
      <c r="DJ311" s="663"/>
      <c r="DK311" s="663"/>
      <c r="DL311" s="663"/>
      <c r="DM311" s="663"/>
      <c r="DN311" s="663"/>
      <c r="DO311" s="663"/>
      <c r="DP311" s="663"/>
      <c r="DQ311" s="663"/>
      <c r="DR311" s="663"/>
      <c r="DS311" s="663"/>
      <c r="DT311" s="663"/>
      <c r="DU311" s="663"/>
      <c r="DV311" s="663"/>
      <c r="DW311" s="663"/>
      <c r="DX311" s="663"/>
      <c r="DY311" s="663"/>
      <c r="DZ311" s="663"/>
      <c r="EA311" s="663"/>
      <c r="EB311" s="663"/>
      <c r="EC311" s="663"/>
      <c r="ED311" s="663"/>
      <c r="EE311" s="663"/>
      <c r="EF311" s="663"/>
      <c r="EG311" s="663"/>
      <c r="EH311" s="663"/>
      <c r="EI311" s="663"/>
      <c r="EJ311" s="663"/>
      <c r="EK311" s="663"/>
      <c r="EL311" s="663"/>
      <c r="EM311" s="663"/>
      <c r="EN311" s="663"/>
      <c r="EO311" s="663"/>
      <c r="EP311" s="663"/>
      <c r="EQ311" s="663"/>
      <c r="ER311" s="663"/>
      <c r="ES311" s="663"/>
      <c r="ET311" s="663"/>
      <c r="EU311" s="663"/>
      <c r="EV311" s="663"/>
      <c r="EW311" s="663"/>
      <c r="EX311" s="663"/>
      <c r="EY311" s="663"/>
      <c r="EZ311" s="663"/>
      <c r="FA311" s="663"/>
      <c r="FB311" s="663"/>
      <c r="FC311" s="663"/>
      <c r="FD311" s="663"/>
      <c r="FE311" s="663"/>
      <c r="FF311" s="663"/>
      <c r="FG311" s="663"/>
      <c r="FH311" s="663"/>
      <c r="FI311" s="663"/>
      <c r="FJ311" s="663"/>
      <c r="FK311" s="663"/>
      <c r="FL311" s="663"/>
      <c r="FM311" s="663"/>
      <c r="FN311" s="663"/>
      <c r="FO311" s="663"/>
      <c r="FP311" s="663"/>
      <c r="FQ311" s="663"/>
      <c r="FR311" s="663"/>
      <c r="FS311" s="663"/>
      <c r="FT311" s="663"/>
      <c r="FU311" s="663"/>
      <c r="FV311" s="663"/>
      <c r="FW311" s="663"/>
      <c r="FX311" s="663"/>
      <c r="FY311" s="663"/>
      <c r="FZ311" s="663"/>
      <c r="GA311" s="663"/>
      <c r="GB311" s="663"/>
      <c r="GC311" s="663"/>
      <c r="GD311" s="663"/>
      <c r="GE311" s="663"/>
      <c r="GF311" s="663"/>
      <c r="GG311" s="663"/>
    </row>
    <row r="312" spans="1:189">
      <c r="A312" s="670"/>
      <c r="B312" s="670"/>
      <c r="C312" s="670"/>
      <c r="D312" s="670"/>
      <c r="E312" s="670"/>
      <c r="F312" s="670"/>
      <c r="G312" s="671"/>
      <c r="H312" s="626"/>
      <c r="I312" s="626"/>
      <c r="J312" s="672"/>
      <c r="K312" s="663"/>
      <c r="L312" s="663"/>
      <c r="M312" s="663"/>
      <c r="N312" s="663"/>
      <c r="O312" s="663"/>
      <c r="P312" s="663"/>
      <c r="Q312" s="663"/>
      <c r="R312" s="663"/>
      <c r="S312" s="663"/>
      <c r="T312" s="663"/>
      <c r="U312" s="663"/>
      <c r="V312" s="663"/>
      <c r="W312" s="663"/>
      <c r="X312" s="663"/>
      <c r="Y312" s="663"/>
      <c r="Z312" s="663"/>
      <c r="AA312" s="663"/>
      <c r="AB312" s="663"/>
      <c r="AC312" s="663"/>
      <c r="AD312" s="663"/>
      <c r="AE312" s="663"/>
      <c r="AF312" s="663"/>
      <c r="AG312" s="663"/>
      <c r="AH312" s="663"/>
      <c r="AI312" s="663"/>
      <c r="AJ312" s="663"/>
      <c r="AK312" s="663"/>
      <c r="AL312" s="663"/>
      <c r="AM312" s="663"/>
      <c r="AN312" s="663"/>
      <c r="AO312" s="663"/>
      <c r="AP312" s="663"/>
      <c r="AQ312" s="663"/>
      <c r="AR312" s="663"/>
      <c r="AS312" s="663"/>
      <c r="AT312" s="663"/>
      <c r="AU312" s="663"/>
      <c r="AV312" s="663"/>
      <c r="AW312" s="663"/>
      <c r="AX312" s="663"/>
      <c r="AY312" s="663"/>
      <c r="AZ312" s="663"/>
      <c r="BA312" s="663"/>
      <c r="BB312" s="663"/>
      <c r="BC312" s="663"/>
      <c r="BD312" s="663"/>
      <c r="BE312" s="663"/>
      <c r="BF312" s="663"/>
      <c r="BG312" s="663"/>
      <c r="BH312" s="663"/>
      <c r="BI312" s="663"/>
      <c r="BJ312" s="663"/>
      <c r="BK312" s="663"/>
      <c r="BL312" s="663"/>
      <c r="BM312" s="663"/>
      <c r="BN312" s="663"/>
      <c r="BO312" s="663"/>
      <c r="BP312" s="663"/>
      <c r="BQ312" s="663"/>
      <c r="BR312" s="663"/>
      <c r="BS312" s="663"/>
      <c r="BT312" s="663"/>
      <c r="BU312" s="663"/>
      <c r="BV312" s="663"/>
      <c r="BW312" s="663"/>
      <c r="BX312" s="663"/>
      <c r="BY312" s="663"/>
      <c r="BZ312" s="663"/>
      <c r="CA312" s="663"/>
      <c r="CB312" s="663"/>
      <c r="CC312" s="663"/>
      <c r="CD312" s="663"/>
      <c r="CE312" s="663"/>
      <c r="CF312" s="663"/>
      <c r="CG312" s="663"/>
      <c r="CH312" s="663"/>
      <c r="CI312" s="663"/>
      <c r="CJ312" s="663"/>
      <c r="CK312" s="663"/>
      <c r="CL312" s="663"/>
      <c r="CM312" s="663"/>
      <c r="CN312" s="663"/>
      <c r="CO312" s="663"/>
      <c r="CP312" s="663"/>
      <c r="CQ312" s="663"/>
      <c r="CR312" s="663"/>
      <c r="CS312" s="663"/>
      <c r="CT312" s="663"/>
      <c r="CU312" s="663"/>
      <c r="CV312" s="663"/>
      <c r="CW312" s="663"/>
      <c r="CX312" s="663"/>
      <c r="CY312" s="663"/>
      <c r="CZ312" s="663"/>
      <c r="DA312" s="663"/>
      <c r="DB312" s="663"/>
      <c r="DC312" s="663"/>
      <c r="DD312" s="663"/>
      <c r="DE312" s="663"/>
      <c r="DF312" s="663"/>
      <c r="DG312" s="663"/>
      <c r="DH312" s="663"/>
      <c r="DI312" s="663"/>
      <c r="DJ312" s="663"/>
      <c r="DK312" s="663"/>
      <c r="DL312" s="663"/>
      <c r="DM312" s="663"/>
      <c r="DN312" s="663"/>
      <c r="DO312" s="663"/>
      <c r="DP312" s="663"/>
      <c r="DQ312" s="663"/>
      <c r="DR312" s="663"/>
      <c r="DS312" s="663"/>
      <c r="DT312" s="663"/>
      <c r="DU312" s="663"/>
      <c r="DV312" s="663"/>
      <c r="DW312" s="663"/>
      <c r="DX312" s="663"/>
      <c r="DY312" s="663"/>
      <c r="DZ312" s="663"/>
      <c r="EA312" s="663"/>
      <c r="EB312" s="663"/>
      <c r="EC312" s="663"/>
      <c r="ED312" s="663"/>
      <c r="EE312" s="663"/>
      <c r="EF312" s="663"/>
      <c r="EG312" s="663"/>
      <c r="EH312" s="663"/>
      <c r="EI312" s="663"/>
      <c r="EJ312" s="663"/>
      <c r="EK312" s="663"/>
      <c r="EL312" s="663"/>
      <c r="EM312" s="663"/>
      <c r="EN312" s="663"/>
      <c r="EO312" s="663"/>
      <c r="EP312" s="663"/>
      <c r="EQ312" s="663"/>
      <c r="ER312" s="663"/>
      <c r="ES312" s="663"/>
      <c r="ET312" s="663"/>
      <c r="EU312" s="663"/>
      <c r="EV312" s="663"/>
      <c r="EW312" s="663"/>
      <c r="EX312" s="663"/>
      <c r="EY312" s="663"/>
      <c r="EZ312" s="663"/>
      <c r="FA312" s="663"/>
      <c r="FB312" s="663"/>
      <c r="FC312" s="663"/>
      <c r="FD312" s="663"/>
      <c r="FE312" s="663"/>
      <c r="FF312" s="663"/>
      <c r="FG312" s="663"/>
      <c r="FH312" s="663"/>
      <c r="FI312" s="663"/>
      <c r="FJ312" s="663"/>
      <c r="FK312" s="663"/>
      <c r="FL312" s="663"/>
      <c r="FM312" s="663"/>
      <c r="FN312" s="663"/>
      <c r="FO312" s="663"/>
      <c r="FP312" s="663"/>
      <c r="FQ312" s="663"/>
      <c r="FR312" s="663"/>
      <c r="FS312" s="663"/>
      <c r="FT312" s="663"/>
      <c r="FU312" s="663"/>
      <c r="FV312" s="663"/>
      <c r="FW312" s="663"/>
      <c r="FX312" s="663"/>
      <c r="FY312" s="663"/>
      <c r="FZ312" s="663"/>
      <c r="GA312" s="663"/>
      <c r="GB312" s="663"/>
      <c r="GC312" s="663"/>
      <c r="GD312" s="663"/>
      <c r="GE312" s="663"/>
      <c r="GF312" s="663"/>
      <c r="GG312" s="663"/>
    </row>
    <row r="313" spans="1:189">
      <c r="A313" s="670"/>
      <c r="B313" s="670"/>
      <c r="C313" s="670"/>
      <c r="D313" s="670"/>
      <c r="E313" s="670"/>
      <c r="F313" s="670"/>
      <c r="G313" s="673"/>
      <c r="H313" s="627"/>
      <c r="I313" s="627"/>
      <c r="J313" s="672"/>
      <c r="K313" s="663"/>
      <c r="L313" s="663"/>
      <c r="M313" s="663"/>
      <c r="N313" s="663"/>
      <c r="O313" s="663"/>
      <c r="P313" s="663"/>
      <c r="Q313" s="663"/>
      <c r="R313" s="663"/>
      <c r="S313" s="663"/>
      <c r="T313" s="663"/>
      <c r="U313" s="663"/>
      <c r="V313" s="663"/>
      <c r="W313" s="663"/>
      <c r="X313" s="663"/>
      <c r="Y313" s="663"/>
      <c r="Z313" s="663"/>
      <c r="AA313" s="663"/>
      <c r="AB313" s="663"/>
      <c r="AC313" s="663"/>
      <c r="AD313" s="663"/>
      <c r="AE313" s="663"/>
      <c r="AF313" s="663"/>
      <c r="AG313" s="663"/>
      <c r="AH313" s="663"/>
      <c r="AI313" s="663"/>
      <c r="AJ313" s="663"/>
      <c r="AK313" s="663"/>
      <c r="AL313" s="663"/>
      <c r="AM313" s="663"/>
      <c r="AN313" s="663"/>
      <c r="AO313" s="663"/>
      <c r="AP313" s="663"/>
      <c r="AQ313" s="663"/>
      <c r="AR313" s="663"/>
      <c r="AS313" s="663"/>
      <c r="AT313" s="663"/>
      <c r="AU313" s="663"/>
      <c r="AV313" s="663"/>
      <c r="AW313" s="663"/>
      <c r="AX313" s="663"/>
      <c r="AY313" s="663"/>
      <c r="AZ313" s="663"/>
      <c r="BA313" s="663"/>
      <c r="BB313" s="663"/>
      <c r="BC313" s="663"/>
      <c r="BD313" s="663"/>
      <c r="BE313" s="663"/>
      <c r="BF313" s="663"/>
      <c r="BG313" s="663"/>
      <c r="BH313" s="663"/>
      <c r="BI313" s="663"/>
      <c r="BJ313" s="663"/>
      <c r="BK313" s="663"/>
      <c r="BL313" s="663"/>
      <c r="BM313" s="663"/>
      <c r="BN313" s="663"/>
      <c r="BO313" s="663"/>
      <c r="BP313" s="663"/>
      <c r="BQ313" s="663"/>
      <c r="BR313" s="663"/>
      <c r="BS313" s="663"/>
      <c r="BT313" s="663"/>
      <c r="BU313" s="663"/>
      <c r="BV313" s="663"/>
      <c r="BW313" s="663"/>
      <c r="BX313" s="663"/>
      <c r="BY313" s="663"/>
      <c r="BZ313" s="663"/>
      <c r="CA313" s="663"/>
      <c r="CB313" s="663"/>
      <c r="CC313" s="663"/>
      <c r="CD313" s="663"/>
      <c r="CE313" s="663"/>
      <c r="CF313" s="663"/>
      <c r="CG313" s="663"/>
      <c r="CH313" s="663"/>
      <c r="CI313" s="663"/>
      <c r="CJ313" s="663"/>
      <c r="CK313" s="663"/>
      <c r="CL313" s="663"/>
      <c r="CM313" s="663"/>
      <c r="CN313" s="663"/>
      <c r="CO313" s="663"/>
      <c r="CP313" s="663"/>
      <c r="CQ313" s="663"/>
      <c r="CR313" s="663"/>
      <c r="CS313" s="663"/>
      <c r="CT313" s="663"/>
      <c r="CU313" s="663"/>
      <c r="CV313" s="663"/>
      <c r="CW313" s="663"/>
      <c r="CX313" s="663"/>
      <c r="CY313" s="663"/>
      <c r="CZ313" s="663"/>
      <c r="DA313" s="663"/>
      <c r="DB313" s="663"/>
      <c r="DC313" s="663"/>
      <c r="DD313" s="663"/>
      <c r="DE313" s="663"/>
      <c r="DF313" s="663"/>
      <c r="DG313" s="663"/>
      <c r="DH313" s="663"/>
      <c r="DI313" s="663"/>
      <c r="DJ313" s="663"/>
      <c r="DK313" s="663"/>
      <c r="DL313" s="663"/>
      <c r="DM313" s="663"/>
      <c r="DN313" s="663"/>
      <c r="DO313" s="663"/>
      <c r="DP313" s="663"/>
      <c r="DQ313" s="663"/>
      <c r="DR313" s="663"/>
      <c r="DS313" s="663"/>
      <c r="DT313" s="663"/>
      <c r="DU313" s="663"/>
      <c r="DV313" s="663"/>
      <c r="DW313" s="663"/>
      <c r="DX313" s="663"/>
      <c r="DY313" s="663"/>
      <c r="DZ313" s="663"/>
      <c r="EA313" s="663"/>
      <c r="EB313" s="663"/>
      <c r="EC313" s="663"/>
      <c r="ED313" s="663"/>
      <c r="EE313" s="663"/>
      <c r="EF313" s="663"/>
      <c r="EG313" s="663"/>
      <c r="EH313" s="663"/>
      <c r="EI313" s="663"/>
      <c r="EJ313" s="663"/>
      <c r="EK313" s="663"/>
      <c r="EL313" s="663"/>
      <c r="EM313" s="663"/>
      <c r="EN313" s="663"/>
      <c r="EO313" s="663"/>
      <c r="EP313" s="663"/>
      <c r="EQ313" s="663"/>
      <c r="ER313" s="663"/>
      <c r="ES313" s="663"/>
      <c r="ET313" s="663"/>
      <c r="EU313" s="663"/>
      <c r="EV313" s="663"/>
      <c r="EW313" s="663"/>
      <c r="EX313" s="663"/>
      <c r="EY313" s="663"/>
      <c r="EZ313" s="663"/>
      <c r="FA313" s="663"/>
      <c r="FB313" s="663"/>
      <c r="FC313" s="663"/>
      <c r="FD313" s="663"/>
      <c r="FE313" s="663"/>
      <c r="FF313" s="663"/>
      <c r="FG313" s="663"/>
      <c r="FH313" s="663"/>
      <c r="FI313" s="663"/>
      <c r="FJ313" s="663"/>
      <c r="FK313" s="663"/>
      <c r="FL313" s="663"/>
      <c r="FM313" s="663"/>
      <c r="FN313" s="663"/>
      <c r="FO313" s="663"/>
      <c r="FP313" s="663"/>
      <c r="FQ313" s="663"/>
      <c r="FR313" s="663"/>
      <c r="FS313" s="663"/>
      <c r="FT313" s="663"/>
      <c r="FU313" s="663"/>
      <c r="FV313" s="663"/>
      <c r="FW313" s="663"/>
      <c r="FX313" s="663"/>
      <c r="FY313" s="663"/>
      <c r="FZ313" s="663"/>
      <c r="GA313" s="663"/>
      <c r="GB313" s="663"/>
      <c r="GC313" s="663"/>
      <c r="GD313" s="663"/>
      <c r="GE313" s="663"/>
      <c r="GF313" s="663"/>
      <c r="GG313" s="663"/>
    </row>
    <row r="314" spans="1:189">
      <c r="A314" s="670"/>
      <c r="B314" s="670"/>
      <c r="C314" s="670"/>
      <c r="D314" s="670"/>
      <c r="E314" s="670"/>
      <c r="F314" s="670"/>
      <c r="G314" s="673"/>
      <c r="H314" s="627"/>
      <c r="I314" s="627"/>
      <c r="J314" s="672"/>
      <c r="K314" s="663"/>
      <c r="L314" s="663"/>
      <c r="M314" s="663"/>
      <c r="N314" s="663"/>
      <c r="O314" s="663"/>
      <c r="P314" s="663"/>
      <c r="Q314" s="663"/>
      <c r="R314" s="663"/>
      <c r="S314" s="663"/>
      <c r="T314" s="663"/>
      <c r="U314" s="663"/>
      <c r="V314" s="663"/>
      <c r="W314" s="663"/>
      <c r="X314" s="663"/>
      <c r="Y314" s="663"/>
      <c r="Z314" s="663"/>
      <c r="AA314" s="663"/>
      <c r="AB314" s="663"/>
      <c r="AC314" s="663"/>
      <c r="AD314" s="663"/>
      <c r="AE314" s="663"/>
      <c r="AF314" s="663"/>
      <c r="AG314" s="663"/>
      <c r="AH314" s="663"/>
      <c r="AI314" s="663"/>
      <c r="AJ314" s="663"/>
      <c r="AK314" s="663"/>
      <c r="AL314" s="663"/>
      <c r="AM314" s="663"/>
      <c r="AN314" s="663"/>
      <c r="AO314" s="663"/>
      <c r="AP314" s="663"/>
      <c r="AQ314" s="663"/>
      <c r="AR314" s="663"/>
      <c r="AS314" s="663"/>
      <c r="AT314" s="663"/>
      <c r="AU314" s="663"/>
      <c r="AV314" s="663"/>
      <c r="AW314" s="663"/>
      <c r="AX314" s="663"/>
      <c r="AY314" s="663"/>
      <c r="AZ314" s="663"/>
      <c r="BA314" s="663"/>
      <c r="BB314" s="663"/>
      <c r="BC314" s="663"/>
      <c r="BD314" s="663"/>
      <c r="BE314" s="663"/>
      <c r="BF314" s="663"/>
      <c r="BG314" s="663"/>
      <c r="BH314" s="663"/>
      <c r="BI314" s="663"/>
      <c r="BJ314" s="663"/>
      <c r="BK314" s="663"/>
      <c r="BL314" s="663"/>
      <c r="BM314" s="663"/>
      <c r="BN314" s="663"/>
      <c r="BO314" s="663"/>
      <c r="BP314" s="663"/>
      <c r="BQ314" s="663"/>
      <c r="BR314" s="663"/>
      <c r="BS314" s="663"/>
      <c r="BT314" s="663"/>
      <c r="BU314" s="663"/>
      <c r="BV314" s="663"/>
      <c r="BW314" s="663"/>
      <c r="BX314" s="663"/>
      <c r="BY314" s="663"/>
      <c r="BZ314" s="663"/>
      <c r="CA314" s="663"/>
      <c r="CB314" s="663"/>
      <c r="CC314" s="663"/>
      <c r="CD314" s="663"/>
      <c r="CE314" s="663"/>
      <c r="CF314" s="663"/>
      <c r="CG314" s="663"/>
      <c r="CH314" s="663"/>
      <c r="CI314" s="663"/>
      <c r="CJ314" s="663"/>
      <c r="CK314" s="663"/>
      <c r="CL314" s="663"/>
      <c r="CM314" s="663"/>
      <c r="CN314" s="663"/>
      <c r="CO314" s="663"/>
      <c r="CP314" s="663"/>
      <c r="CQ314" s="663"/>
      <c r="CR314" s="663"/>
      <c r="CS314" s="663"/>
      <c r="CT314" s="663"/>
      <c r="CU314" s="663"/>
      <c r="CV314" s="663"/>
      <c r="CW314" s="663"/>
      <c r="CX314" s="663"/>
      <c r="CY314" s="663"/>
      <c r="CZ314" s="663"/>
      <c r="DA314" s="663"/>
      <c r="DB314" s="663"/>
      <c r="DC314" s="663"/>
      <c r="DD314" s="663"/>
      <c r="DE314" s="663"/>
      <c r="DF314" s="663"/>
      <c r="DG314" s="663"/>
      <c r="DH314" s="663"/>
      <c r="DI314" s="663"/>
      <c r="DJ314" s="663"/>
      <c r="DK314" s="663"/>
      <c r="DL314" s="663"/>
      <c r="DM314" s="663"/>
      <c r="DN314" s="663"/>
      <c r="DO314" s="663"/>
      <c r="DP314" s="663"/>
      <c r="DQ314" s="663"/>
      <c r="DR314" s="663"/>
      <c r="DS314" s="663"/>
      <c r="DT314" s="663"/>
      <c r="DU314" s="663"/>
      <c r="DV314" s="663"/>
      <c r="DW314" s="663"/>
      <c r="DX314" s="663"/>
      <c r="DY314" s="663"/>
      <c r="DZ314" s="663"/>
      <c r="EA314" s="663"/>
      <c r="EB314" s="663"/>
      <c r="EC314" s="663"/>
      <c r="ED314" s="663"/>
      <c r="EE314" s="663"/>
      <c r="EF314" s="663"/>
      <c r="EG314" s="663"/>
      <c r="EH314" s="663"/>
      <c r="EI314" s="663"/>
      <c r="EJ314" s="663"/>
      <c r="EK314" s="663"/>
      <c r="EL314" s="663"/>
      <c r="EM314" s="663"/>
      <c r="EN314" s="663"/>
      <c r="EO314" s="663"/>
      <c r="EP314" s="663"/>
      <c r="EQ314" s="663"/>
      <c r="ER314" s="663"/>
      <c r="ES314" s="663"/>
      <c r="ET314" s="663"/>
      <c r="EU314" s="663"/>
      <c r="EV314" s="663"/>
      <c r="EW314" s="663"/>
      <c r="EX314" s="663"/>
      <c r="EY314" s="663"/>
      <c r="EZ314" s="663"/>
      <c r="FA314" s="663"/>
      <c r="FB314" s="663"/>
      <c r="FC314" s="663"/>
      <c r="FD314" s="663"/>
      <c r="FE314" s="663"/>
      <c r="FF314" s="663"/>
      <c r="FG314" s="663"/>
      <c r="FH314" s="663"/>
      <c r="FI314" s="663"/>
      <c r="FJ314" s="663"/>
      <c r="FK314" s="663"/>
      <c r="FL314" s="663"/>
      <c r="FM314" s="663"/>
      <c r="FN314" s="663"/>
      <c r="FO314" s="663"/>
      <c r="FP314" s="663"/>
      <c r="FQ314" s="663"/>
      <c r="FR314" s="663"/>
      <c r="FS314" s="663"/>
      <c r="FT314" s="663"/>
      <c r="FU314" s="663"/>
      <c r="FV314" s="663"/>
      <c r="FW314" s="663"/>
      <c r="FX314" s="663"/>
      <c r="FY314" s="663"/>
      <c r="FZ314" s="663"/>
      <c r="GA314" s="663"/>
      <c r="GB314" s="663"/>
      <c r="GC314" s="663"/>
      <c r="GD314" s="663"/>
      <c r="GE314" s="663"/>
      <c r="GF314" s="663"/>
      <c r="GG314" s="663"/>
    </row>
    <row r="315" spans="1:189">
      <c r="A315" s="670"/>
      <c r="B315" s="670"/>
      <c r="C315" s="670"/>
      <c r="D315" s="670"/>
      <c r="E315" s="670"/>
      <c r="F315" s="670"/>
      <c r="G315" s="673"/>
      <c r="H315" s="627"/>
      <c r="I315" s="627"/>
      <c r="J315" s="672"/>
      <c r="K315" s="663"/>
      <c r="L315" s="663"/>
      <c r="M315" s="663"/>
      <c r="N315" s="663"/>
      <c r="O315" s="663"/>
      <c r="P315" s="663"/>
      <c r="Q315" s="663"/>
      <c r="R315" s="663"/>
      <c r="S315" s="663"/>
      <c r="T315" s="663"/>
      <c r="U315" s="663"/>
      <c r="V315" s="663"/>
      <c r="W315" s="663"/>
      <c r="X315" s="663"/>
      <c r="Y315" s="663"/>
      <c r="Z315" s="663"/>
      <c r="AA315" s="663"/>
      <c r="AB315" s="663"/>
      <c r="AC315" s="663"/>
      <c r="AD315" s="663"/>
      <c r="AE315" s="663"/>
      <c r="AF315" s="663"/>
      <c r="AG315" s="663"/>
      <c r="AH315" s="663"/>
      <c r="AI315" s="663"/>
      <c r="AJ315" s="663"/>
      <c r="AK315" s="663"/>
      <c r="AL315" s="663"/>
      <c r="AM315" s="663"/>
      <c r="AN315" s="663"/>
      <c r="AO315" s="663"/>
      <c r="AP315" s="663"/>
      <c r="AQ315" s="663"/>
      <c r="AR315" s="663"/>
      <c r="AS315" s="663"/>
      <c r="AT315" s="663"/>
      <c r="AU315" s="663"/>
      <c r="AV315" s="663"/>
      <c r="AW315" s="663"/>
      <c r="AX315" s="663"/>
      <c r="AY315" s="663"/>
      <c r="AZ315" s="663"/>
      <c r="BA315" s="663"/>
      <c r="BB315" s="663"/>
      <c r="BC315" s="663"/>
      <c r="BD315" s="663"/>
      <c r="BE315" s="663"/>
      <c r="BF315" s="663"/>
      <c r="BG315" s="663"/>
      <c r="BH315" s="663"/>
      <c r="BI315" s="663"/>
      <c r="BJ315" s="663"/>
      <c r="BK315" s="663"/>
      <c r="BL315" s="663"/>
      <c r="BM315" s="663"/>
      <c r="BN315" s="663"/>
      <c r="BO315" s="663"/>
      <c r="BP315" s="663"/>
      <c r="BQ315" s="663"/>
      <c r="BR315" s="663"/>
      <c r="BS315" s="663"/>
      <c r="BT315" s="663"/>
      <c r="BU315" s="663"/>
      <c r="BV315" s="663"/>
      <c r="BW315" s="663"/>
      <c r="BX315" s="663"/>
      <c r="BY315" s="663"/>
      <c r="BZ315" s="663"/>
      <c r="CA315" s="663"/>
      <c r="CB315" s="663"/>
      <c r="CC315" s="663"/>
      <c r="CD315" s="663"/>
      <c r="CE315" s="663"/>
      <c r="CF315" s="663"/>
      <c r="CG315" s="663"/>
      <c r="CH315" s="663"/>
      <c r="CI315" s="663"/>
      <c r="CJ315" s="663"/>
      <c r="CK315" s="663"/>
      <c r="CL315" s="663"/>
      <c r="CM315" s="663"/>
      <c r="CN315" s="663"/>
      <c r="CO315" s="663"/>
      <c r="CP315" s="663"/>
      <c r="CQ315" s="663"/>
      <c r="CR315" s="663"/>
      <c r="CS315" s="663"/>
      <c r="CT315" s="663"/>
      <c r="CU315" s="663"/>
      <c r="CV315" s="663"/>
      <c r="CW315" s="663"/>
      <c r="CX315" s="663"/>
      <c r="CY315" s="663"/>
      <c r="CZ315" s="663"/>
      <c r="DA315" s="663"/>
      <c r="DB315" s="663"/>
      <c r="DC315" s="663"/>
      <c r="DD315" s="663"/>
      <c r="DE315" s="663"/>
      <c r="DF315" s="663"/>
      <c r="DG315" s="663"/>
      <c r="DH315" s="663"/>
      <c r="DI315" s="663"/>
      <c r="DJ315" s="663"/>
      <c r="DK315" s="663"/>
      <c r="DL315" s="663"/>
      <c r="DM315" s="663"/>
      <c r="DN315" s="663"/>
      <c r="DO315" s="663"/>
      <c r="DP315" s="663"/>
      <c r="DQ315" s="663"/>
      <c r="DR315" s="663"/>
      <c r="DS315" s="663"/>
      <c r="DT315" s="663"/>
      <c r="DU315" s="663"/>
      <c r="DV315" s="663"/>
      <c r="DW315" s="663"/>
      <c r="DX315" s="663"/>
      <c r="DY315" s="663"/>
      <c r="DZ315" s="663"/>
      <c r="EA315" s="663"/>
      <c r="EB315" s="663"/>
      <c r="EC315" s="663"/>
      <c r="ED315" s="663"/>
      <c r="EE315" s="663"/>
      <c r="EF315" s="663"/>
      <c r="EG315" s="663"/>
      <c r="EH315" s="663"/>
      <c r="EI315" s="663"/>
      <c r="EJ315" s="663"/>
      <c r="EK315" s="663"/>
      <c r="EL315" s="663"/>
      <c r="EM315" s="663"/>
      <c r="EN315" s="663"/>
      <c r="EO315" s="663"/>
      <c r="EP315" s="663"/>
      <c r="EQ315" s="663"/>
      <c r="ER315" s="663"/>
      <c r="ES315" s="663"/>
      <c r="ET315" s="663"/>
      <c r="EU315" s="663"/>
      <c r="EV315" s="663"/>
      <c r="EW315" s="663"/>
      <c r="EX315" s="663"/>
      <c r="EY315" s="663"/>
      <c r="EZ315" s="663"/>
      <c r="FA315" s="663"/>
      <c r="FB315" s="663"/>
      <c r="FC315" s="663"/>
      <c r="FD315" s="663"/>
      <c r="FE315" s="663"/>
      <c r="FF315" s="663"/>
      <c r="FG315" s="663"/>
      <c r="FH315" s="663"/>
      <c r="FI315" s="663"/>
      <c r="FJ315" s="663"/>
      <c r="FK315" s="663"/>
      <c r="FL315" s="663"/>
      <c r="FM315" s="663"/>
      <c r="FN315" s="663"/>
      <c r="FO315" s="663"/>
      <c r="FP315" s="663"/>
      <c r="FQ315" s="663"/>
      <c r="FR315" s="663"/>
      <c r="FS315" s="663"/>
      <c r="FT315" s="663"/>
      <c r="FU315" s="663"/>
      <c r="FV315" s="663"/>
      <c r="FW315" s="663"/>
      <c r="FX315" s="663"/>
      <c r="FY315" s="663"/>
      <c r="FZ315" s="663"/>
      <c r="GA315" s="663"/>
      <c r="GB315" s="663"/>
      <c r="GC315" s="663"/>
      <c r="GD315" s="663"/>
      <c r="GE315" s="663"/>
      <c r="GF315" s="663"/>
      <c r="GG315" s="663"/>
    </row>
    <row r="316" spans="1:189">
      <c r="A316" s="670"/>
      <c r="B316" s="670"/>
      <c r="C316" s="670"/>
      <c r="D316" s="670"/>
      <c r="E316" s="670"/>
      <c r="F316" s="670"/>
      <c r="G316" s="673"/>
      <c r="H316" s="627"/>
      <c r="I316" s="627"/>
      <c r="J316" s="672"/>
      <c r="K316" s="663"/>
      <c r="L316" s="663"/>
      <c r="M316" s="663"/>
      <c r="N316" s="663"/>
      <c r="O316" s="663"/>
      <c r="P316" s="663"/>
      <c r="Q316" s="663"/>
      <c r="R316" s="663"/>
      <c r="S316" s="663"/>
      <c r="T316" s="663"/>
      <c r="U316" s="663"/>
      <c r="V316" s="663"/>
      <c r="W316" s="663"/>
      <c r="X316" s="663"/>
      <c r="Y316" s="663"/>
      <c r="Z316" s="663"/>
      <c r="AA316" s="663"/>
      <c r="AB316" s="663"/>
      <c r="AC316" s="663"/>
      <c r="AD316" s="663"/>
      <c r="AE316" s="663"/>
      <c r="AF316" s="663"/>
      <c r="AG316" s="663"/>
      <c r="AH316" s="663"/>
      <c r="AI316" s="663"/>
      <c r="AJ316" s="663"/>
      <c r="AK316" s="663"/>
      <c r="AL316" s="663"/>
      <c r="AM316" s="663"/>
      <c r="AN316" s="663"/>
      <c r="AO316" s="663"/>
      <c r="AP316" s="663"/>
      <c r="AQ316" s="663"/>
      <c r="AR316" s="663"/>
      <c r="AS316" s="663"/>
      <c r="AT316" s="663"/>
      <c r="AU316" s="663"/>
      <c r="AV316" s="663"/>
      <c r="AW316" s="663"/>
      <c r="AX316" s="663"/>
      <c r="AY316" s="663"/>
      <c r="AZ316" s="663"/>
      <c r="BA316" s="663"/>
      <c r="BB316" s="663"/>
      <c r="BC316" s="663"/>
      <c r="BD316" s="663"/>
      <c r="BE316" s="663"/>
      <c r="BF316" s="663"/>
      <c r="BG316" s="663"/>
      <c r="BH316" s="663"/>
      <c r="BI316" s="663"/>
      <c r="BJ316" s="663"/>
      <c r="BK316" s="663"/>
      <c r="BL316" s="663"/>
      <c r="BM316" s="663"/>
      <c r="BN316" s="663"/>
      <c r="BO316" s="663"/>
      <c r="BP316" s="663"/>
      <c r="BQ316" s="663"/>
      <c r="BR316" s="663"/>
      <c r="BS316" s="663"/>
      <c r="BT316" s="663"/>
      <c r="BU316" s="663"/>
      <c r="BV316" s="663"/>
      <c r="BW316" s="663"/>
      <c r="BX316" s="663"/>
      <c r="BY316" s="663"/>
      <c r="BZ316" s="663"/>
      <c r="CA316" s="663"/>
      <c r="CB316" s="663"/>
      <c r="CC316" s="663"/>
      <c r="CD316" s="663"/>
      <c r="CE316" s="663"/>
      <c r="CF316" s="663"/>
      <c r="CG316" s="663"/>
      <c r="CH316" s="663"/>
      <c r="CI316" s="663"/>
      <c r="CJ316" s="663"/>
      <c r="CK316" s="663"/>
      <c r="CL316" s="663"/>
      <c r="CM316" s="663"/>
      <c r="CN316" s="663"/>
      <c r="CO316" s="663"/>
      <c r="CP316" s="663"/>
      <c r="CQ316" s="663"/>
      <c r="CR316" s="663"/>
      <c r="CS316" s="663"/>
      <c r="CT316" s="663"/>
      <c r="CU316" s="663"/>
      <c r="CV316" s="663"/>
      <c r="CW316" s="663"/>
      <c r="CX316" s="663"/>
      <c r="CY316" s="663"/>
      <c r="CZ316" s="663"/>
      <c r="DA316" s="663"/>
      <c r="DB316" s="663"/>
      <c r="DC316" s="663"/>
      <c r="DD316" s="663"/>
      <c r="DE316" s="663"/>
      <c r="DF316" s="663"/>
      <c r="DG316" s="663"/>
      <c r="DH316" s="663"/>
      <c r="DI316" s="663"/>
      <c r="DJ316" s="663"/>
      <c r="DK316" s="663"/>
      <c r="DL316" s="663"/>
      <c r="DM316" s="663"/>
      <c r="DN316" s="663"/>
      <c r="DO316" s="663"/>
      <c r="DP316" s="663"/>
      <c r="DQ316" s="663"/>
      <c r="DR316" s="663"/>
      <c r="DS316" s="663"/>
      <c r="DT316" s="663"/>
      <c r="DU316" s="663"/>
      <c r="DV316" s="663"/>
      <c r="DW316" s="663"/>
      <c r="DX316" s="663"/>
      <c r="DY316" s="663"/>
      <c r="DZ316" s="663"/>
      <c r="EA316" s="663"/>
      <c r="EB316" s="663"/>
      <c r="EC316" s="663"/>
      <c r="ED316" s="663"/>
      <c r="EE316" s="663"/>
      <c r="EF316" s="663"/>
      <c r="EG316" s="663"/>
      <c r="EH316" s="663"/>
      <c r="EI316" s="663"/>
      <c r="EJ316" s="663"/>
      <c r="EK316" s="663"/>
      <c r="EL316" s="663"/>
      <c r="EM316" s="663"/>
      <c r="EN316" s="663"/>
      <c r="EO316" s="663"/>
      <c r="EP316" s="663"/>
      <c r="EQ316" s="663"/>
      <c r="ER316" s="663"/>
      <c r="ES316" s="663"/>
      <c r="ET316" s="663"/>
      <c r="EU316" s="663"/>
      <c r="EV316" s="663"/>
      <c r="EW316" s="663"/>
      <c r="EX316" s="663"/>
      <c r="EY316" s="663"/>
      <c r="EZ316" s="663"/>
      <c r="FA316" s="663"/>
      <c r="FB316" s="663"/>
      <c r="FC316" s="663"/>
      <c r="FD316" s="663"/>
      <c r="FE316" s="663"/>
      <c r="FF316" s="663"/>
      <c r="FG316" s="663"/>
      <c r="FH316" s="663"/>
      <c r="FI316" s="663"/>
      <c r="FJ316" s="663"/>
      <c r="FK316" s="663"/>
      <c r="FL316" s="663"/>
      <c r="FM316" s="663"/>
      <c r="FN316" s="663"/>
      <c r="FO316" s="663"/>
      <c r="FP316" s="663"/>
      <c r="FQ316" s="663"/>
      <c r="FR316" s="663"/>
      <c r="FS316" s="663"/>
      <c r="FT316" s="663"/>
      <c r="FU316" s="663"/>
      <c r="FV316" s="663"/>
      <c r="FW316" s="663"/>
      <c r="FX316" s="663"/>
      <c r="FY316" s="663"/>
      <c r="FZ316" s="663"/>
      <c r="GA316" s="663"/>
      <c r="GB316" s="663"/>
      <c r="GC316" s="663"/>
      <c r="GD316" s="663"/>
      <c r="GE316" s="663"/>
      <c r="GF316" s="663"/>
      <c r="GG316" s="663"/>
    </row>
    <row r="317" spans="1:189">
      <c r="A317" s="670"/>
      <c r="B317" s="670"/>
      <c r="C317" s="670"/>
      <c r="D317" s="670"/>
      <c r="E317" s="670"/>
      <c r="F317" s="670"/>
      <c r="G317" s="673"/>
      <c r="H317" s="627"/>
      <c r="I317" s="627"/>
      <c r="J317" s="672"/>
      <c r="K317" s="663"/>
      <c r="L317" s="663"/>
      <c r="M317" s="663"/>
      <c r="N317" s="663"/>
      <c r="O317" s="663"/>
      <c r="P317" s="663"/>
      <c r="Q317" s="663"/>
      <c r="R317" s="663"/>
      <c r="S317" s="663"/>
      <c r="T317" s="663"/>
      <c r="U317" s="663"/>
      <c r="V317" s="663"/>
      <c r="W317" s="663"/>
      <c r="X317" s="663"/>
      <c r="Y317" s="663"/>
      <c r="Z317" s="663"/>
      <c r="AA317" s="663"/>
      <c r="AB317" s="663"/>
      <c r="AC317" s="663"/>
      <c r="AD317" s="663"/>
      <c r="AE317" s="663"/>
      <c r="AF317" s="663"/>
      <c r="AG317" s="663"/>
      <c r="AH317" s="663"/>
      <c r="AI317" s="663"/>
      <c r="AJ317" s="663"/>
      <c r="AK317" s="663"/>
      <c r="AL317" s="663"/>
      <c r="AM317" s="663"/>
      <c r="AN317" s="663"/>
      <c r="AO317" s="663"/>
      <c r="AP317" s="663"/>
      <c r="AQ317" s="663"/>
      <c r="AR317" s="663"/>
      <c r="AS317" s="663"/>
      <c r="AT317" s="663"/>
      <c r="AU317" s="663"/>
      <c r="AV317" s="663"/>
      <c r="AW317" s="663"/>
      <c r="AX317" s="663"/>
      <c r="AY317" s="663"/>
      <c r="AZ317" s="663"/>
      <c r="BA317" s="663"/>
      <c r="BB317" s="663"/>
      <c r="BC317" s="663"/>
      <c r="BD317" s="663"/>
      <c r="BE317" s="663"/>
      <c r="BF317" s="663"/>
      <c r="BG317" s="663"/>
      <c r="BH317" s="663"/>
      <c r="BI317" s="663"/>
      <c r="BJ317" s="663"/>
      <c r="BK317" s="663"/>
      <c r="BL317" s="663"/>
      <c r="BM317" s="663"/>
      <c r="BN317" s="663"/>
      <c r="BO317" s="663"/>
      <c r="BP317" s="663"/>
      <c r="BQ317" s="663"/>
      <c r="BR317" s="663"/>
      <c r="BS317" s="663"/>
      <c r="BT317" s="663"/>
      <c r="BU317" s="663"/>
      <c r="BV317" s="663"/>
      <c r="BW317" s="663"/>
      <c r="BX317" s="663"/>
      <c r="BY317" s="663"/>
      <c r="BZ317" s="663"/>
      <c r="CA317" s="663"/>
      <c r="CB317" s="663"/>
      <c r="CC317" s="663"/>
      <c r="CD317" s="663"/>
      <c r="CE317" s="663"/>
      <c r="CF317" s="663"/>
      <c r="CG317" s="663"/>
      <c r="CH317" s="663"/>
      <c r="CI317" s="663"/>
      <c r="CJ317" s="663"/>
      <c r="CK317" s="663"/>
      <c r="CL317" s="663"/>
      <c r="CM317" s="663"/>
      <c r="CN317" s="663"/>
      <c r="CO317" s="663"/>
      <c r="CP317" s="663"/>
      <c r="CQ317" s="663"/>
      <c r="CR317" s="663"/>
      <c r="CS317" s="663"/>
      <c r="CT317" s="663"/>
      <c r="CU317" s="663"/>
      <c r="CV317" s="663"/>
      <c r="CW317" s="663"/>
      <c r="CX317" s="663"/>
      <c r="CY317" s="663"/>
      <c r="CZ317" s="663"/>
      <c r="DA317" s="663"/>
      <c r="DB317" s="663"/>
      <c r="DC317" s="663"/>
      <c r="DD317" s="663"/>
      <c r="DE317" s="663"/>
      <c r="DF317" s="663"/>
      <c r="DG317" s="663"/>
      <c r="DH317" s="663"/>
      <c r="DI317" s="663"/>
      <c r="DJ317" s="663"/>
      <c r="DK317" s="663"/>
      <c r="DL317" s="663"/>
      <c r="DM317" s="663"/>
      <c r="DN317" s="663"/>
      <c r="DO317" s="663"/>
      <c r="DP317" s="663"/>
      <c r="DQ317" s="663"/>
      <c r="DR317" s="663"/>
      <c r="DS317" s="663"/>
      <c r="DT317" s="663"/>
      <c r="DU317" s="663"/>
      <c r="DV317" s="663"/>
      <c r="DW317" s="663"/>
      <c r="DX317" s="663"/>
      <c r="DY317" s="663"/>
      <c r="DZ317" s="663"/>
      <c r="EA317" s="663"/>
      <c r="EB317" s="663"/>
      <c r="EC317" s="663"/>
      <c r="ED317" s="663"/>
      <c r="EE317" s="663"/>
      <c r="EF317" s="663"/>
      <c r="EG317" s="663"/>
      <c r="EH317" s="663"/>
      <c r="EI317" s="663"/>
      <c r="EJ317" s="663"/>
      <c r="EK317" s="663"/>
      <c r="EL317" s="663"/>
      <c r="EM317" s="663"/>
      <c r="EN317" s="663"/>
      <c r="EO317" s="663"/>
      <c r="EP317" s="663"/>
      <c r="EQ317" s="663"/>
      <c r="ER317" s="663"/>
      <c r="ES317" s="663"/>
      <c r="ET317" s="663"/>
      <c r="EU317" s="663"/>
      <c r="EV317" s="663"/>
      <c r="EW317" s="663"/>
      <c r="EX317" s="663"/>
      <c r="EY317" s="663"/>
      <c r="EZ317" s="663"/>
      <c r="FA317" s="663"/>
      <c r="FB317" s="663"/>
      <c r="FC317" s="663"/>
      <c r="FD317" s="663"/>
      <c r="FE317" s="663"/>
      <c r="FF317" s="663"/>
      <c r="FG317" s="663"/>
      <c r="FH317" s="663"/>
      <c r="FI317" s="663"/>
      <c r="FJ317" s="663"/>
      <c r="FK317" s="663"/>
      <c r="FL317" s="663"/>
      <c r="FM317" s="663"/>
      <c r="FN317" s="663"/>
      <c r="FO317" s="663"/>
      <c r="FP317" s="663"/>
      <c r="FQ317" s="663"/>
      <c r="FR317" s="663"/>
      <c r="FS317" s="663"/>
      <c r="FT317" s="663"/>
      <c r="FU317" s="663"/>
      <c r="FV317" s="663"/>
      <c r="FW317" s="663"/>
      <c r="FX317" s="663"/>
      <c r="FY317" s="663"/>
      <c r="FZ317" s="663"/>
      <c r="GA317" s="663"/>
      <c r="GB317" s="663"/>
      <c r="GC317" s="663"/>
      <c r="GD317" s="663"/>
      <c r="GE317" s="663"/>
      <c r="GF317" s="663"/>
      <c r="GG317" s="663"/>
    </row>
    <row r="318" spans="1:189">
      <c r="A318" s="670"/>
      <c r="B318" s="670"/>
      <c r="C318" s="670"/>
      <c r="D318" s="670"/>
      <c r="E318" s="670"/>
      <c r="F318" s="670"/>
      <c r="G318" s="673"/>
      <c r="H318" s="627"/>
      <c r="I318" s="627"/>
      <c r="J318" s="672"/>
      <c r="K318" s="663"/>
      <c r="L318" s="663"/>
      <c r="M318" s="663"/>
      <c r="N318" s="663"/>
      <c r="O318" s="663"/>
      <c r="P318" s="663"/>
      <c r="Q318" s="663"/>
      <c r="R318" s="663"/>
      <c r="S318" s="663"/>
      <c r="T318" s="663"/>
      <c r="U318" s="663"/>
      <c r="V318" s="663"/>
      <c r="W318" s="663"/>
      <c r="X318" s="663"/>
      <c r="Y318" s="663"/>
      <c r="Z318" s="663"/>
      <c r="AA318" s="663"/>
      <c r="AB318" s="663"/>
      <c r="AC318" s="663"/>
      <c r="AD318" s="663"/>
      <c r="AE318" s="663"/>
      <c r="AF318" s="663"/>
      <c r="AG318" s="663"/>
      <c r="AH318" s="663"/>
      <c r="AI318" s="663"/>
      <c r="AJ318" s="663"/>
      <c r="AK318" s="663"/>
      <c r="AL318" s="663"/>
      <c r="AM318" s="663"/>
      <c r="AN318" s="663"/>
      <c r="AO318" s="663"/>
      <c r="AP318" s="663"/>
      <c r="AQ318" s="663"/>
      <c r="AR318" s="663"/>
      <c r="AS318" s="663"/>
      <c r="AT318" s="663"/>
      <c r="AU318" s="663"/>
      <c r="AV318" s="663"/>
      <c r="AW318" s="663"/>
      <c r="AX318" s="663"/>
      <c r="AY318" s="663"/>
      <c r="AZ318" s="663"/>
      <c r="BA318" s="663"/>
      <c r="BB318" s="663"/>
      <c r="BC318" s="663"/>
      <c r="BD318" s="663"/>
      <c r="BE318" s="663"/>
      <c r="BF318" s="663"/>
      <c r="BG318" s="663"/>
      <c r="BH318" s="663"/>
      <c r="BI318" s="663"/>
      <c r="BJ318" s="663"/>
      <c r="BK318" s="663"/>
      <c r="BL318" s="663"/>
      <c r="BM318" s="663"/>
      <c r="BN318" s="663"/>
      <c r="BO318" s="663"/>
      <c r="BP318" s="663"/>
      <c r="BQ318" s="663"/>
      <c r="BR318" s="663"/>
      <c r="BS318" s="663"/>
      <c r="BT318" s="663"/>
      <c r="BU318" s="663"/>
      <c r="BV318" s="663"/>
      <c r="BW318" s="663"/>
      <c r="BX318" s="663"/>
      <c r="BY318" s="663"/>
      <c r="BZ318" s="663"/>
      <c r="CA318" s="663"/>
      <c r="CB318" s="663"/>
      <c r="CC318" s="663"/>
      <c r="CD318" s="663"/>
      <c r="CE318" s="663"/>
      <c r="CF318" s="663"/>
      <c r="CG318" s="663"/>
      <c r="CH318" s="663"/>
      <c r="CI318" s="663"/>
      <c r="CJ318" s="663"/>
      <c r="CK318" s="663"/>
      <c r="CL318" s="663"/>
      <c r="CM318" s="663"/>
      <c r="CN318" s="663"/>
      <c r="CO318" s="663"/>
      <c r="CP318" s="663"/>
      <c r="CQ318" s="663"/>
      <c r="CR318" s="663"/>
      <c r="CS318" s="663"/>
      <c r="CT318" s="663"/>
      <c r="CU318" s="663"/>
      <c r="CV318" s="663"/>
      <c r="CW318" s="663"/>
      <c r="CX318" s="663"/>
      <c r="CY318" s="663"/>
      <c r="CZ318" s="663"/>
      <c r="DA318" s="663"/>
      <c r="DB318" s="663"/>
      <c r="DC318" s="663"/>
      <c r="DD318" s="663"/>
      <c r="DE318" s="663"/>
      <c r="DF318" s="663"/>
      <c r="DG318" s="663"/>
      <c r="DH318" s="663"/>
      <c r="DI318" s="663"/>
      <c r="DJ318" s="663"/>
      <c r="DK318" s="663"/>
      <c r="DL318" s="663"/>
      <c r="DM318" s="663"/>
      <c r="DN318" s="663"/>
      <c r="DO318" s="663"/>
      <c r="DP318" s="663"/>
      <c r="DQ318" s="663"/>
      <c r="DR318" s="663"/>
      <c r="DS318" s="663"/>
      <c r="DT318" s="663"/>
      <c r="DU318" s="663"/>
      <c r="DV318" s="663"/>
      <c r="DW318" s="663"/>
      <c r="DX318" s="663"/>
      <c r="DY318" s="663"/>
      <c r="DZ318" s="663"/>
      <c r="EA318" s="663"/>
      <c r="EB318" s="663"/>
      <c r="EC318" s="663"/>
      <c r="ED318" s="663"/>
      <c r="EE318" s="663"/>
      <c r="EF318" s="663"/>
      <c r="EG318" s="663"/>
      <c r="EH318" s="663"/>
      <c r="EI318" s="663"/>
      <c r="EJ318" s="663"/>
      <c r="EK318" s="663"/>
      <c r="EL318" s="663"/>
      <c r="EM318" s="663"/>
      <c r="EN318" s="663"/>
      <c r="EO318" s="663"/>
      <c r="EP318" s="663"/>
      <c r="EQ318" s="663"/>
      <c r="ER318" s="663"/>
      <c r="ES318" s="663"/>
      <c r="ET318" s="663"/>
      <c r="EU318" s="663"/>
      <c r="EV318" s="663"/>
      <c r="EW318" s="663"/>
      <c r="EX318" s="663"/>
      <c r="EY318" s="663"/>
      <c r="EZ318" s="663"/>
      <c r="FA318" s="663"/>
      <c r="FB318" s="663"/>
      <c r="FC318" s="663"/>
      <c r="FD318" s="663"/>
      <c r="FE318" s="663"/>
      <c r="FF318" s="663"/>
      <c r="FG318" s="663"/>
      <c r="FH318" s="663"/>
      <c r="FI318" s="663"/>
      <c r="FJ318" s="663"/>
      <c r="FK318" s="663"/>
      <c r="FL318" s="663"/>
      <c r="FM318" s="663"/>
      <c r="FN318" s="663"/>
      <c r="FO318" s="663"/>
      <c r="FP318" s="663"/>
      <c r="FQ318" s="663"/>
      <c r="FR318" s="663"/>
      <c r="FS318" s="663"/>
      <c r="FT318" s="663"/>
      <c r="FU318" s="663"/>
      <c r="FV318" s="663"/>
      <c r="FW318" s="663"/>
      <c r="FX318" s="663"/>
      <c r="FY318" s="663"/>
      <c r="FZ318" s="663"/>
      <c r="GA318" s="663"/>
      <c r="GB318" s="663"/>
      <c r="GC318" s="663"/>
      <c r="GD318" s="663"/>
      <c r="GE318" s="663"/>
      <c r="GF318" s="663"/>
      <c r="GG318" s="663"/>
    </row>
    <row r="319" spans="1:189">
      <c r="A319" s="670"/>
      <c r="B319" s="670"/>
      <c r="C319" s="670"/>
      <c r="D319" s="670"/>
      <c r="E319" s="670"/>
      <c r="F319" s="670"/>
      <c r="G319" s="673"/>
      <c r="H319" s="627"/>
      <c r="I319" s="627"/>
      <c r="J319" s="672"/>
      <c r="K319" s="663"/>
      <c r="L319" s="663"/>
      <c r="M319" s="663"/>
      <c r="N319" s="663"/>
      <c r="O319" s="663"/>
      <c r="P319" s="663"/>
      <c r="Q319" s="663"/>
      <c r="R319" s="663"/>
      <c r="S319" s="663"/>
      <c r="T319" s="663"/>
      <c r="U319" s="663"/>
      <c r="V319" s="663"/>
      <c r="W319" s="663"/>
      <c r="X319" s="663"/>
      <c r="Y319" s="663"/>
      <c r="Z319" s="663"/>
      <c r="AA319" s="663"/>
      <c r="AB319" s="663"/>
      <c r="AC319" s="663"/>
      <c r="AD319" s="663"/>
      <c r="AE319" s="663"/>
      <c r="AF319" s="663"/>
      <c r="AG319" s="663"/>
      <c r="AH319" s="663"/>
      <c r="AI319" s="663"/>
      <c r="AJ319" s="663"/>
      <c r="AK319" s="663"/>
      <c r="AL319" s="663"/>
      <c r="AM319" s="663"/>
      <c r="AN319" s="663"/>
      <c r="AO319" s="663"/>
      <c r="AP319" s="663"/>
      <c r="AQ319" s="663"/>
      <c r="AR319" s="663"/>
      <c r="AS319" s="663"/>
      <c r="AT319" s="663"/>
      <c r="AU319" s="663"/>
      <c r="AV319" s="663"/>
      <c r="AW319" s="663"/>
      <c r="AX319" s="663"/>
      <c r="AY319" s="663"/>
      <c r="AZ319" s="663"/>
      <c r="BA319" s="663"/>
      <c r="BB319" s="663"/>
      <c r="BC319" s="663"/>
      <c r="BD319" s="663"/>
      <c r="BE319" s="663"/>
      <c r="BF319" s="663"/>
      <c r="BG319" s="663"/>
      <c r="BH319" s="663"/>
      <c r="BI319" s="663"/>
      <c r="BJ319" s="663"/>
      <c r="BK319" s="663"/>
      <c r="BL319" s="663"/>
      <c r="BM319" s="663"/>
      <c r="BN319" s="663"/>
      <c r="BO319" s="663"/>
      <c r="BP319" s="663"/>
      <c r="BQ319" s="663"/>
      <c r="BR319" s="663"/>
      <c r="BS319" s="663"/>
      <c r="BT319" s="663"/>
      <c r="BU319" s="663"/>
      <c r="BV319" s="663"/>
      <c r="BW319" s="663"/>
      <c r="BX319" s="663"/>
      <c r="BY319" s="663"/>
      <c r="BZ319" s="663"/>
      <c r="CA319" s="663"/>
      <c r="CB319" s="663"/>
      <c r="CC319" s="663"/>
      <c r="CD319" s="663"/>
      <c r="CE319" s="663"/>
      <c r="CF319" s="663"/>
      <c r="CG319" s="663"/>
      <c r="CH319" s="663"/>
      <c r="CI319" s="663"/>
      <c r="CJ319" s="663"/>
      <c r="CK319" s="663"/>
      <c r="CL319" s="663"/>
      <c r="CM319" s="663"/>
      <c r="CN319" s="663"/>
      <c r="CO319" s="663"/>
      <c r="CP319" s="663"/>
      <c r="CQ319" s="663"/>
      <c r="CR319" s="663"/>
      <c r="CS319" s="663"/>
      <c r="CT319" s="663"/>
      <c r="CU319" s="663"/>
      <c r="CV319" s="663"/>
      <c r="CW319" s="663"/>
      <c r="CX319" s="663"/>
      <c r="CY319" s="663"/>
      <c r="CZ319" s="663"/>
      <c r="DA319" s="663"/>
      <c r="DB319" s="663"/>
      <c r="DC319" s="663"/>
      <c r="DD319" s="663"/>
      <c r="DE319" s="663"/>
      <c r="DF319" s="663"/>
      <c r="DG319" s="663"/>
      <c r="DH319" s="663"/>
      <c r="DI319" s="663"/>
      <c r="DJ319" s="663"/>
      <c r="DK319" s="663"/>
      <c r="DL319" s="663"/>
      <c r="DM319" s="663"/>
      <c r="DN319" s="663"/>
      <c r="DO319" s="663"/>
      <c r="DP319" s="663"/>
      <c r="DQ319" s="663"/>
      <c r="DR319" s="663"/>
      <c r="DS319" s="663"/>
      <c r="DT319" s="663"/>
      <c r="DU319" s="663"/>
      <c r="DV319" s="663"/>
      <c r="DW319" s="663"/>
      <c r="DX319" s="663"/>
      <c r="DY319" s="663"/>
      <c r="DZ319" s="663"/>
      <c r="EA319" s="663"/>
      <c r="EB319" s="663"/>
      <c r="EC319" s="663"/>
      <c r="ED319" s="663"/>
      <c r="EE319" s="663"/>
      <c r="EF319" s="663"/>
      <c r="EG319" s="663"/>
      <c r="EH319" s="663"/>
      <c r="EI319" s="663"/>
      <c r="EJ319" s="663"/>
      <c r="EK319" s="663"/>
      <c r="EL319" s="663"/>
      <c r="EM319" s="663"/>
      <c r="EN319" s="663"/>
      <c r="EO319" s="663"/>
      <c r="EP319" s="663"/>
      <c r="EQ319" s="663"/>
      <c r="ER319" s="663"/>
      <c r="ES319" s="663"/>
      <c r="ET319" s="663"/>
      <c r="EU319" s="663"/>
      <c r="EV319" s="663"/>
      <c r="EW319" s="663"/>
      <c r="EX319" s="663"/>
      <c r="EY319" s="663"/>
      <c r="EZ319" s="663"/>
      <c r="FA319" s="663"/>
      <c r="FB319" s="663"/>
      <c r="FC319" s="663"/>
      <c r="FD319" s="663"/>
      <c r="FE319" s="663"/>
      <c r="FF319" s="663"/>
      <c r="FG319" s="663"/>
      <c r="FH319" s="663"/>
      <c r="FI319" s="663"/>
      <c r="FJ319" s="663"/>
      <c r="FK319" s="663"/>
      <c r="FL319" s="663"/>
      <c r="FM319" s="663"/>
      <c r="FN319" s="663"/>
      <c r="FO319" s="663"/>
      <c r="FP319" s="663"/>
      <c r="FQ319" s="663"/>
      <c r="FR319" s="663"/>
      <c r="FS319" s="663"/>
      <c r="FT319" s="663"/>
      <c r="FU319" s="663"/>
      <c r="FV319" s="663"/>
      <c r="FW319" s="663"/>
      <c r="FX319" s="663"/>
      <c r="FY319" s="663"/>
      <c r="FZ319" s="663"/>
      <c r="GA319" s="663"/>
      <c r="GB319" s="663"/>
      <c r="GC319" s="663"/>
      <c r="GD319" s="663"/>
      <c r="GE319" s="663"/>
      <c r="GF319" s="663"/>
      <c r="GG319" s="663"/>
    </row>
    <row r="320" spans="1:189">
      <c r="A320" s="670"/>
      <c r="B320" s="670"/>
      <c r="C320" s="670"/>
      <c r="D320" s="670"/>
      <c r="E320" s="670"/>
      <c r="F320" s="670"/>
      <c r="G320" s="673"/>
      <c r="H320" s="627"/>
      <c r="I320" s="627"/>
      <c r="J320" s="672"/>
      <c r="K320" s="663"/>
      <c r="L320" s="663"/>
      <c r="M320" s="663"/>
      <c r="N320" s="663"/>
      <c r="O320" s="663"/>
      <c r="P320" s="663"/>
      <c r="Q320" s="663"/>
      <c r="R320" s="663"/>
      <c r="S320" s="663"/>
      <c r="T320" s="663"/>
      <c r="U320" s="663"/>
      <c r="V320" s="663"/>
      <c r="W320" s="663"/>
      <c r="X320" s="663"/>
      <c r="Y320" s="663"/>
      <c r="Z320" s="663"/>
      <c r="AA320" s="663"/>
      <c r="AB320" s="663"/>
      <c r="AC320" s="663"/>
      <c r="AD320" s="663"/>
      <c r="AE320" s="663"/>
      <c r="AF320" s="663"/>
      <c r="AG320" s="663"/>
      <c r="AH320" s="663"/>
      <c r="AI320" s="663"/>
      <c r="AJ320" s="663"/>
      <c r="AK320" s="663"/>
      <c r="AL320" s="663"/>
      <c r="AM320" s="663"/>
      <c r="AN320" s="663"/>
      <c r="AO320" s="663"/>
      <c r="AP320" s="663"/>
      <c r="AQ320" s="663"/>
      <c r="AR320" s="663"/>
      <c r="AS320" s="663"/>
      <c r="AT320" s="663"/>
      <c r="AU320" s="663"/>
      <c r="AV320" s="663"/>
      <c r="AW320" s="663"/>
      <c r="AX320" s="663"/>
      <c r="AY320" s="663"/>
      <c r="AZ320" s="663"/>
      <c r="BA320" s="663"/>
      <c r="BB320" s="663"/>
      <c r="BC320" s="663"/>
      <c r="BD320" s="663"/>
      <c r="BE320" s="663"/>
      <c r="BF320" s="663"/>
      <c r="BG320" s="663"/>
      <c r="BH320" s="663"/>
      <c r="BI320" s="663"/>
      <c r="BJ320" s="663"/>
      <c r="BK320" s="663"/>
      <c r="BL320" s="663"/>
      <c r="BM320" s="663"/>
      <c r="BN320" s="663"/>
      <c r="BO320" s="663"/>
      <c r="BP320" s="663"/>
      <c r="BQ320" s="663"/>
      <c r="BR320" s="663"/>
      <c r="BS320" s="663"/>
      <c r="BT320" s="663"/>
      <c r="BU320" s="663"/>
      <c r="BV320" s="663"/>
      <c r="BW320" s="663"/>
      <c r="BX320" s="663"/>
      <c r="BY320" s="663"/>
      <c r="BZ320" s="663"/>
      <c r="CA320" s="663"/>
      <c r="CB320" s="663"/>
      <c r="CC320" s="663"/>
      <c r="CD320" s="663"/>
      <c r="CE320" s="663"/>
      <c r="CF320" s="663"/>
      <c r="CG320" s="663"/>
      <c r="CH320" s="663"/>
      <c r="CI320" s="663"/>
      <c r="CJ320" s="663"/>
      <c r="CK320" s="663"/>
      <c r="CL320" s="663"/>
      <c r="CM320" s="663"/>
      <c r="CN320" s="663"/>
      <c r="CO320" s="663"/>
      <c r="CP320" s="663"/>
      <c r="CQ320" s="663"/>
      <c r="CR320" s="663"/>
      <c r="CS320" s="663"/>
      <c r="CT320" s="663"/>
      <c r="CU320" s="663"/>
      <c r="CV320" s="663"/>
      <c r="CW320" s="663"/>
      <c r="CX320" s="663"/>
      <c r="CY320" s="663"/>
      <c r="CZ320" s="663"/>
      <c r="DA320" s="663"/>
      <c r="DB320" s="663"/>
      <c r="DC320" s="663"/>
      <c r="DD320" s="663"/>
      <c r="DE320" s="663"/>
      <c r="DF320" s="663"/>
      <c r="DG320" s="663"/>
      <c r="DH320" s="663"/>
      <c r="DI320" s="663"/>
      <c r="DJ320" s="663"/>
      <c r="DK320" s="663"/>
      <c r="DL320" s="663"/>
      <c r="DM320" s="663"/>
      <c r="DN320" s="663"/>
      <c r="DO320" s="663"/>
      <c r="DP320" s="663"/>
      <c r="DQ320" s="663"/>
      <c r="DR320" s="663"/>
      <c r="DS320" s="663"/>
      <c r="DT320" s="663"/>
      <c r="DU320" s="663"/>
      <c r="DV320" s="663"/>
      <c r="DW320" s="663"/>
      <c r="DX320" s="663"/>
      <c r="DY320" s="663"/>
      <c r="DZ320" s="663"/>
      <c r="EA320" s="663"/>
      <c r="EB320" s="663"/>
      <c r="EC320" s="663"/>
      <c r="ED320" s="663"/>
      <c r="EE320" s="663"/>
      <c r="EF320" s="663"/>
      <c r="EG320" s="663"/>
      <c r="EH320" s="663"/>
      <c r="EI320" s="663"/>
      <c r="EJ320" s="663"/>
      <c r="EK320" s="663"/>
      <c r="EL320" s="663"/>
      <c r="EM320" s="663"/>
      <c r="EN320" s="663"/>
      <c r="EO320" s="663"/>
      <c r="EP320" s="663"/>
      <c r="EQ320" s="663"/>
      <c r="ER320" s="663"/>
      <c r="ES320" s="663"/>
      <c r="ET320" s="663"/>
      <c r="EU320" s="663"/>
      <c r="EV320" s="663"/>
      <c r="EW320" s="663"/>
      <c r="EX320" s="663"/>
      <c r="EY320" s="663"/>
      <c r="EZ320" s="663"/>
      <c r="FA320" s="663"/>
      <c r="FB320" s="663"/>
      <c r="FC320" s="663"/>
      <c r="FD320" s="663"/>
      <c r="FE320" s="663"/>
      <c r="FF320" s="663"/>
      <c r="FG320" s="663"/>
      <c r="FH320" s="663"/>
      <c r="FI320" s="663"/>
      <c r="FJ320" s="663"/>
      <c r="FK320" s="663"/>
      <c r="FL320" s="663"/>
      <c r="FM320" s="663"/>
      <c r="FN320" s="663"/>
      <c r="FO320" s="663"/>
      <c r="FP320" s="663"/>
      <c r="FQ320" s="663"/>
      <c r="FR320" s="663"/>
      <c r="FS320" s="663"/>
      <c r="FT320" s="663"/>
      <c r="FU320" s="663"/>
      <c r="FV320" s="663"/>
      <c r="FW320" s="663"/>
      <c r="FX320" s="663"/>
      <c r="FY320" s="663"/>
      <c r="FZ320" s="663"/>
      <c r="GA320" s="663"/>
      <c r="GB320" s="663"/>
      <c r="GC320" s="663"/>
      <c r="GD320" s="663"/>
      <c r="GE320" s="663"/>
      <c r="GF320" s="663"/>
      <c r="GG320" s="663"/>
    </row>
    <row r="321" spans="1:189">
      <c r="A321" s="670"/>
      <c r="B321" s="670"/>
      <c r="C321" s="670"/>
      <c r="D321" s="670"/>
      <c r="E321" s="670"/>
      <c r="F321" s="670"/>
      <c r="G321" s="673"/>
      <c r="H321" s="627"/>
      <c r="I321" s="627"/>
      <c r="J321" s="672"/>
      <c r="K321" s="663"/>
      <c r="L321" s="663"/>
      <c r="M321" s="663"/>
      <c r="N321" s="663"/>
      <c r="O321" s="663"/>
      <c r="P321" s="663"/>
      <c r="Q321" s="663"/>
      <c r="R321" s="663"/>
      <c r="S321" s="663"/>
      <c r="T321" s="663"/>
      <c r="U321" s="663"/>
      <c r="V321" s="663"/>
      <c r="W321" s="663"/>
      <c r="X321" s="663"/>
      <c r="Y321" s="663"/>
      <c r="Z321" s="663"/>
      <c r="AA321" s="663"/>
      <c r="AB321" s="663"/>
      <c r="AC321" s="663"/>
      <c r="AD321" s="663"/>
      <c r="AE321" s="663"/>
      <c r="AF321" s="663"/>
      <c r="AG321" s="663"/>
      <c r="AH321" s="663"/>
      <c r="AI321" s="663"/>
      <c r="AJ321" s="663"/>
      <c r="AK321" s="663"/>
      <c r="AL321" s="663"/>
      <c r="AM321" s="663"/>
      <c r="AN321" s="663"/>
      <c r="AO321" s="663"/>
      <c r="AP321" s="663"/>
      <c r="AQ321" s="663"/>
      <c r="AR321" s="663"/>
      <c r="AS321" s="663"/>
      <c r="AT321" s="663"/>
      <c r="AU321" s="663"/>
      <c r="AV321" s="663"/>
      <c r="AW321" s="663"/>
      <c r="AX321" s="663"/>
      <c r="AY321" s="663"/>
      <c r="AZ321" s="663"/>
      <c r="BA321" s="663"/>
      <c r="BB321" s="663"/>
      <c r="BC321" s="663"/>
      <c r="BD321" s="663"/>
      <c r="BE321" s="663"/>
      <c r="BF321" s="663"/>
      <c r="BG321" s="663"/>
      <c r="BH321" s="663"/>
      <c r="BI321" s="663"/>
      <c r="BJ321" s="663"/>
      <c r="BK321" s="663"/>
      <c r="BL321" s="663"/>
      <c r="BM321" s="663"/>
      <c r="BN321" s="663"/>
      <c r="BO321" s="663"/>
      <c r="BP321" s="663"/>
      <c r="BQ321" s="663"/>
      <c r="BR321" s="663"/>
      <c r="BS321" s="663"/>
      <c r="BT321" s="663"/>
      <c r="BU321" s="663"/>
      <c r="BV321" s="663"/>
      <c r="BW321" s="663"/>
      <c r="BX321" s="663"/>
      <c r="BY321" s="663"/>
      <c r="BZ321" s="663"/>
      <c r="CA321" s="663"/>
      <c r="CB321" s="663"/>
      <c r="CC321" s="663"/>
      <c r="CD321" s="663"/>
      <c r="CE321" s="663"/>
      <c r="CF321" s="663"/>
      <c r="CG321" s="663"/>
      <c r="CH321" s="663"/>
      <c r="CI321" s="663"/>
      <c r="CJ321" s="663"/>
      <c r="CK321" s="663"/>
      <c r="CL321" s="663"/>
      <c r="CM321" s="663"/>
      <c r="CN321" s="663"/>
      <c r="CO321" s="663"/>
      <c r="CP321" s="663"/>
      <c r="CQ321" s="663"/>
      <c r="CR321" s="663"/>
      <c r="CS321" s="663"/>
      <c r="CT321" s="663"/>
      <c r="CU321" s="663"/>
      <c r="CV321" s="663"/>
      <c r="CW321" s="663"/>
      <c r="CX321" s="663"/>
      <c r="CY321" s="663"/>
      <c r="CZ321" s="663"/>
      <c r="DA321" s="663"/>
      <c r="DB321" s="663"/>
      <c r="DC321" s="663"/>
      <c r="DD321" s="663"/>
      <c r="DE321" s="663"/>
      <c r="DF321" s="663"/>
      <c r="DG321" s="663"/>
      <c r="DH321" s="663"/>
      <c r="DI321" s="663"/>
      <c r="DJ321" s="663"/>
      <c r="DK321" s="663"/>
      <c r="DL321" s="663"/>
      <c r="DM321" s="663"/>
      <c r="DN321" s="663"/>
      <c r="DO321" s="663"/>
      <c r="DP321" s="663"/>
      <c r="DQ321" s="663"/>
      <c r="DR321" s="663"/>
      <c r="DS321" s="663"/>
      <c r="DT321" s="663"/>
      <c r="DU321" s="663"/>
      <c r="DV321" s="663"/>
      <c r="DW321" s="663"/>
      <c r="DX321" s="663"/>
      <c r="DY321" s="663"/>
      <c r="DZ321" s="663"/>
      <c r="EA321" s="663"/>
      <c r="EB321" s="663"/>
      <c r="EC321" s="663"/>
      <c r="ED321" s="663"/>
      <c r="EE321" s="663"/>
      <c r="EF321" s="663"/>
      <c r="EG321" s="663"/>
      <c r="EH321" s="663"/>
      <c r="EI321" s="663"/>
      <c r="EJ321" s="663"/>
      <c r="EK321" s="663"/>
      <c r="EL321" s="663"/>
      <c r="EM321" s="663"/>
      <c r="EN321" s="663"/>
      <c r="EO321" s="663"/>
      <c r="EP321" s="663"/>
      <c r="EQ321" s="663"/>
      <c r="ER321" s="663"/>
      <c r="ES321" s="663"/>
      <c r="ET321" s="663"/>
      <c r="EU321" s="663"/>
      <c r="EV321" s="663"/>
      <c r="EW321" s="663"/>
      <c r="EX321" s="663"/>
      <c r="EY321" s="663"/>
      <c r="EZ321" s="663"/>
      <c r="FA321" s="663"/>
      <c r="FB321" s="663"/>
      <c r="FC321" s="663"/>
      <c r="FD321" s="663"/>
      <c r="FE321" s="663"/>
      <c r="FF321" s="663"/>
      <c r="FG321" s="663"/>
      <c r="FH321" s="663"/>
      <c r="FI321" s="663"/>
      <c r="FJ321" s="663"/>
      <c r="FK321" s="663"/>
      <c r="FL321" s="663"/>
      <c r="FM321" s="663"/>
      <c r="FN321" s="663"/>
      <c r="FO321" s="663"/>
      <c r="FP321" s="663"/>
      <c r="FQ321" s="663"/>
      <c r="FR321" s="663"/>
      <c r="FS321" s="663"/>
      <c r="FT321" s="663"/>
      <c r="FU321" s="663"/>
      <c r="FV321" s="663"/>
      <c r="FW321" s="663"/>
      <c r="FX321" s="663"/>
      <c r="FY321" s="663"/>
      <c r="FZ321" s="663"/>
      <c r="GA321" s="663"/>
      <c r="GB321" s="663"/>
      <c r="GC321" s="663"/>
      <c r="GD321" s="663"/>
      <c r="GE321" s="663"/>
      <c r="GF321" s="663"/>
      <c r="GG321" s="663"/>
    </row>
    <row r="322" spans="1:189">
      <c r="A322" s="670"/>
      <c r="B322" s="670"/>
      <c r="C322" s="670"/>
      <c r="D322" s="670"/>
      <c r="E322" s="670"/>
      <c r="F322" s="670"/>
      <c r="G322" s="673"/>
      <c r="H322" s="627"/>
      <c r="I322" s="627"/>
      <c r="J322" s="672"/>
      <c r="K322" s="663"/>
      <c r="L322" s="663"/>
      <c r="M322" s="663"/>
      <c r="N322" s="663"/>
      <c r="O322" s="663"/>
      <c r="P322" s="663"/>
      <c r="Q322" s="663"/>
      <c r="R322" s="663"/>
      <c r="S322" s="663"/>
      <c r="T322" s="663"/>
      <c r="U322" s="663"/>
      <c r="V322" s="663"/>
      <c r="W322" s="663"/>
      <c r="X322" s="663"/>
      <c r="Y322" s="663"/>
      <c r="Z322" s="663"/>
      <c r="AA322" s="663"/>
      <c r="AB322" s="663"/>
      <c r="AC322" s="663"/>
      <c r="AD322" s="663"/>
      <c r="AE322" s="663"/>
      <c r="AF322" s="663"/>
      <c r="AG322" s="663"/>
      <c r="AH322" s="663"/>
      <c r="AI322" s="663"/>
      <c r="AJ322" s="663"/>
      <c r="AK322" s="663"/>
      <c r="AL322" s="663"/>
      <c r="AM322" s="663"/>
      <c r="AN322" s="663"/>
      <c r="AO322" s="663"/>
      <c r="AP322" s="663"/>
      <c r="AQ322" s="663"/>
      <c r="AR322" s="663"/>
      <c r="AS322" s="663"/>
      <c r="AT322" s="663"/>
      <c r="AU322" s="663"/>
      <c r="AV322" s="663"/>
      <c r="AW322" s="663"/>
      <c r="AX322" s="663"/>
      <c r="AY322" s="663"/>
      <c r="AZ322" s="663"/>
      <c r="BA322" s="663"/>
      <c r="BB322" s="663"/>
      <c r="BC322" s="663"/>
      <c r="BD322" s="663"/>
      <c r="BE322" s="663"/>
      <c r="BF322" s="663"/>
      <c r="BG322" s="663"/>
      <c r="BH322" s="663"/>
      <c r="BI322" s="663"/>
      <c r="BJ322" s="663"/>
      <c r="BK322" s="663"/>
      <c r="BL322" s="663"/>
      <c r="BM322" s="663"/>
      <c r="BN322" s="663"/>
      <c r="BO322" s="663"/>
      <c r="BP322" s="663"/>
      <c r="BQ322" s="663"/>
      <c r="BR322" s="663"/>
      <c r="BS322" s="663"/>
      <c r="BT322" s="663"/>
      <c r="BU322" s="663"/>
      <c r="BV322" s="663"/>
      <c r="BW322" s="663"/>
      <c r="BX322" s="663"/>
      <c r="BY322" s="663"/>
      <c r="BZ322" s="663"/>
      <c r="CA322" s="663"/>
      <c r="CB322" s="663"/>
      <c r="CC322" s="663"/>
      <c r="CD322" s="663"/>
      <c r="CE322" s="663"/>
      <c r="CF322" s="663"/>
      <c r="CG322" s="663"/>
      <c r="CH322" s="663"/>
      <c r="CI322" s="663"/>
      <c r="CJ322" s="663"/>
      <c r="CK322" s="663"/>
      <c r="CL322" s="663"/>
      <c r="CM322" s="663"/>
      <c r="CN322" s="663"/>
      <c r="CO322" s="663"/>
      <c r="CP322" s="663"/>
      <c r="CQ322" s="663"/>
      <c r="CR322" s="663"/>
      <c r="CS322" s="663"/>
      <c r="CT322" s="663"/>
      <c r="CU322" s="663"/>
      <c r="CV322" s="663"/>
      <c r="CW322" s="663"/>
      <c r="CX322" s="663"/>
      <c r="CY322" s="663"/>
      <c r="CZ322" s="663"/>
      <c r="DA322" s="663"/>
      <c r="DB322" s="663"/>
      <c r="DC322" s="663"/>
      <c r="DD322" s="663"/>
      <c r="DE322" s="663"/>
      <c r="DF322" s="663"/>
      <c r="DG322" s="663"/>
      <c r="DH322" s="663"/>
      <c r="DI322" s="663"/>
      <c r="DJ322" s="663"/>
      <c r="DK322" s="663"/>
      <c r="DL322" s="663"/>
      <c r="DM322" s="663"/>
      <c r="DN322" s="663"/>
      <c r="DO322" s="663"/>
      <c r="DP322" s="663"/>
      <c r="DQ322" s="663"/>
      <c r="DR322" s="663"/>
      <c r="DS322" s="663"/>
      <c r="DT322" s="663"/>
      <c r="DU322" s="663"/>
      <c r="DV322" s="663"/>
      <c r="DW322" s="663"/>
      <c r="DX322" s="663"/>
      <c r="DY322" s="663"/>
      <c r="DZ322" s="663"/>
      <c r="EA322" s="663"/>
      <c r="EB322" s="663"/>
      <c r="EC322" s="663"/>
      <c r="ED322" s="663"/>
      <c r="EE322" s="663"/>
      <c r="EF322" s="663"/>
      <c r="EG322" s="663"/>
      <c r="EH322" s="663"/>
      <c r="EI322" s="663"/>
      <c r="EJ322" s="663"/>
      <c r="EK322" s="663"/>
      <c r="EL322" s="663"/>
      <c r="EM322" s="663"/>
      <c r="EN322" s="663"/>
      <c r="EO322" s="663"/>
      <c r="EP322" s="663"/>
      <c r="EQ322" s="663"/>
      <c r="ER322" s="663"/>
      <c r="ES322" s="663"/>
      <c r="ET322" s="663"/>
      <c r="EU322" s="663"/>
      <c r="EV322" s="663"/>
      <c r="EW322" s="663"/>
      <c r="EX322" s="663"/>
      <c r="EY322" s="663"/>
      <c r="EZ322" s="663"/>
      <c r="FA322" s="663"/>
      <c r="FB322" s="663"/>
      <c r="FC322" s="663"/>
      <c r="FD322" s="663"/>
      <c r="FE322" s="663"/>
      <c r="FF322" s="663"/>
      <c r="FG322" s="663"/>
      <c r="FH322" s="663"/>
      <c r="FI322" s="663"/>
      <c r="FJ322" s="663"/>
      <c r="FK322" s="663"/>
      <c r="FL322" s="663"/>
      <c r="FM322" s="663"/>
      <c r="FN322" s="663"/>
      <c r="FO322" s="663"/>
      <c r="FP322" s="663"/>
      <c r="FQ322" s="663"/>
      <c r="FR322" s="663"/>
      <c r="FS322" s="663"/>
      <c r="FT322" s="663"/>
      <c r="FU322" s="663"/>
      <c r="FV322" s="663"/>
      <c r="FW322" s="663"/>
      <c r="FX322" s="663"/>
      <c r="FY322" s="663"/>
      <c r="FZ322" s="663"/>
      <c r="GA322" s="663"/>
      <c r="GB322" s="663"/>
      <c r="GC322" s="663"/>
      <c r="GD322" s="663"/>
      <c r="GE322" s="663"/>
      <c r="GF322" s="663"/>
      <c r="GG322" s="663"/>
    </row>
    <row r="323" spans="1:189">
      <c r="A323" s="670"/>
      <c r="B323" s="670"/>
      <c r="C323" s="670"/>
      <c r="D323" s="670"/>
      <c r="E323" s="670"/>
      <c r="F323" s="670"/>
      <c r="G323" s="673"/>
      <c r="H323" s="627"/>
      <c r="I323" s="627"/>
      <c r="J323" s="672"/>
      <c r="K323" s="663"/>
      <c r="L323" s="663"/>
      <c r="M323" s="663"/>
      <c r="N323" s="663"/>
      <c r="O323" s="663"/>
      <c r="P323" s="663"/>
      <c r="Q323" s="663"/>
      <c r="R323" s="663"/>
      <c r="S323" s="663"/>
      <c r="T323" s="663"/>
      <c r="U323" s="663"/>
      <c r="V323" s="663"/>
      <c r="W323" s="663"/>
      <c r="X323" s="663"/>
      <c r="Y323" s="663"/>
      <c r="Z323" s="663"/>
      <c r="AA323" s="663"/>
      <c r="AB323" s="663"/>
      <c r="AC323" s="663"/>
      <c r="AD323" s="663"/>
      <c r="AE323" s="663"/>
      <c r="AF323" s="663"/>
      <c r="AG323" s="663"/>
      <c r="AH323" s="663"/>
      <c r="AI323" s="663"/>
      <c r="AJ323" s="663"/>
      <c r="AK323" s="663"/>
      <c r="AL323" s="663"/>
      <c r="AM323" s="663"/>
      <c r="AN323" s="663"/>
      <c r="AO323" s="663"/>
      <c r="AP323" s="663"/>
      <c r="AQ323" s="663"/>
      <c r="AR323" s="663"/>
      <c r="AS323" s="663"/>
      <c r="AT323" s="663"/>
      <c r="AU323" s="663"/>
      <c r="AV323" s="663"/>
      <c r="AW323" s="663"/>
      <c r="AX323" s="663"/>
      <c r="AY323" s="663"/>
      <c r="AZ323" s="663"/>
      <c r="BA323" s="663"/>
      <c r="BB323" s="663"/>
      <c r="BC323" s="663"/>
      <c r="BD323" s="663"/>
      <c r="BE323" s="663"/>
      <c r="BF323" s="663"/>
      <c r="BG323" s="663"/>
      <c r="BH323" s="663"/>
      <c r="BI323" s="663"/>
      <c r="BJ323" s="663"/>
      <c r="BK323" s="663"/>
      <c r="BL323" s="663"/>
      <c r="BM323" s="663"/>
      <c r="BN323" s="663"/>
      <c r="BO323" s="663"/>
      <c r="BP323" s="663"/>
      <c r="BQ323" s="663"/>
      <c r="BR323" s="663"/>
      <c r="BS323" s="663"/>
      <c r="BT323" s="663"/>
      <c r="BU323" s="663"/>
      <c r="BV323" s="663"/>
      <c r="BW323" s="663"/>
      <c r="BX323" s="663"/>
      <c r="BY323" s="663"/>
      <c r="BZ323" s="663"/>
      <c r="CA323" s="663"/>
      <c r="CB323" s="663"/>
      <c r="CC323" s="663"/>
      <c r="CD323" s="663"/>
      <c r="CE323" s="663"/>
      <c r="CF323" s="663"/>
      <c r="CG323" s="663"/>
      <c r="CH323" s="663"/>
      <c r="CI323" s="663"/>
      <c r="CJ323" s="663"/>
      <c r="CK323" s="663"/>
      <c r="CL323" s="663"/>
      <c r="CM323" s="663"/>
      <c r="CN323" s="663"/>
      <c r="CO323" s="663"/>
      <c r="CP323" s="663"/>
      <c r="CQ323" s="663"/>
      <c r="CR323" s="663"/>
      <c r="CS323" s="663"/>
      <c r="CT323" s="663"/>
      <c r="CU323" s="663"/>
      <c r="CV323" s="663"/>
      <c r="CW323" s="663"/>
      <c r="CX323" s="663"/>
      <c r="CY323" s="663"/>
      <c r="CZ323" s="663"/>
      <c r="DA323" s="663"/>
      <c r="DB323" s="663"/>
      <c r="DC323" s="663"/>
      <c r="DD323" s="663"/>
      <c r="DE323" s="663"/>
      <c r="DF323" s="663"/>
      <c r="DG323" s="663"/>
      <c r="DH323" s="663"/>
      <c r="DI323" s="663"/>
      <c r="DJ323" s="663"/>
      <c r="DK323" s="663"/>
      <c r="DL323" s="663"/>
      <c r="DM323" s="663"/>
      <c r="DN323" s="663"/>
      <c r="DO323" s="663"/>
      <c r="DP323" s="663"/>
      <c r="DQ323" s="663"/>
      <c r="DR323" s="663"/>
      <c r="DS323" s="663"/>
      <c r="DT323" s="663"/>
      <c r="DU323" s="663"/>
      <c r="DV323" s="663"/>
      <c r="DW323" s="663"/>
      <c r="DX323" s="663"/>
      <c r="DY323" s="663"/>
      <c r="DZ323" s="663"/>
      <c r="EA323" s="663"/>
      <c r="EB323" s="663"/>
      <c r="EC323" s="663"/>
      <c r="ED323" s="663"/>
      <c r="EE323" s="663"/>
      <c r="EF323" s="663"/>
      <c r="EG323" s="663"/>
      <c r="EH323" s="663"/>
      <c r="EI323" s="663"/>
      <c r="EJ323" s="663"/>
      <c r="EK323" s="663"/>
      <c r="EL323" s="663"/>
      <c r="EM323" s="663"/>
      <c r="EN323" s="663"/>
      <c r="EO323" s="663"/>
      <c r="EP323" s="663"/>
      <c r="EQ323" s="663"/>
      <c r="ER323" s="663"/>
      <c r="ES323" s="663"/>
      <c r="ET323" s="663"/>
      <c r="EU323" s="663"/>
      <c r="EV323" s="663"/>
      <c r="EW323" s="663"/>
      <c r="EX323" s="663"/>
      <c r="EY323" s="663"/>
      <c r="EZ323" s="663"/>
      <c r="FA323" s="663"/>
      <c r="FB323" s="663"/>
      <c r="FC323" s="663"/>
      <c r="FD323" s="663"/>
      <c r="FE323" s="663"/>
      <c r="FF323" s="663"/>
      <c r="FG323" s="663"/>
      <c r="FH323" s="663"/>
      <c r="FI323" s="663"/>
      <c r="FJ323" s="663"/>
      <c r="FK323" s="663"/>
      <c r="FL323" s="663"/>
      <c r="FM323" s="663"/>
      <c r="FN323" s="663"/>
      <c r="FO323" s="663"/>
      <c r="FP323" s="663"/>
      <c r="FQ323" s="663"/>
      <c r="FR323" s="663"/>
      <c r="FS323" s="663"/>
      <c r="FT323" s="663"/>
      <c r="FU323" s="663"/>
      <c r="FV323" s="663"/>
      <c r="FW323" s="663"/>
      <c r="FX323" s="663"/>
      <c r="FY323" s="663"/>
      <c r="FZ323" s="663"/>
      <c r="GA323" s="663"/>
      <c r="GB323" s="663"/>
      <c r="GC323" s="663"/>
      <c r="GD323" s="663"/>
      <c r="GE323" s="663"/>
      <c r="GF323" s="663"/>
      <c r="GG323" s="663"/>
    </row>
    <row r="324" spans="1:189">
      <c r="A324" s="670"/>
      <c r="B324" s="670"/>
      <c r="C324" s="670"/>
      <c r="D324" s="670"/>
      <c r="E324" s="670"/>
      <c r="F324" s="670"/>
      <c r="G324" s="673"/>
      <c r="H324" s="627"/>
      <c r="I324" s="627"/>
      <c r="J324" s="672"/>
      <c r="K324" s="663"/>
      <c r="L324" s="663"/>
      <c r="M324" s="663"/>
      <c r="N324" s="663"/>
      <c r="O324" s="663"/>
      <c r="P324" s="663"/>
      <c r="Q324" s="663"/>
      <c r="R324" s="663"/>
      <c r="S324" s="663"/>
      <c r="T324" s="663"/>
      <c r="U324" s="663"/>
      <c r="V324" s="663"/>
      <c r="W324" s="663"/>
      <c r="X324" s="663"/>
      <c r="Y324" s="663"/>
      <c r="Z324" s="663"/>
      <c r="AA324" s="663"/>
      <c r="AB324" s="663"/>
      <c r="AC324" s="663"/>
      <c r="AD324" s="663"/>
      <c r="AE324" s="663"/>
      <c r="AF324" s="663"/>
      <c r="AG324" s="663"/>
      <c r="AH324" s="663"/>
      <c r="AI324" s="663"/>
      <c r="AJ324" s="663"/>
      <c r="AK324" s="663"/>
      <c r="AL324" s="663"/>
      <c r="AM324" s="663"/>
      <c r="AN324" s="663"/>
      <c r="AO324" s="663"/>
      <c r="AP324" s="663"/>
      <c r="AQ324" s="663"/>
      <c r="AR324" s="663"/>
      <c r="AS324" s="663"/>
      <c r="AT324" s="663"/>
      <c r="AU324" s="663"/>
      <c r="AV324" s="663"/>
      <c r="AW324" s="663"/>
      <c r="AX324" s="663"/>
      <c r="AY324" s="663"/>
      <c r="AZ324" s="663"/>
      <c r="BA324" s="663"/>
      <c r="BB324" s="663"/>
      <c r="BC324" s="663"/>
      <c r="BD324" s="663"/>
      <c r="BE324" s="663"/>
      <c r="BF324" s="663"/>
      <c r="BG324" s="663"/>
      <c r="BH324" s="663"/>
      <c r="BI324" s="663"/>
      <c r="BJ324" s="663"/>
      <c r="BK324" s="663"/>
      <c r="BL324" s="663"/>
      <c r="BM324" s="663"/>
      <c r="BN324" s="663"/>
      <c r="BO324" s="663"/>
      <c r="BP324" s="663"/>
      <c r="BQ324" s="663"/>
      <c r="BR324" s="663"/>
      <c r="BS324" s="663"/>
      <c r="BT324" s="663"/>
      <c r="BU324" s="663"/>
      <c r="BV324" s="663"/>
      <c r="BW324" s="663"/>
      <c r="BX324" s="663"/>
      <c r="BY324" s="663"/>
      <c r="BZ324" s="663"/>
      <c r="CA324" s="663"/>
      <c r="CB324" s="663"/>
      <c r="CC324" s="663"/>
      <c r="CD324" s="663"/>
      <c r="CE324" s="663"/>
      <c r="CF324" s="663"/>
      <c r="CG324" s="663"/>
      <c r="CH324" s="663"/>
      <c r="CI324" s="663"/>
      <c r="CJ324" s="663"/>
      <c r="CK324" s="663"/>
      <c r="CL324" s="663"/>
      <c r="CM324" s="663"/>
      <c r="CN324" s="663"/>
      <c r="CO324" s="663"/>
      <c r="CP324" s="663"/>
      <c r="CQ324" s="663"/>
      <c r="CR324" s="663"/>
      <c r="CS324" s="663"/>
      <c r="CT324" s="663"/>
      <c r="CU324" s="663"/>
      <c r="CV324" s="663"/>
      <c r="CW324" s="663"/>
      <c r="CX324" s="663"/>
      <c r="CY324" s="663"/>
      <c r="CZ324" s="663"/>
      <c r="DA324" s="663"/>
      <c r="DB324" s="663"/>
      <c r="DC324" s="663"/>
      <c r="DD324" s="663"/>
      <c r="DE324" s="663"/>
      <c r="DF324" s="663"/>
      <c r="DG324" s="663"/>
      <c r="DH324" s="663"/>
      <c r="DI324" s="663"/>
      <c r="DJ324" s="663"/>
      <c r="DK324" s="663"/>
      <c r="DL324" s="663"/>
      <c r="DM324" s="663"/>
      <c r="DN324" s="663"/>
      <c r="DO324" s="663"/>
      <c r="DP324" s="663"/>
      <c r="DQ324" s="663"/>
      <c r="DR324" s="663"/>
      <c r="DS324" s="663"/>
      <c r="DT324" s="663"/>
      <c r="DU324" s="663"/>
      <c r="DV324" s="663"/>
      <c r="DW324" s="663"/>
      <c r="DX324" s="663"/>
      <c r="DY324" s="663"/>
      <c r="DZ324" s="663"/>
      <c r="EA324" s="663"/>
      <c r="EB324" s="663"/>
      <c r="EC324" s="663"/>
      <c r="ED324" s="663"/>
      <c r="EE324" s="663"/>
      <c r="EF324" s="663"/>
      <c r="EG324" s="663"/>
      <c r="EH324" s="663"/>
      <c r="EI324" s="663"/>
      <c r="EJ324" s="663"/>
      <c r="EK324" s="663"/>
      <c r="EL324" s="663"/>
      <c r="EM324" s="663"/>
      <c r="EN324" s="663"/>
      <c r="EO324" s="663"/>
      <c r="EP324" s="663"/>
      <c r="EQ324" s="663"/>
      <c r="ER324" s="663"/>
      <c r="ES324" s="663"/>
      <c r="ET324" s="663"/>
      <c r="EU324" s="663"/>
      <c r="EV324" s="663"/>
      <c r="EW324" s="663"/>
      <c r="EX324" s="663"/>
      <c r="EY324" s="663"/>
      <c r="EZ324" s="663"/>
      <c r="FA324" s="663"/>
      <c r="FB324" s="663"/>
      <c r="FC324" s="663"/>
      <c r="FD324" s="663"/>
      <c r="FE324" s="663"/>
      <c r="FF324" s="663"/>
      <c r="FG324" s="663"/>
      <c r="FH324" s="663"/>
      <c r="FI324" s="663"/>
      <c r="FJ324" s="663"/>
      <c r="FK324" s="663"/>
      <c r="FL324" s="663"/>
      <c r="FM324" s="663"/>
      <c r="FN324" s="663"/>
      <c r="FO324" s="663"/>
      <c r="FP324" s="663"/>
      <c r="FQ324" s="663"/>
      <c r="FR324" s="663"/>
      <c r="FS324" s="663"/>
      <c r="FT324" s="663"/>
      <c r="FU324" s="663"/>
      <c r="FV324" s="663"/>
      <c r="FW324" s="663"/>
      <c r="FX324" s="663"/>
      <c r="FY324" s="663"/>
      <c r="FZ324" s="663"/>
      <c r="GA324" s="663"/>
      <c r="GB324" s="663"/>
      <c r="GC324" s="663"/>
      <c r="GD324" s="663"/>
      <c r="GE324" s="663"/>
      <c r="GF324" s="663"/>
      <c r="GG324" s="663"/>
    </row>
    <row r="325" spans="1:189">
      <c r="A325" s="670"/>
      <c r="B325" s="670"/>
      <c r="C325" s="670"/>
      <c r="D325" s="670"/>
      <c r="E325" s="670"/>
      <c r="F325" s="670"/>
      <c r="G325" s="673"/>
      <c r="H325" s="627"/>
      <c r="I325" s="627"/>
      <c r="J325" s="672"/>
      <c r="K325" s="663"/>
      <c r="L325" s="663"/>
      <c r="M325" s="663"/>
      <c r="N325" s="663"/>
      <c r="O325" s="663"/>
      <c r="P325" s="663"/>
      <c r="Q325" s="663"/>
      <c r="R325" s="663"/>
      <c r="S325" s="663"/>
      <c r="T325" s="663"/>
      <c r="U325" s="663"/>
      <c r="V325" s="663"/>
      <c r="W325" s="663"/>
      <c r="X325" s="663"/>
      <c r="Y325" s="663"/>
      <c r="Z325" s="663"/>
      <c r="AA325" s="663"/>
      <c r="AB325" s="663"/>
      <c r="AC325" s="663"/>
      <c r="AD325" s="663"/>
      <c r="AE325" s="663"/>
      <c r="AF325" s="663"/>
      <c r="AG325" s="663"/>
      <c r="AH325" s="663"/>
      <c r="AI325" s="663"/>
      <c r="AJ325" s="663"/>
      <c r="AK325" s="663"/>
      <c r="AL325" s="663"/>
      <c r="AM325" s="663"/>
      <c r="AN325" s="663"/>
      <c r="AO325" s="663"/>
      <c r="AP325" s="663"/>
      <c r="AQ325" s="663"/>
      <c r="AR325" s="663"/>
      <c r="AS325" s="663"/>
      <c r="AT325" s="663"/>
      <c r="AU325" s="663"/>
      <c r="AV325" s="663"/>
      <c r="AW325" s="663"/>
      <c r="AX325" s="663"/>
      <c r="AY325" s="663"/>
      <c r="AZ325" s="663"/>
      <c r="BA325" s="663"/>
      <c r="BB325" s="663"/>
      <c r="BC325" s="663"/>
      <c r="BD325" s="663"/>
      <c r="BE325" s="663"/>
      <c r="BF325" s="663"/>
      <c r="BG325" s="663"/>
      <c r="BH325" s="663"/>
      <c r="BI325" s="663"/>
      <c r="BJ325" s="663"/>
      <c r="BK325" s="663"/>
      <c r="BL325" s="663"/>
      <c r="BM325" s="663"/>
      <c r="BN325" s="663"/>
      <c r="BO325" s="663"/>
      <c r="BP325" s="663"/>
      <c r="BQ325" s="663"/>
      <c r="BR325" s="663"/>
      <c r="BS325" s="663"/>
      <c r="BT325" s="663"/>
      <c r="BU325" s="663"/>
      <c r="BV325" s="663"/>
      <c r="BW325" s="663"/>
      <c r="BX325" s="663"/>
      <c r="BY325" s="663"/>
      <c r="BZ325" s="663"/>
      <c r="CA325" s="663"/>
      <c r="CB325" s="663"/>
      <c r="CC325" s="663"/>
      <c r="CD325" s="663"/>
      <c r="CE325" s="663"/>
      <c r="CF325" s="663"/>
      <c r="CG325" s="663"/>
      <c r="CH325" s="663"/>
      <c r="CI325" s="663"/>
      <c r="CJ325" s="663"/>
      <c r="CK325" s="663"/>
      <c r="CL325" s="663"/>
      <c r="CM325" s="663"/>
      <c r="CN325" s="663"/>
      <c r="CO325" s="663"/>
      <c r="CP325" s="663"/>
      <c r="CQ325" s="663"/>
      <c r="CR325" s="663"/>
      <c r="CS325" s="663"/>
      <c r="CT325" s="663"/>
      <c r="CU325" s="663"/>
      <c r="CV325" s="663"/>
      <c r="CW325" s="663"/>
      <c r="CX325" s="663"/>
      <c r="CY325" s="663"/>
      <c r="CZ325" s="663"/>
      <c r="DA325" s="663"/>
      <c r="DB325" s="663"/>
      <c r="DC325" s="663"/>
      <c r="DD325" s="663"/>
      <c r="DE325" s="663"/>
      <c r="DF325" s="663"/>
      <c r="DG325" s="663"/>
      <c r="DH325" s="663"/>
      <c r="DI325" s="663"/>
      <c r="DJ325" s="663"/>
      <c r="DK325" s="663"/>
      <c r="DL325" s="663"/>
      <c r="DM325" s="663"/>
      <c r="DN325" s="663"/>
      <c r="DO325" s="663"/>
      <c r="DP325" s="663"/>
      <c r="DQ325" s="663"/>
      <c r="DR325" s="663"/>
      <c r="DS325" s="663"/>
      <c r="DT325" s="663"/>
      <c r="DU325" s="663"/>
      <c r="DV325" s="663"/>
      <c r="DW325" s="663"/>
      <c r="DX325" s="663"/>
      <c r="DY325" s="663"/>
      <c r="DZ325" s="663"/>
      <c r="EA325" s="663"/>
      <c r="EB325" s="663"/>
      <c r="EC325" s="663"/>
      <c r="ED325" s="663"/>
      <c r="EE325" s="663"/>
      <c r="EF325" s="663"/>
      <c r="EG325" s="663"/>
      <c r="EH325" s="663"/>
      <c r="EI325" s="663"/>
      <c r="EJ325" s="663"/>
      <c r="EK325" s="663"/>
      <c r="EL325" s="663"/>
      <c r="EM325" s="663"/>
      <c r="EN325" s="663"/>
      <c r="EO325" s="663"/>
      <c r="EP325" s="663"/>
      <c r="EQ325" s="663"/>
      <c r="ER325" s="663"/>
      <c r="ES325" s="663"/>
      <c r="ET325" s="663"/>
      <c r="EU325" s="663"/>
      <c r="EV325" s="663"/>
      <c r="EW325" s="663"/>
      <c r="EX325" s="663"/>
      <c r="EY325" s="663"/>
      <c r="EZ325" s="663"/>
      <c r="FA325" s="663"/>
      <c r="FB325" s="663"/>
      <c r="FC325" s="663"/>
      <c r="FD325" s="663"/>
      <c r="FE325" s="663"/>
      <c r="FF325" s="663"/>
      <c r="FG325" s="663"/>
      <c r="FH325" s="663"/>
      <c r="FI325" s="663"/>
      <c r="FJ325" s="663"/>
      <c r="FK325" s="663"/>
      <c r="FL325" s="663"/>
      <c r="FM325" s="663"/>
      <c r="FN325" s="663"/>
      <c r="FO325" s="663"/>
      <c r="FP325" s="663"/>
      <c r="FQ325" s="663"/>
      <c r="FR325" s="663"/>
      <c r="FS325" s="663"/>
      <c r="FT325" s="663"/>
      <c r="FU325" s="663"/>
      <c r="FV325" s="663"/>
      <c r="FW325" s="663"/>
      <c r="FX325" s="663"/>
      <c r="FY325" s="663"/>
      <c r="FZ325" s="663"/>
      <c r="GA325" s="663"/>
      <c r="GB325" s="663"/>
      <c r="GC325" s="663"/>
      <c r="GD325" s="663"/>
      <c r="GE325" s="663"/>
      <c r="GF325" s="663"/>
      <c r="GG325" s="663"/>
    </row>
    <row r="326" spans="1:189">
      <c r="A326" s="670"/>
      <c r="B326" s="670"/>
      <c r="C326" s="670"/>
      <c r="D326" s="670"/>
      <c r="E326" s="670"/>
      <c r="F326" s="670"/>
      <c r="G326" s="673"/>
      <c r="H326" s="627"/>
      <c r="I326" s="627"/>
      <c r="J326" s="672"/>
      <c r="K326" s="663"/>
      <c r="L326" s="663"/>
      <c r="M326" s="663"/>
      <c r="N326" s="663"/>
      <c r="O326" s="663"/>
      <c r="P326" s="663"/>
      <c r="Q326" s="663"/>
      <c r="R326" s="663"/>
      <c r="S326" s="663"/>
      <c r="T326" s="663"/>
      <c r="U326" s="663"/>
      <c r="V326" s="663"/>
      <c r="W326" s="663"/>
      <c r="X326" s="663"/>
      <c r="Y326" s="663"/>
      <c r="Z326" s="663"/>
      <c r="AA326" s="663"/>
      <c r="AB326" s="663"/>
      <c r="AC326" s="663"/>
      <c r="AD326" s="663"/>
      <c r="AE326" s="663"/>
      <c r="AF326" s="663"/>
      <c r="AG326" s="663"/>
      <c r="AH326" s="663"/>
      <c r="AI326" s="663"/>
      <c r="AJ326" s="663"/>
      <c r="AK326" s="663"/>
      <c r="AL326" s="663"/>
      <c r="AM326" s="663"/>
      <c r="AN326" s="663"/>
      <c r="AO326" s="663"/>
      <c r="AP326" s="663"/>
      <c r="AQ326" s="663"/>
      <c r="AR326" s="663"/>
      <c r="AS326" s="663"/>
      <c r="AT326" s="663"/>
      <c r="AU326" s="663"/>
      <c r="AV326" s="663"/>
      <c r="AW326" s="663"/>
      <c r="AX326" s="663"/>
      <c r="AY326" s="663"/>
      <c r="AZ326" s="663"/>
      <c r="BA326" s="663"/>
      <c r="BB326" s="663"/>
      <c r="BC326" s="663"/>
      <c r="BD326" s="663"/>
      <c r="BE326" s="663"/>
      <c r="BF326" s="663"/>
      <c r="BG326" s="663"/>
      <c r="BH326" s="663"/>
      <c r="BI326" s="663"/>
      <c r="BJ326" s="663"/>
      <c r="BK326" s="663"/>
      <c r="BL326" s="663"/>
      <c r="BM326" s="663"/>
      <c r="BN326" s="663"/>
      <c r="BO326" s="663"/>
      <c r="BP326" s="663"/>
      <c r="BQ326" s="663"/>
      <c r="BR326" s="663"/>
      <c r="BS326" s="663"/>
      <c r="BT326" s="663"/>
      <c r="BU326" s="663"/>
      <c r="BV326" s="663"/>
      <c r="BW326" s="663"/>
      <c r="BX326" s="663"/>
      <c r="BY326" s="663"/>
      <c r="BZ326" s="663"/>
      <c r="CA326" s="663"/>
      <c r="CB326" s="663"/>
      <c r="CC326" s="663"/>
      <c r="CD326" s="663"/>
      <c r="CE326" s="663"/>
      <c r="CF326" s="663"/>
      <c r="CG326" s="663"/>
      <c r="CH326" s="663"/>
      <c r="CI326" s="663"/>
      <c r="CJ326" s="663"/>
      <c r="CK326" s="663"/>
      <c r="CL326" s="663"/>
      <c r="CM326" s="663"/>
      <c r="CN326" s="663"/>
      <c r="CO326" s="663"/>
      <c r="CP326" s="663"/>
      <c r="CQ326" s="663"/>
      <c r="CR326" s="663"/>
      <c r="CS326" s="663"/>
      <c r="CT326" s="663"/>
      <c r="CU326" s="663"/>
      <c r="CV326" s="663"/>
      <c r="CW326" s="663"/>
      <c r="CX326" s="663"/>
      <c r="CY326" s="663"/>
      <c r="CZ326" s="663"/>
      <c r="DA326" s="663"/>
      <c r="DB326" s="663"/>
      <c r="DC326" s="663"/>
      <c r="DD326" s="663"/>
      <c r="DE326" s="663"/>
      <c r="DF326" s="663"/>
      <c r="DG326" s="663"/>
      <c r="DH326" s="663"/>
      <c r="DI326" s="663"/>
      <c r="DJ326" s="663"/>
      <c r="DK326" s="663"/>
      <c r="DL326" s="663"/>
      <c r="DM326" s="663"/>
      <c r="DN326" s="663"/>
      <c r="DO326" s="663"/>
      <c r="DP326" s="663"/>
      <c r="DQ326" s="663"/>
      <c r="DR326" s="663"/>
      <c r="DS326" s="663"/>
      <c r="DT326" s="663"/>
      <c r="DU326" s="663"/>
      <c r="DV326" s="663"/>
      <c r="DW326" s="663"/>
      <c r="DX326" s="663"/>
      <c r="DY326" s="663"/>
      <c r="DZ326" s="663"/>
      <c r="EA326" s="663"/>
      <c r="EB326" s="663"/>
      <c r="EC326" s="663"/>
      <c r="ED326" s="663"/>
      <c r="EE326" s="663"/>
      <c r="EF326" s="663"/>
      <c r="EG326" s="663"/>
      <c r="EH326" s="663"/>
      <c r="EI326" s="663"/>
      <c r="EJ326" s="663"/>
      <c r="EK326" s="663"/>
      <c r="EL326" s="663"/>
      <c r="EM326" s="663"/>
      <c r="EN326" s="663"/>
      <c r="EO326" s="663"/>
      <c r="EP326" s="663"/>
      <c r="EQ326" s="663"/>
      <c r="ER326" s="663"/>
      <c r="ES326" s="663"/>
      <c r="ET326" s="663"/>
      <c r="EU326" s="663"/>
      <c r="EV326" s="663"/>
      <c r="EW326" s="663"/>
      <c r="EX326" s="663"/>
      <c r="EY326" s="663"/>
      <c r="EZ326" s="663"/>
      <c r="FA326" s="663"/>
      <c r="FB326" s="663"/>
      <c r="FC326" s="663"/>
      <c r="FD326" s="663"/>
      <c r="FE326" s="663"/>
      <c r="FF326" s="663"/>
      <c r="FG326" s="663"/>
      <c r="FH326" s="663"/>
      <c r="FI326" s="663"/>
      <c r="FJ326" s="663"/>
      <c r="FK326" s="663"/>
      <c r="FL326" s="663"/>
      <c r="FM326" s="663"/>
      <c r="FN326" s="663"/>
      <c r="FO326" s="663"/>
      <c r="FP326" s="663"/>
      <c r="FQ326" s="663"/>
      <c r="FR326" s="663"/>
      <c r="FS326" s="663"/>
      <c r="FT326" s="663"/>
      <c r="FU326" s="663"/>
      <c r="FV326" s="663"/>
      <c r="FW326" s="663"/>
      <c r="FX326" s="663"/>
      <c r="FY326" s="663"/>
      <c r="FZ326" s="663"/>
      <c r="GA326" s="663"/>
      <c r="GB326" s="663"/>
      <c r="GC326" s="663"/>
      <c r="GD326" s="663"/>
      <c r="GE326" s="663"/>
      <c r="GF326" s="663"/>
      <c r="GG326" s="663"/>
    </row>
    <row r="327" spans="1:189">
      <c r="A327" s="670"/>
      <c r="B327" s="670"/>
      <c r="C327" s="670"/>
      <c r="D327" s="670"/>
      <c r="E327" s="670"/>
      <c r="F327" s="670"/>
      <c r="G327" s="673"/>
      <c r="H327" s="627"/>
      <c r="I327" s="627"/>
      <c r="J327" s="672"/>
      <c r="K327" s="663"/>
      <c r="L327" s="663"/>
      <c r="M327" s="663"/>
      <c r="N327" s="663"/>
      <c r="O327" s="663"/>
      <c r="P327" s="663"/>
      <c r="Q327" s="663"/>
      <c r="R327" s="663"/>
      <c r="S327" s="663"/>
      <c r="T327" s="663"/>
      <c r="U327" s="663"/>
      <c r="V327" s="663"/>
      <c r="W327" s="663"/>
      <c r="X327" s="663"/>
      <c r="Y327" s="663"/>
      <c r="Z327" s="663"/>
      <c r="AA327" s="663"/>
      <c r="AB327" s="663"/>
      <c r="AC327" s="663"/>
      <c r="AD327" s="663"/>
      <c r="AE327" s="663"/>
      <c r="AF327" s="663"/>
      <c r="AG327" s="663"/>
      <c r="AH327" s="663"/>
      <c r="AI327" s="663"/>
      <c r="AJ327" s="663"/>
      <c r="AK327" s="663"/>
      <c r="AL327" s="663"/>
      <c r="AM327" s="663"/>
      <c r="AN327" s="663"/>
      <c r="AO327" s="663"/>
      <c r="AP327" s="663"/>
      <c r="AQ327" s="663"/>
      <c r="AR327" s="663"/>
      <c r="AS327" s="663"/>
      <c r="AT327" s="663"/>
      <c r="AU327" s="663"/>
      <c r="AV327" s="663"/>
      <c r="AW327" s="663"/>
      <c r="AX327" s="663"/>
      <c r="AY327" s="663"/>
      <c r="AZ327" s="663"/>
      <c r="BA327" s="663"/>
      <c r="BB327" s="663"/>
      <c r="BC327" s="663"/>
      <c r="BD327" s="663"/>
      <c r="BE327" s="663"/>
      <c r="BF327" s="663"/>
      <c r="BG327" s="663"/>
      <c r="BH327" s="663"/>
      <c r="BI327" s="663"/>
      <c r="BJ327" s="663"/>
      <c r="BK327" s="663"/>
      <c r="BL327" s="663"/>
      <c r="BM327" s="663"/>
      <c r="BN327" s="663"/>
      <c r="BO327" s="663"/>
      <c r="BP327" s="663"/>
      <c r="BQ327" s="663"/>
      <c r="BR327" s="663"/>
      <c r="BS327" s="663"/>
      <c r="BT327" s="663"/>
      <c r="BU327" s="663"/>
      <c r="BV327" s="663"/>
      <c r="BW327" s="663"/>
      <c r="BX327" s="663"/>
      <c r="BY327" s="663"/>
      <c r="BZ327" s="663"/>
      <c r="CA327" s="663"/>
      <c r="CB327" s="663"/>
      <c r="CC327" s="663"/>
      <c r="CD327" s="663"/>
      <c r="CE327" s="663"/>
      <c r="CF327" s="663"/>
      <c r="CG327" s="663"/>
      <c r="CH327" s="663"/>
      <c r="CI327" s="663"/>
      <c r="CJ327" s="663"/>
      <c r="CK327" s="663"/>
      <c r="CL327" s="663"/>
      <c r="CM327" s="663"/>
      <c r="CN327" s="663"/>
      <c r="CO327" s="663"/>
      <c r="CP327" s="663"/>
      <c r="CQ327" s="663"/>
      <c r="CR327" s="663"/>
      <c r="CS327" s="663"/>
      <c r="CT327" s="663"/>
      <c r="CU327" s="663"/>
      <c r="CV327" s="663"/>
      <c r="CW327" s="663"/>
      <c r="CX327" s="663"/>
      <c r="CY327" s="663"/>
      <c r="CZ327" s="663"/>
      <c r="DA327" s="663"/>
      <c r="DB327" s="663"/>
      <c r="DC327" s="663"/>
      <c r="DD327" s="663"/>
      <c r="DE327" s="663"/>
      <c r="DF327" s="663"/>
      <c r="DG327" s="663"/>
      <c r="DH327" s="663"/>
      <c r="DI327" s="663"/>
      <c r="DJ327" s="663"/>
      <c r="DK327" s="663"/>
      <c r="DL327" s="663"/>
      <c r="DM327" s="663"/>
      <c r="DN327" s="663"/>
      <c r="DO327" s="663"/>
      <c r="DP327" s="663"/>
      <c r="DQ327" s="663"/>
      <c r="DR327" s="663"/>
      <c r="DS327" s="663"/>
      <c r="DT327" s="663"/>
      <c r="DU327" s="663"/>
      <c r="DV327" s="663"/>
      <c r="DW327" s="663"/>
      <c r="DX327" s="663"/>
      <c r="DY327" s="663"/>
      <c r="DZ327" s="663"/>
      <c r="EA327" s="663"/>
      <c r="EB327" s="663"/>
      <c r="EC327" s="663"/>
      <c r="ED327" s="663"/>
      <c r="EE327" s="663"/>
      <c r="EF327" s="663"/>
      <c r="EG327" s="663"/>
      <c r="EH327" s="663"/>
      <c r="EI327" s="663"/>
      <c r="EJ327" s="663"/>
      <c r="EK327" s="663"/>
      <c r="EL327" s="663"/>
      <c r="EM327" s="663"/>
      <c r="EN327" s="663"/>
      <c r="EO327" s="663"/>
      <c r="EP327" s="663"/>
      <c r="EQ327" s="663"/>
      <c r="ER327" s="663"/>
      <c r="ES327" s="663"/>
      <c r="ET327" s="663"/>
      <c r="EU327" s="663"/>
      <c r="EV327" s="663"/>
      <c r="EW327" s="663"/>
      <c r="EX327" s="663"/>
      <c r="EY327" s="663"/>
      <c r="EZ327" s="663"/>
      <c r="FA327" s="663"/>
      <c r="FB327" s="663"/>
      <c r="FC327" s="663"/>
      <c r="FD327" s="663"/>
      <c r="FE327" s="663"/>
      <c r="FF327" s="663"/>
      <c r="FG327" s="663"/>
      <c r="FH327" s="663"/>
      <c r="FI327" s="663"/>
      <c r="FJ327" s="663"/>
      <c r="FK327" s="663"/>
      <c r="FL327" s="663"/>
      <c r="FM327" s="663"/>
      <c r="FN327" s="663"/>
      <c r="FO327" s="663"/>
      <c r="FP327" s="663"/>
      <c r="FQ327" s="663"/>
      <c r="FR327" s="663"/>
      <c r="FS327" s="663"/>
      <c r="FT327" s="663"/>
      <c r="FU327" s="663"/>
      <c r="FV327" s="663"/>
      <c r="FW327" s="663"/>
      <c r="FX327" s="663"/>
      <c r="FY327" s="663"/>
      <c r="FZ327" s="663"/>
      <c r="GA327" s="663"/>
      <c r="GB327" s="663"/>
      <c r="GC327" s="663"/>
      <c r="GD327" s="663"/>
      <c r="GE327" s="663"/>
      <c r="GF327" s="663"/>
      <c r="GG327" s="663"/>
    </row>
    <row r="328" spans="1:189">
      <c r="A328" s="670"/>
      <c r="B328" s="670"/>
      <c r="C328" s="670"/>
      <c r="D328" s="670"/>
      <c r="E328" s="670"/>
      <c r="F328" s="670"/>
      <c r="G328" s="673"/>
      <c r="H328" s="627"/>
      <c r="I328" s="627"/>
      <c r="J328" s="672"/>
      <c r="K328" s="663"/>
      <c r="L328" s="663"/>
      <c r="M328" s="663"/>
      <c r="N328" s="663"/>
      <c r="O328" s="663"/>
      <c r="P328" s="663"/>
      <c r="Q328" s="663"/>
      <c r="R328" s="663"/>
      <c r="S328" s="663"/>
      <c r="T328" s="663"/>
      <c r="U328" s="663"/>
      <c r="V328" s="663"/>
      <c r="W328" s="663"/>
      <c r="X328" s="663"/>
      <c r="Y328" s="663"/>
      <c r="Z328" s="663"/>
      <c r="AA328" s="663"/>
      <c r="AB328" s="663"/>
      <c r="AC328" s="663"/>
      <c r="AD328" s="663"/>
      <c r="AE328" s="663"/>
      <c r="AF328" s="663"/>
      <c r="AG328" s="663"/>
      <c r="AH328" s="663"/>
      <c r="AI328" s="663"/>
      <c r="AJ328" s="663"/>
      <c r="AK328" s="663"/>
      <c r="AL328" s="663"/>
      <c r="AM328" s="663"/>
      <c r="AN328" s="663"/>
      <c r="AO328" s="663"/>
      <c r="AP328" s="663"/>
      <c r="AQ328" s="663"/>
      <c r="AR328" s="663"/>
      <c r="AS328" s="663"/>
      <c r="AT328" s="663"/>
      <c r="AU328" s="663"/>
      <c r="AV328" s="663"/>
      <c r="AW328" s="663"/>
      <c r="AX328" s="663"/>
      <c r="AY328" s="663"/>
      <c r="AZ328" s="663"/>
      <c r="BA328" s="663"/>
      <c r="BB328" s="663"/>
      <c r="BC328" s="663"/>
      <c r="BD328" s="663"/>
      <c r="BE328" s="663"/>
      <c r="BF328" s="663"/>
      <c r="BG328" s="663"/>
      <c r="BH328" s="663"/>
      <c r="BI328" s="663"/>
      <c r="BJ328" s="663"/>
      <c r="BK328" s="663"/>
      <c r="BL328" s="663"/>
      <c r="BM328" s="663"/>
      <c r="BN328" s="663"/>
      <c r="BO328" s="663"/>
      <c r="BP328" s="663"/>
      <c r="BQ328" s="663"/>
      <c r="BR328" s="663"/>
      <c r="BS328" s="663"/>
      <c r="BT328" s="663"/>
      <c r="BU328" s="663"/>
      <c r="BV328" s="663"/>
      <c r="BW328" s="663"/>
      <c r="BX328" s="663"/>
      <c r="BY328" s="663"/>
      <c r="BZ328" s="663"/>
      <c r="CA328" s="663"/>
      <c r="CB328" s="663"/>
      <c r="CC328" s="663"/>
      <c r="CD328" s="663"/>
      <c r="CE328" s="663"/>
      <c r="CF328" s="663"/>
      <c r="CG328" s="663"/>
      <c r="CH328" s="663"/>
      <c r="CI328" s="663"/>
      <c r="CJ328" s="663"/>
      <c r="CK328" s="663"/>
      <c r="CL328" s="663"/>
      <c r="CM328" s="663"/>
      <c r="CN328" s="663"/>
      <c r="CO328" s="663"/>
      <c r="CP328" s="663"/>
      <c r="CQ328" s="663"/>
      <c r="CR328" s="663"/>
      <c r="CS328" s="663"/>
      <c r="CT328" s="663"/>
      <c r="CU328" s="663"/>
      <c r="CV328" s="663"/>
      <c r="CW328" s="663"/>
      <c r="CX328" s="663"/>
      <c r="CY328" s="663"/>
      <c r="CZ328" s="663"/>
      <c r="DA328" s="663"/>
      <c r="DB328" s="663"/>
      <c r="DC328" s="663"/>
      <c r="DD328" s="663"/>
      <c r="DE328" s="663"/>
      <c r="DF328" s="663"/>
      <c r="DG328" s="663"/>
      <c r="DH328" s="663"/>
      <c r="DI328" s="663"/>
      <c r="DJ328" s="663"/>
      <c r="DK328" s="663"/>
      <c r="DL328" s="663"/>
      <c r="DM328" s="663"/>
      <c r="DN328" s="663"/>
      <c r="DO328" s="663"/>
      <c r="DP328" s="663"/>
      <c r="DQ328" s="663"/>
      <c r="DR328" s="663"/>
      <c r="DS328" s="663"/>
      <c r="DT328" s="663"/>
      <c r="DU328" s="663"/>
      <c r="DV328" s="663"/>
      <c r="DW328" s="663"/>
      <c r="DX328" s="663"/>
      <c r="DY328" s="663"/>
      <c r="DZ328" s="663"/>
      <c r="EA328" s="663"/>
      <c r="EB328" s="663"/>
      <c r="EC328" s="663"/>
      <c r="ED328" s="663"/>
      <c r="EE328" s="663"/>
      <c r="EF328" s="663"/>
      <c r="EG328" s="663"/>
      <c r="EH328" s="663"/>
      <c r="EI328" s="663"/>
      <c r="EJ328" s="663"/>
      <c r="EK328" s="663"/>
      <c r="EL328" s="663"/>
      <c r="EM328" s="663"/>
      <c r="EN328" s="663"/>
      <c r="EO328" s="663"/>
      <c r="EP328" s="663"/>
      <c r="EQ328" s="663"/>
      <c r="ER328" s="663"/>
      <c r="ES328" s="663"/>
      <c r="ET328" s="663"/>
      <c r="EU328" s="663"/>
      <c r="EV328" s="663"/>
      <c r="EW328" s="663"/>
      <c r="EX328" s="663"/>
      <c r="EY328" s="663"/>
      <c r="EZ328" s="663"/>
      <c r="FA328" s="663"/>
      <c r="FB328" s="663"/>
      <c r="FC328" s="663"/>
      <c r="FD328" s="663"/>
      <c r="FE328" s="663"/>
      <c r="FF328" s="663"/>
      <c r="FG328" s="663"/>
      <c r="FH328" s="663"/>
      <c r="FI328" s="663"/>
      <c r="FJ328" s="663"/>
      <c r="FK328" s="663"/>
      <c r="FL328" s="663"/>
      <c r="FM328" s="663"/>
      <c r="FN328" s="663"/>
      <c r="FO328" s="663"/>
      <c r="FP328" s="663"/>
      <c r="FQ328" s="663"/>
      <c r="FR328" s="663"/>
      <c r="FS328" s="663"/>
      <c r="FT328" s="663"/>
      <c r="FU328" s="663"/>
      <c r="FV328" s="663"/>
      <c r="FW328" s="663"/>
      <c r="FX328" s="663"/>
      <c r="FY328" s="663"/>
      <c r="FZ328" s="663"/>
      <c r="GA328" s="663"/>
      <c r="GB328" s="663"/>
      <c r="GC328" s="663"/>
      <c r="GD328" s="663"/>
      <c r="GE328" s="663"/>
      <c r="GF328" s="663"/>
      <c r="GG328" s="663"/>
    </row>
    <row r="329" spans="1:189">
      <c r="A329" s="670"/>
      <c r="B329" s="670"/>
      <c r="C329" s="670"/>
      <c r="D329" s="670"/>
      <c r="E329" s="670"/>
      <c r="F329" s="670"/>
      <c r="G329" s="673"/>
      <c r="H329" s="627"/>
      <c r="I329" s="627"/>
      <c r="J329" s="672"/>
      <c r="K329" s="663"/>
      <c r="L329" s="663"/>
      <c r="M329" s="663"/>
      <c r="N329" s="663"/>
      <c r="O329" s="663"/>
      <c r="P329" s="663"/>
      <c r="Q329" s="663"/>
      <c r="R329" s="663"/>
      <c r="S329" s="663"/>
      <c r="T329" s="663"/>
      <c r="U329" s="663"/>
      <c r="V329" s="663"/>
      <c r="W329" s="663"/>
      <c r="X329" s="663"/>
      <c r="Y329" s="663"/>
      <c r="Z329" s="663"/>
      <c r="AA329" s="663"/>
      <c r="AB329" s="663"/>
      <c r="AC329" s="663"/>
      <c r="AD329" s="663"/>
      <c r="AE329" s="663"/>
      <c r="AF329" s="663"/>
      <c r="AG329" s="663"/>
      <c r="AH329" s="663"/>
      <c r="AI329" s="663"/>
      <c r="AJ329" s="663"/>
      <c r="AK329" s="663"/>
      <c r="AL329" s="663"/>
      <c r="AM329" s="663"/>
      <c r="AN329" s="663"/>
      <c r="AO329" s="663"/>
      <c r="AP329" s="663"/>
      <c r="AQ329" s="663"/>
      <c r="AR329" s="663"/>
      <c r="AS329" s="663"/>
      <c r="AT329" s="663"/>
      <c r="AU329" s="663"/>
      <c r="AV329" s="663"/>
      <c r="AW329" s="663"/>
      <c r="AX329" s="663"/>
      <c r="AY329" s="663"/>
      <c r="AZ329" s="663"/>
      <c r="BA329" s="663"/>
      <c r="BB329" s="663"/>
      <c r="BC329" s="663"/>
      <c r="BD329" s="663"/>
      <c r="BE329" s="663"/>
      <c r="BF329" s="663"/>
      <c r="BG329" s="663"/>
      <c r="BH329" s="663"/>
      <c r="BI329" s="663"/>
      <c r="BJ329" s="663"/>
      <c r="BK329" s="663"/>
      <c r="BL329" s="663"/>
      <c r="BM329" s="663"/>
      <c r="BN329" s="663"/>
      <c r="BO329" s="663"/>
      <c r="BP329" s="663"/>
      <c r="BQ329" s="663"/>
      <c r="BR329" s="663"/>
      <c r="BS329" s="663"/>
      <c r="BT329" s="663"/>
      <c r="BU329" s="663"/>
      <c r="BV329" s="663"/>
      <c r="BW329" s="663"/>
      <c r="BX329" s="663"/>
      <c r="BY329" s="663"/>
      <c r="BZ329" s="663"/>
      <c r="CA329" s="663"/>
      <c r="CB329" s="663"/>
      <c r="CC329" s="663"/>
      <c r="CD329" s="663"/>
      <c r="CE329" s="663"/>
      <c r="CF329" s="663"/>
      <c r="CG329" s="663"/>
      <c r="CH329" s="663"/>
      <c r="CI329" s="663"/>
      <c r="CJ329" s="663"/>
      <c r="CK329" s="663"/>
      <c r="CL329" s="663"/>
      <c r="CM329" s="663"/>
      <c r="CN329" s="663"/>
      <c r="CO329" s="663"/>
      <c r="CP329" s="663"/>
      <c r="CQ329" s="663"/>
      <c r="CR329" s="663"/>
      <c r="CS329" s="663"/>
      <c r="CT329" s="663"/>
      <c r="CU329" s="663"/>
      <c r="CV329" s="663"/>
      <c r="CW329" s="663"/>
      <c r="CX329" s="663"/>
      <c r="CY329" s="663"/>
      <c r="CZ329" s="663"/>
      <c r="DA329" s="663"/>
      <c r="DB329" s="663"/>
      <c r="DC329" s="663"/>
      <c r="DD329" s="663"/>
      <c r="DE329" s="663"/>
      <c r="DF329" s="663"/>
      <c r="DG329" s="663"/>
      <c r="DH329" s="663"/>
      <c r="DI329" s="663"/>
      <c r="DJ329" s="663"/>
      <c r="DK329" s="663"/>
      <c r="DL329" s="663"/>
      <c r="DM329" s="663"/>
      <c r="DN329" s="663"/>
      <c r="DO329" s="663"/>
      <c r="DP329" s="663"/>
      <c r="DQ329" s="663"/>
      <c r="DR329" s="663"/>
      <c r="DS329" s="663"/>
      <c r="DT329" s="663"/>
      <c r="DU329" s="663"/>
      <c r="DV329" s="663"/>
      <c r="DW329" s="663"/>
      <c r="DX329" s="663"/>
      <c r="DY329" s="663"/>
      <c r="DZ329" s="663"/>
      <c r="EA329" s="663"/>
      <c r="EB329" s="663"/>
      <c r="EC329" s="663"/>
      <c r="ED329" s="663"/>
      <c r="EE329" s="663"/>
      <c r="EF329" s="663"/>
      <c r="EG329" s="663"/>
      <c r="EH329" s="663"/>
      <c r="EI329" s="663"/>
      <c r="EJ329" s="663"/>
      <c r="EK329" s="663"/>
      <c r="EL329" s="663"/>
      <c r="EM329" s="663"/>
      <c r="EN329" s="663"/>
      <c r="EO329" s="663"/>
      <c r="EP329" s="663"/>
      <c r="EQ329" s="663"/>
      <c r="ER329" s="663"/>
      <c r="ES329" s="663"/>
      <c r="ET329" s="663"/>
      <c r="EU329" s="663"/>
      <c r="EV329" s="663"/>
      <c r="EW329" s="663"/>
      <c r="EX329" s="663"/>
      <c r="EY329" s="663"/>
      <c r="EZ329" s="663"/>
      <c r="FA329" s="663"/>
      <c r="FB329" s="663"/>
      <c r="FC329" s="663"/>
      <c r="FD329" s="663"/>
      <c r="FE329" s="663"/>
      <c r="FF329" s="663"/>
      <c r="FG329" s="663"/>
      <c r="FH329" s="663"/>
      <c r="FI329" s="663"/>
      <c r="FJ329" s="663"/>
      <c r="FK329" s="663"/>
      <c r="FL329" s="663"/>
      <c r="FM329" s="663"/>
      <c r="FN329" s="663"/>
      <c r="FO329" s="663"/>
      <c r="FP329" s="663"/>
      <c r="FQ329" s="663"/>
      <c r="FR329" s="663"/>
      <c r="FS329" s="663"/>
      <c r="FT329" s="663"/>
      <c r="FU329" s="663"/>
      <c r="FV329" s="663"/>
      <c r="FW329" s="663"/>
      <c r="FX329" s="663"/>
      <c r="FY329" s="663"/>
      <c r="FZ329" s="663"/>
      <c r="GA329" s="663"/>
      <c r="GB329" s="663"/>
      <c r="GC329" s="663"/>
      <c r="GD329" s="663"/>
      <c r="GE329" s="663"/>
      <c r="GF329" s="663"/>
      <c r="GG329" s="663"/>
    </row>
    <row r="330" spans="1:189">
      <c r="A330" s="670"/>
      <c r="B330" s="670"/>
      <c r="C330" s="670"/>
      <c r="D330" s="670"/>
      <c r="E330" s="670"/>
      <c r="F330" s="670"/>
      <c r="G330" s="673"/>
      <c r="H330" s="627"/>
      <c r="I330" s="627"/>
      <c r="J330" s="672"/>
      <c r="K330" s="663"/>
      <c r="L330" s="663"/>
      <c r="M330" s="663"/>
      <c r="N330" s="663"/>
      <c r="O330" s="663"/>
      <c r="P330" s="663"/>
      <c r="Q330" s="663"/>
      <c r="R330" s="663"/>
      <c r="S330" s="663"/>
      <c r="T330" s="663"/>
      <c r="U330" s="663"/>
      <c r="V330" s="663"/>
      <c r="W330" s="663"/>
      <c r="X330" s="663"/>
      <c r="Y330" s="663"/>
      <c r="Z330" s="663"/>
      <c r="AA330" s="663"/>
      <c r="AB330" s="663"/>
      <c r="AC330" s="663"/>
      <c r="AD330" s="663"/>
      <c r="AE330" s="663"/>
      <c r="AF330" s="663"/>
      <c r="AG330" s="663"/>
      <c r="AH330" s="663"/>
      <c r="AI330" s="663"/>
      <c r="AJ330" s="663"/>
      <c r="AK330" s="663"/>
      <c r="AL330" s="663"/>
      <c r="AM330" s="663"/>
      <c r="AN330" s="663"/>
      <c r="AO330" s="663"/>
      <c r="AP330" s="663"/>
      <c r="AQ330" s="663"/>
      <c r="AR330" s="663"/>
      <c r="AS330" s="663"/>
      <c r="AT330" s="663"/>
      <c r="AU330" s="663"/>
      <c r="AV330" s="663"/>
      <c r="AW330" s="663"/>
      <c r="AX330" s="663"/>
      <c r="AY330" s="663"/>
      <c r="AZ330" s="663"/>
      <c r="BA330" s="663"/>
      <c r="BB330" s="663"/>
      <c r="BC330" s="663"/>
      <c r="BD330" s="663"/>
      <c r="BE330" s="663"/>
      <c r="BF330" s="663"/>
      <c r="BG330" s="663"/>
      <c r="BH330" s="663"/>
      <c r="BI330" s="663"/>
      <c r="BJ330" s="663"/>
      <c r="BK330" s="663"/>
      <c r="BL330" s="663"/>
      <c r="BM330" s="663"/>
      <c r="BN330" s="663"/>
      <c r="BO330" s="663"/>
      <c r="BP330" s="663"/>
      <c r="BQ330" s="663"/>
      <c r="BR330" s="663"/>
      <c r="BS330" s="663"/>
      <c r="BT330" s="663"/>
      <c r="BU330" s="663"/>
      <c r="BV330" s="663"/>
      <c r="BW330" s="663"/>
      <c r="BX330" s="663"/>
      <c r="BY330" s="663"/>
      <c r="BZ330" s="663"/>
      <c r="CA330" s="663"/>
      <c r="CB330" s="663"/>
      <c r="CC330" s="663"/>
      <c r="CD330" s="663"/>
      <c r="CE330" s="663"/>
      <c r="CF330" s="663"/>
      <c r="CG330" s="663"/>
      <c r="CH330" s="663"/>
      <c r="CI330" s="663"/>
      <c r="CJ330" s="663"/>
      <c r="CK330" s="663"/>
      <c r="CL330" s="663"/>
      <c r="CM330" s="663"/>
      <c r="CN330" s="663"/>
      <c r="CO330" s="663"/>
      <c r="CP330" s="663"/>
      <c r="CQ330" s="663"/>
      <c r="CR330" s="663"/>
      <c r="CS330" s="663"/>
      <c r="CT330" s="663"/>
      <c r="CU330" s="663"/>
      <c r="CV330" s="663"/>
      <c r="CW330" s="663"/>
      <c r="CX330" s="663"/>
      <c r="CY330" s="663"/>
      <c r="CZ330" s="663"/>
      <c r="DA330" s="663"/>
      <c r="DB330" s="663"/>
      <c r="DC330" s="663"/>
      <c r="DD330" s="663"/>
      <c r="DE330" s="663"/>
      <c r="DF330" s="663"/>
      <c r="DG330" s="663"/>
      <c r="DH330" s="663"/>
      <c r="DI330" s="663"/>
      <c r="DJ330" s="663"/>
      <c r="DK330" s="663"/>
      <c r="DL330" s="663"/>
      <c r="DM330" s="663"/>
      <c r="DN330" s="663"/>
      <c r="DO330" s="663"/>
      <c r="DP330" s="663"/>
      <c r="DQ330" s="663"/>
      <c r="DR330" s="663"/>
      <c r="DS330" s="663"/>
      <c r="DT330" s="663"/>
      <c r="DU330" s="663"/>
      <c r="DV330" s="663"/>
      <c r="DW330" s="663"/>
      <c r="DX330" s="663"/>
      <c r="DY330" s="663"/>
      <c r="DZ330" s="663"/>
      <c r="EA330" s="663"/>
      <c r="EB330" s="663"/>
      <c r="EC330" s="663"/>
      <c r="ED330" s="663"/>
      <c r="EE330" s="663"/>
      <c r="EF330" s="663"/>
      <c r="EG330" s="663"/>
      <c r="EH330" s="663"/>
      <c r="EI330" s="663"/>
      <c r="EJ330" s="663"/>
      <c r="EK330" s="663"/>
      <c r="EL330" s="663"/>
      <c r="EM330" s="663"/>
      <c r="EN330" s="663"/>
      <c r="EO330" s="663"/>
      <c r="EP330" s="663"/>
      <c r="EQ330" s="663"/>
      <c r="ER330" s="663"/>
      <c r="ES330" s="663"/>
      <c r="ET330" s="663"/>
      <c r="EU330" s="663"/>
      <c r="EV330" s="663"/>
      <c r="EW330" s="663"/>
      <c r="EX330" s="663"/>
      <c r="EY330" s="663"/>
      <c r="EZ330" s="663"/>
      <c r="FA330" s="663"/>
      <c r="FB330" s="663"/>
      <c r="FC330" s="663"/>
      <c r="FD330" s="663"/>
      <c r="FE330" s="663"/>
      <c r="FF330" s="663"/>
      <c r="FG330" s="663"/>
      <c r="FH330" s="663"/>
      <c r="FI330" s="663"/>
      <c r="FJ330" s="663"/>
      <c r="FK330" s="663"/>
      <c r="FL330" s="663"/>
      <c r="FM330" s="663"/>
      <c r="FN330" s="663"/>
      <c r="FO330" s="663"/>
      <c r="FP330" s="663"/>
      <c r="FQ330" s="663"/>
      <c r="FR330" s="663"/>
      <c r="FS330" s="663"/>
      <c r="FT330" s="663"/>
      <c r="FU330" s="663"/>
      <c r="FV330" s="663"/>
      <c r="FW330" s="663"/>
      <c r="FX330" s="663"/>
      <c r="FY330" s="663"/>
      <c r="FZ330" s="663"/>
      <c r="GA330" s="663"/>
      <c r="GB330" s="663"/>
      <c r="GC330" s="663"/>
      <c r="GD330" s="663"/>
      <c r="GE330" s="663"/>
      <c r="GF330" s="663"/>
      <c r="GG330" s="663"/>
    </row>
    <row r="331" spans="1:189">
      <c r="A331" s="670"/>
      <c r="B331" s="670"/>
      <c r="C331" s="670"/>
      <c r="D331" s="670"/>
      <c r="E331" s="670"/>
      <c r="F331" s="670"/>
      <c r="G331" s="673"/>
      <c r="H331" s="627"/>
      <c r="I331" s="627"/>
      <c r="J331" s="672"/>
      <c r="K331" s="663"/>
      <c r="L331" s="663"/>
      <c r="M331" s="663"/>
      <c r="N331" s="663"/>
      <c r="O331" s="663"/>
      <c r="P331" s="663"/>
      <c r="Q331" s="663"/>
      <c r="R331" s="663"/>
      <c r="S331" s="663"/>
      <c r="T331" s="663"/>
      <c r="U331" s="663"/>
      <c r="V331" s="663"/>
      <c r="W331" s="663"/>
      <c r="X331" s="663"/>
      <c r="Y331" s="663"/>
      <c r="Z331" s="663"/>
      <c r="AA331" s="663"/>
      <c r="AB331" s="663"/>
      <c r="AC331" s="663"/>
      <c r="AD331" s="663"/>
      <c r="AE331" s="663"/>
      <c r="AF331" s="663"/>
      <c r="AG331" s="663"/>
      <c r="AH331" s="663"/>
      <c r="AI331" s="663"/>
      <c r="AJ331" s="663"/>
      <c r="AK331" s="663"/>
      <c r="AL331" s="663"/>
      <c r="AM331" s="663"/>
      <c r="AN331" s="663"/>
      <c r="AO331" s="663"/>
      <c r="AP331" s="663"/>
      <c r="AQ331" s="663"/>
      <c r="AR331" s="663"/>
      <c r="AS331" s="663"/>
      <c r="AT331" s="663"/>
      <c r="AU331" s="663"/>
      <c r="AV331" s="663"/>
      <c r="AW331" s="663"/>
      <c r="AX331" s="663"/>
      <c r="AY331" s="663"/>
      <c r="AZ331" s="663"/>
      <c r="BA331" s="663"/>
      <c r="BB331" s="663"/>
      <c r="BC331" s="663"/>
      <c r="BD331" s="663"/>
      <c r="BE331" s="663"/>
      <c r="BF331" s="663"/>
      <c r="BG331" s="663"/>
      <c r="BH331" s="663"/>
      <c r="BI331" s="663"/>
      <c r="BJ331" s="663"/>
      <c r="BK331" s="663"/>
      <c r="BL331" s="663"/>
      <c r="BM331" s="663"/>
      <c r="BN331" s="663"/>
      <c r="BO331" s="663"/>
      <c r="BP331" s="663"/>
      <c r="BQ331" s="663"/>
      <c r="BR331" s="663"/>
      <c r="BS331" s="663"/>
      <c r="BT331" s="663"/>
      <c r="BU331" s="663"/>
      <c r="BV331" s="663"/>
      <c r="BW331" s="663"/>
      <c r="BX331" s="663"/>
      <c r="BY331" s="663"/>
      <c r="BZ331" s="663"/>
      <c r="CA331" s="663"/>
      <c r="CB331" s="663"/>
      <c r="CC331" s="663"/>
      <c r="CD331" s="663"/>
      <c r="CE331" s="663"/>
      <c r="CF331" s="663"/>
      <c r="CG331" s="663"/>
      <c r="CH331" s="663"/>
      <c r="CI331" s="663"/>
      <c r="CJ331" s="663"/>
      <c r="CK331" s="663"/>
      <c r="CL331" s="663"/>
      <c r="CM331" s="663"/>
      <c r="CN331" s="663"/>
      <c r="CO331" s="663"/>
      <c r="CP331" s="663"/>
      <c r="CQ331" s="663"/>
      <c r="CR331" s="663"/>
      <c r="CS331" s="663"/>
      <c r="CT331" s="663"/>
      <c r="CU331" s="663"/>
      <c r="CV331" s="663"/>
      <c r="CW331" s="663"/>
      <c r="CX331" s="663"/>
      <c r="CY331" s="663"/>
      <c r="CZ331" s="663"/>
      <c r="DA331" s="663"/>
      <c r="DB331" s="663"/>
      <c r="DC331" s="663"/>
      <c r="DD331" s="663"/>
      <c r="DE331" s="663"/>
      <c r="DF331" s="663"/>
      <c r="DG331" s="663"/>
      <c r="DH331" s="663"/>
      <c r="DI331" s="663"/>
      <c r="DJ331" s="663"/>
      <c r="DK331" s="663"/>
      <c r="DL331" s="663"/>
      <c r="DM331" s="663"/>
      <c r="DN331" s="663"/>
      <c r="DO331" s="663"/>
      <c r="DP331" s="663"/>
      <c r="DQ331" s="663"/>
      <c r="DR331" s="663"/>
      <c r="DS331" s="663"/>
      <c r="DT331" s="663"/>
      <c r="DU331" s="663"/>
      <c r="DV331" s="663"/>
      <c r="DW331" s="663"/>
      <c r="DX331" s="663"/>
      <c r="DY331" s="663"/>
      <c r="DZ331" s="663"/>
      <c r="EA331" s="663"/>
      <c r="EB331" s="663"/>
      <c r="EC331" s="663"/>
      <c r="ED331" s="663"/>
      <c r="EE331" s="663"/>
      <c r="EF331" s="663"/>
      <c r="EG331" s="663"/>
      <c r="EH331" s="663"/>
      <c r="EI331" s="663"/>
      <c r="EJ331" s="663"/>
      <c r="EK331" s="663"/>
      <c r="EL331" s="663"/>
      <c r="EM331" s="663"/>
      <c r="EN331" s="663"/>
      <c r="EO331" s="663"/>
      <c r="EP331" s="663"/>
      <c r="EQ331" s="663"/>
      <c r="ER331" s="663"/>
      <c r="ES331" s="663"/>
      <c r="ET331" s="663"/>
      <c r="EU331" s="663"/>
      <c r="EV331" s="663"/>
      <c r="EW331" s="663"/>
      <c r="EX331" s="663"/>
      <c r="EY331" s="663"/>
      <c r="EZ331" s="663"/>
      <c r="FA331" s="663"/>
      <c r="FB331" s="663"/>
      <c r="FC331" s="663"/>
      <c r="FD331" s="663"/>
      <c r="FE331" s="663"/>
      <c r="FF331" s="663"/>
      <c r="FG331" s="663"/>
      <c r="FH331" s="663"/>
      <c r="FI331" s="663"/>
      <c r="FJ331" s="663"/>
      <c r="FK331" s="663"/>
      <c r="FL331" s="663"/>
      <c r="FM331" s="663"/>
      <c r="FN331" s="663"/>
      <c r="FO331" s="663"/>
      <c r="FP331" s="663"/>
      <c r="FQ331" s="663"/>
      <c r="FR331" s="663"/>
      <c r="FS331" s="663"/>
      <c r="FT331" s="663"/>
      <c r="FU331" s="663"/>
      <c r="FV331" s="663"/>
      <c r="FW331" s="663"/>
      <c r="FX331" s="663"/>
      <c r="FY331" s="663"/>
      <c r="FZ331" s="663"/>
      <c r="GA331" s="663"/>
      <c r="GB331" s="663"/>
      <c r="GC331" s="663"/>
      <c r="GD331" s="663"/>
      <c r="GE331" s="663"/>
      <c r="GF331" s="663"/>
      <c r="GG331" s="663"/>
    </row>
    <row r="332" spans="1:189">
      <c r="A332" s="670"/>
      <c r="B332" s="670"/>
      <c r="C332" s="670"/>
      <c r="D332" s="670"/>
      <c r="E332" s="670"/>
      <c r="F332" s="670"/>
      <c r="G332" s="673"/>
      <c r="H332" s="627"/>
      <c r="I332" s="627"/>
      <c r="J332" s="672"/>
      <c r="K332" s="663"/>
      <c r="L332" s="663"/>
      <c r="M332" s="663"/>
      <c r="N332" s="663"/>
      <c r="O332" s="663"/>
      <c r="P332" s="663"/>
      <c r="Q332" s="663"/>
      <c r="R332" s="663"/>
      <c r="S332" s="663"/>
      <c r="T332" s="663"/>
      <c r="U332" s="663"/>
      <c r="V332" s="663"/>
      <c r="W332" s="663"/>
      <c r="X332" s="663"/>
      <c r="Y332" s="663"/>
      <c r="Z332" s="663"/>
      <c r="AA332" s="663"/>
      <c r="AB332" s="663"/>
      <c r="AC332" s="663"/>
      <c r="AD332" s="663"/>
      <c r="AE332" s="663"/>
      <c r="AF332" s="663"/>
      <c r="AG332" s="663"/>
      <c r="AH332" s="663"/>
      <c r="AI332" s="663"/>
      <c r="AJ332" s="663"/>
      <c r="AK332" s="663"/>
      <c r="AL332" s="663"/>
      <c r="AM332" s="663"/>
      <c r="AN332" s="663"/>
      <c r="AO332" s="663"/>
      <c r="AP332" s="663"/>
      <c r="AQ332" s="663"/>
      <c r="AR332" s="663"/>
      <c r="AS332" s="663"/>
      <c r="AT332" s="663"/>
      <c r="AU332" s="663"/>
      <c r="AV332" s="663"/>
      <c r="AW332" s="663"/>
      <c r="AX332" s="663"/>
      <c r="AY332" s="663"/>
      <c r="AZ332" s="663"/>
      <c r="BA332" s="663"/>
      <c r="BB332" s="663"/>
      <c r="BC332" s="663"/>
      <c r="BD332" s="663"/>
      <c r="BE332" s="663"/>
      <c r="BF332" s="663"/>
      <c r="BG332" s="663"/>
      <c r="BH332" s="663"/>
      <c r="BI332" s="663"/>
      <c r="BJ332" s="663"/>
      <c r="BK332" s="663"/>
      <c r="BL332" s="663"/>
      <c r="BM332" s="663"/>
      <c r="BN332" s="663"/>
      <c r="BO332" s="663"/>
      <c r="BP332" s="663"/>
      <c r="BQ332" s="663"/>
      <c r="BR332" s="663"/>
      <c r="BS332" s="663"/>
      <c r="BT332" s="663"/>
      <c r="BU332" s="663"/>
      <c r="BV332" s="663"/>
      <c r="BW332" s="663"/>
      <c r="BX332" s="663"/>
      <c r="BY332" s="663"/>
      <c r="BZ332" s="663"/>
      <c r="CA332" s="663"/>
      <c r="CB332" s="663"/>
      <c r="CC332" s="663"/>
      <c r="CD332" s="663"/>
      <c r="CE332" s="663"/>
      <c r="CF332" s="663"/>
      <c r="CG332" s="663"/>
      <c r="CH332" s="663"/>
      <c r="CI332" s="663"/>
      <c r="CJ332" s="663"/>
      <c r="CK332" s="663"/>
      <c r="CL332" s="663"/>
      <c r="CM332" s="663"/>
      <c r="CN332" s="663"/>
      <c r="CO332" s="663"/>
      <c r="CP332" s="663"/>
      <c r="CQ332" s="663"/>
      <c r="CR332" s="663"/>
      <c r="CS332" s="663"/>
      <c r="CT332" s="663"/>
      <c r="CU332" s="663"/>
      <c r="CV332" s="663"/>
      <c r="CW332" s="663"/>
      <c r="CX332" s="663"/>
      <c r="CY332" s="663"/>
      <c r="CZ332" s="663"/>
      <c r="DA332" s="663"/>
      <c r="DB332" s="663"/>
      <c r="DC332" s="663"/>
      <c r="DD332" s="663"/>
      <c r="DE332" s="663"/>
      <c r="DF332" s="663"/>
      <c r="DG332" s="663"/>
      <c r="DH332" s="663"/>
      <c r="DI332" s="663"/>
      <c r="DJ332" s="663"/>
      <c r="DK332" s="663"/>
      <c r="DL332" s="663"/>
      <c r="DM332" s="663"/>
      <c r="DN332" s="663"/>
      <c r="DO332" s="663"/>
      <c r="DP332" s="663"/>
      <c r="DQ332" s="663"/>
      <c r="DR332" s="663"/>
      <c r="DS332" s="663"/>
      <c r="DT332" s="663"/>
      <c r="DU332" s="663"/>
      <c r="DV332" s="663"/>
      <c r="DW332" s="663"/>
      <c r="DX332" s="663"/>
      <c r="DY332" s="663"/>
      <c r="DZ332" s="663"/>
      <c r="EA332" s="663"/>
      <c r="EB332" s="663"/>
      <c r="EC332" s="663"/>
      <c r="ED332" s="663"/>
      <c r="EE332" s="663"/>
      <c r="EF332" s="663"/>
      <c r="EG332" s="663"/>
      <c r="EH332" s="663"/>
      <c r="EI332" s="663"/>
      <c r="EJ332" s="663"/>
      <c r="EK332" s="663"/>
      <c r="EL332" s="663"/>
      <c r="EM332" s="663"/>
      <c r="EN332" s="663"/>
      <c r="EO332" s="663"/>
      <c r="EP332" s="663"/>
      <c r="EQ332" s="663"/>
      <c r="ER332" s="663"/>
      <c r="ES332" s="663"/>
      <c r="ET332" s="663"/>
      <c r="EU332" s="663"/>
      <c r="EV332" s="663"/>
      <c r="EW332" s="663"/>
      <c r="EX332" s="663"/>
      <c r="EY332" s="663"/>
      <c r="EZ332" s="663"/>
      <c r="FA332" s="663"/>
      <c r="FB332" s="663"/>
      <c r="FC332" s="663"/>
      <c r="FD332" s="663"/>
      <c r="FE332" s="663"/>
      <c r="FF332" s="663"/>
      <c r="FG332" s="663"/>
      <c r="FH332" s="663"/>
      <c r="FI332" s="663"/>
      <c r="FJ332" s="663"/>
      <c r="FK332" s="663"/>
      <c r="FL332" s="663"/>
      <c r="FM332" s="663"/>
      <c r="FN332" s="663"/>
      <c r="FO332" s="663"/>
      <c r="FP332" s="663"/>
      <c r="FQ332" s="663"/>
      <c r="FR332" s="663"/>
      <c r="FS332" s="663"/>
      <c r="FT332" s="663"/>
      <c r="FU332" s="663"/>
      <c r="FV332" s="663"/>
      <c r="FW332" s="663"/>
      <c r="FX332" s="663"/>
      <c r="FY332" s="663"/>
      <c r="FZ332" s="663"/>
      <c r="GA332" s="663"/>
      <c r="GB332" s="663"/>
      <c r="GC332" s="663"/>
      <c r="GD332" s="663"/>
      <c r="GE332" s="663"/>
      <c r="GF332" s="663"/>
      <c r="GG332" s="663"/>
    </row>
    <row r="333" spans="1:189">
      <c r="A333" s="670"/>
      <c r="B333" s="670"/>
      <c r="C333" s="670"/>
      <c r="D333" s="670"/>
      <c r="E333" s="670"/>
      <c r="F333" s="670"/>
      <c r="G333" s="673"/>
      <c r="H333" s="627"/>
      <c r="I333" s="627"/>
      <c r="J333" s="672"/>
      <c r="K333" s="663"/>
      <c r="L333" s="663"/>
      <c r="M333" s="663"/>
      <c r="N333" s="663"/>
      <c r="O333" s="663"/>
      <c r="P333" s="663"/>
      <c r="Q333" s="663"/>
      <c r="R333" s="663"/>
      <c r="S333" s="663"/>
      <c r="T333" s="663"/>
      <c r="U333" s="663"/>
      <c r="V333" s="663"/>
      <c r="W333" s="663"/>
      <c r="X333" s="663"/>
      <c r="Y333" s="663"/>
      <c r="Z333" s="663"/>
      <c r="AA333" s="663"/>
      <c r="AB333" s="663"/>
      <c r="AC333" s="663"/>
      <c r="AD333" s="663"/>
      <c r="AE333" s="663"/>
      <c r="AF333" s="663"/>
      <c r="AG333" s="663"/>
      <c r="AH333" s="663"/>
      <c r="AI333" s="663"/>
      <c r="AJ333" s="663"/>
      <c r="AK333" s="663"/>
      <c r="AL333" s="663"/>
      <c r="AM333" s="663"/>
      <c r="AN333" s="663"/>
      <c r="AO333" s="663"/>
      <c r="AP333" s="663"/>
      <c r="AQ333" s="663"/>
      <c r="AR333" s="663"/>
      <c r="AS333" s="663"/>
      <c r="AT333" s="663"/>
      <c r="AU333" s="663"/>
      <c r="AV333" s="663"/>
      <c r="AW333" s="663"/>
      <c r="AX333" s="663"/>
      <c r="AY333" s="663"/>
      <c r="AZ333" s="663"/>
      <c r="BA333" s="663"/>
      <c r="BB333" s="663"/>
      <c r="BC333" s="663"/>
      <c r="BD333" s="663"/>
      <c r="BE333" s="663"/>
      <c r="BF333" s="663"/>
      <c r="BG333" s="663"/>
      <c r="BH333" s="663"/>
      <c r="BI333" s="663"/>
      <c r="BJ333" s="663"/>
      <c r="BK333" s="663"/>
      <c r="BL333" s="663"/>
      <c r="BM333" s="663"/>
      <c r="BN333" s="663"/>
      <c r="BO333" s="663"/>
      <c r="BP333" s="663"/>
      <c r="BQ333" s="663"/>
      <c r="BR333" s="663"/>
      <c r="BS333" s="663"/>
      <c r="BT333" s="663"/>
      <c r="BU333" s="663"/>
      <c r="BV333" s="663"/>
      <c r="BW333" s="663"/>
      <c r="BX333" s="663"/>
      <c r="BY333" s="663"/>
      <c r="BZ333" s="663"/>
      <c r="CA333" s="663"/>
      <c r="CB333" s="663"/>
      <c r="CC333" s="663"/>
      <c r="CD333" s="663"/>
      <c r="CE333" s="663"/>
      <c r="CF333" s="663"/>
      <c r="CG333" s="663"/>
      <c r="CH333" s="663"/>
      <c r="CI333" s="663"/>
      <c r="CJ333" s="663"/>
      <c r="CK333" s="663"/>
      <c r="CL333" s="663"/>
      <c r="CM333" s="663"/>
      <c r="CN333" s="663"/>
      <c r="CO333" s="663"/>
      <c r="CP333" s="663"/>
      <c r="CQ333" s="663"/>
      <c r="CR333" s="663"/>
      <c r="CS333" s="663"/>
      <c r="CT333" s="663"/>
      <c r="CU333" s="663"/>
      <c r="CV333" s="663"/>
      <c r="CW333" s="663"/>
      <c r="CX333" s="663"/>
      <c r="CY333" s="663"/>
      <c r="CZ333" s="663"/>
      <c r="DA333" s="663"/>
      <c r="DB333" s="663"/>
      <c r="DC333" s="663"/>
      <c r="DD333" s="663"/>
      <c r="DE333" s="663"/>
      <c r="DF333" s="663"/>
      <c r="DG333" s="663"/>
      <c r="DH333" s="663"/>
      <c r="DI333" s="663"/>
      <c r="DJ333" s="663"/>
      <c r="DK333" s="663"/>
      <c r="DL333" s="663"/>
      <c r="DM333" s="663"/>
      <c r="DN333" s="663"/>
      <c r="DO333" s="663"/>
      <c r="DP333" s="663"/>
      <c r="DQ333" s="663"/>
      <c r="DR333" s="663"/>
      <c r="DS333" s="663"/>
      <c r="DT333" s="663"/>
      <c r="DU333" s="663"/>
      <c r="DV333" s="663"/>
      <c r="DW333" s="663"/>
      <c r="DX333" s="663"/>
      <c r="DY333" s="663"/>
      <c r="DZ333" s="663"/>
      <c r="EA333" s="663"/>
      <c r="EB333" s="663"/>
      <c r="EC333" s="663"/>
      <c r="ED333" s="663"/>
      <c r="EE333" s="663"/>
      <c r="EF333" s="663"/>
      <c r="EG333" s="663"/>
      <c r="EH333" s="663"/>
      <c r="EI333" s="663"/>
      <c r="EJ333" s="663"/>
      <c r="EK333" s="663"/>
      <c r="EL333" s="663"/>
      <c r="EM333" s="663"/>
      <c r="EN333" s="663"/>
      <c r="EO333" s="663"/>
      <c r="EP333" s="663"/>
      <c r="EQ333" s="663"/>
      <c r="ER333" s="663"/>
      <c r="ES333" s="663"/>
      <c r="ET333" s="663"/>
      <c r="EU333" s="663"/>
      <c r="EV333" s="663"/>
      <c r="EW333" s="663"/>
      <c r="EX333" s="663"/>
      <c r="EY333" s="663"/>
      <c r="EZ333" s="663"/>
      <c r="FA333" s="663"/>
      <c r="FB333" s="663"/>
      <c r="FC333" s="663"/>
      <c r="FD333" s="663"/>
      <c r="FE333" s="663"/>
      <c r="FF333" s="663"/>
      <c r="FG333" s="663"/>
      <c r="FH333" s="663"/>
      <c r="FI333" s="663"/>
      <c r="FJ333" s="663"/>
      <c r="FK333" s="663"/>
      <c r="FL333" s="663"/>
      <c r="FM333" s="663"/>
      <c r="FN333" s="663"/>
      <c r="FO333" s="663"/>
      <c r="FP333" s="663"/>
      <c r="FQ333" s="663"/>
      <c r="FR333" s="663"/>
      <c r="FS333" s="663"/>
      <c r="FT333" s="663"/>
      <c r="FU333" s="663"/>
      <c r="FV333" s="663"/>
      <c r="FW333" s="663"/>
      <c r="FX333" s="663"/>
      <c r="FY333" s="663"/>
      <c r="FZ333" s="663"/>
      <c r="GA333" s="663"/>
      <c r="GB333" s="663"/>
      <c r="GC333" s="663"/>
      <c r="GD333" s="663"/>
      <c r="GE333" s="663"/>
      <c r="GF333" s="663"/>
      <c r="GG333" s="663"/>
    </row>
    <row r="334" spans="1:189">
      <c r="A334" s="670"/>
      <c r="B334" s="670"/>
      <c r="C334" s="670"/>
      <c r="D334" s="670"/>
      <c r="E334" s="670"/>
      <c r="F334" s="670"/>
      <c r="G334" s="673"/>
      <c r="H334" s="627"/>
      <c r="I334" s="627"/>
      <c r="J334" s="672"/>
      <c r="K334" s="663"/>
      <c r="L334" s="663"/>
      <c r="M334" s="663"/>
      <c r="N334" s="663"/>
      <c r="O334" s="663"/>
      <c r="P334" s="663"/>
      <c r="Q334" s="663"/>
      <c r="R334" s="663"/>
      <c r="S334" s="663"/>
      <c r="T334" s="663"/>
      <c r="U334" s="663"/>
      <c r="V334" s="663"/>
      <c r="W334" s="663"/>
      <c r="X334" s="663"/>
      <c r="Y334" s="663"/>
      <c r="Z334" s="663"/>
      <c r="AA334" s="663"/>
      <c r="AB334" s="663"/>
      <c r="AC334" s="663"/>
      <c r="AD334" s="663"/>
      <c r="AE334" s="663"/>
      <c r="AF334" s="663"/>
      <c r="AG334" s="663"/>
      <c r="AH334" s="663"/>
      <c r="AI334" s="663"/>
      <c r="AJ334" s="663"/>
      <c r="AK334" s="663"/>
      <c r="AL334" s="663"/>
      <c r="AM334" s="663"/>
      <c r="AN334" s="663"/>
      <c r="AO334" s="663"/>
      <c r="AP334" s="663"/>
      <c r="AQ334" s="663"/>
      <c r="AR334" s="663"/>
      <c r="AS334" s="663"/>
      <c r="AT334" s="663"/>
      <c r="AU334" s="663"/>
      <c r="AV334" s="663"/>
      <c r="AW334" s="663"/>
      <c r="AX334" s="663"/>
      <c r="AY334" s="663"/>
      <c r="AZ334" s="663"/>
      <c r="BA334" s="663"/>
      <c r="BB334" s="663"/>
      <c r="BC334" s="663"/>
      <c r="BD334" s="663"/>
      <c r="BE334" s="663"/>
      <c r="BF334" s="663"/>
      <c r="BG334" s="663"/>
      <c r="BH334" s="663"/>
      <c r="BI334" s="663"/>
      <c r="BJ334" s="663"/>
      <c r="BK334" s="663"/>
      <c r="BL334" s="663"/>
      <c r="BM334" s="663"/>
      <c r="BN334" s="663"/>
      <c r="BO334" s="663"/>
      <c r="BP334" s="663"/>
      <c r="BQ334" s="663"/>
      <c r="BR334" s="663"/>
      <c r="BS334" s="663"/>
      <c r="BT334" s="663"/>
      <c r="BU334" s="663"/>
      <c r="BV334" s="663"/>
      <c r="BW334" s="663"/>
      <c r="BX334" s="663"/>
      <c r="BY334" s="663"/>
      <c r="BZ334" s="663"/>
      <c r="CA334" s="663"/>
      <c r="CB334" s="663"/>
      <c r="CC334" s="663"/>
      <c r="CD334" s="663"/>
      <c r="CE334" s="663"/>
      <c r="CF334" s="663"/>
      <c r="CG334" s="663"/>
      <c r="CH334" s="663"/>
      <c r="CI334" s="663"/>
      <c r="CJ334" s="663"/>
      <c r="CK334" s="663"/>
      <c r="CL334" s="663"/>
      <c r="CM334" s="663"/>
      <c r="CN334" s="663"/>
      <c r="CO334" s="663"/>
      <c r="CP334" s="663"/>
      <c r="CQ334" s="663"/>
      <c r="CR334" s="663"/>
      <c r="CS334" s="663"/>
      <c r="CT334" s="663"/>
      <c r="CU334" s="663"/>
      <c r="CV334" s="663"/>
      <c r="CW334" s="663"/>
      <c r="CX334" s="663"/>
      <c r="CY334" s="663"/>
      <c r="CZ334" s="663"/>
      <c r="DA334" s="663"/>
      <c r="DB334" s="663"/>
      <c r="DC334" s="663"/>
      <c r="DD334" s="663"/>
      <c r="DE334" s="663"/>
      <c r="DF334" s="663"/>
      <c r="DG334" s="663"/>
      <c r="DH334" s="663"/>
      <c r="DI334" s="663"/>
      <c r="DJ334" s="663"/>
      <c r="DK334" s="663"/>
      <c r="DL334" s="663"/>
      <c r="DM334" s="663"/>
      <c r="DN334" s="663"/>
      <c r="DO334" s="663"/>
      <c r="DP334" s="663"/>
      <c r="DQ334" s="663"/>
      <c r="DR334" s="663"/>
      <c r="DS334" s="663"/>
      <c r="DT334" s="663"/>
      <c r="DU334" s="663"/>
      <c r="DV334" s="663"/>
      <c r="DW334" s="663"/>
      <c r="DX334" s="663"/>
      <c r="DY334" s="663"/>
      <c r="DZ334" s="663"/>
      <c r="EA334" s="663"/>
      <c r="EB334" s="663"/>
      <c r="EC334" s="663"/>
      <c r="ED334" s="663"/>
      <c r="EE334" s="663"/>
      <c r="EF334" s="663"/>
      <c r="EG334" s="663"/>
      <c r="EH334" s="663"/>
      <c r="EI334" s="663"/>
      <c r="EJ334" s="663"/>
      <c r="EK334" s="663"/>
      <c r="EL334" s="663"/>
      <c r="EM334" s="663"/>
      <c r="EN334" s="663"/>
      <c r="EO334" s="663"/>
      <c r="EP334" s="663"/>
      <c r="EQ334" s="663"/>
      <c r="ER334" s="663"/>
      <c r="ES334" s="663"/>
      <c r="ET334" s="663"/>
      <c r="EU334" s="663"/>
      <c r="EV334" s="663"/>
      <c r="EW334" s="663"/>
      <c r="EX334" s="663"/>
      <c r="EY334" s="663"/>
      <c r="EZ334" s="663"/>
      <c r="FA334" s="663"/>
      <c r="FB334" s="663"/>
      <c r="FC334" s="663"/>
      <c r="FD334" s="663"/>
      <c r="FE334" s="663"/>
      <c r="FF334" s="663"/>
      <c r="FG334" s="663"/>
      <c r="FH334" s="663"/>
      <c r="FI334" s="663"/>
      <c r="FJ334" s="663"/>
      <c r="FK334" s="663"/>
      <c r="FL334" s="663"/>
      <c r="FM334" s="663"/>
      <c r="FN334" s="663"/>
      <c r="FO334" s="663"/>
      <c r="FP334" s="663"/>
      <c r="FQ334" s="663"/>
      <c r="FR334" s="663"/>
      <c r="FS334" s="663"/>
      <c r="FT334" s="663"/>
      <c r="FU334" s="663"/>
      <c r="FV334" s="663"/>
      <c r="FW334" s="663"/>
      <c r="FX334" s="663"/>
      <c r="FY334" s="663"/>
      <c r="FZ334" s="663"/>
      <c r="GA334" s="663"/>
      <c r="GB334" s="663"/>
      <c r="GC334" s="663"/>
      <c r="GD334" s="663"/>
      <c r="GE334" s="663"/>
      <c r="GF334" s="663"/>
      <c r="GG334" s="663"/>
    </row>
    <row r="335" spans="1:189">
      <c r="A335" s="670"/>
      <c r="B335" s="670"/>
      <c r="C335" s="670"/>
      <c r="D335" s="670"/>
      <c r="E335" s="670"/>
      <c r="F335" s="670"/>
      <c r="G335" s="673"/>
      <c r="H335" s="627"/>
      <c r="I335" s="627"/>
      <c r="J335" s="672"/>
      <c r="K335" s="663"/>
      <c r="L335" s="663"/>
      <c r="M335" s="663"/>
      <c r="N335" s="663"/>
      <c r="O335" s="663"/>
      <c r="P335" s="663"/>
      <c r="Q335" s="663"/>
      <c r="R335" s="663"/>
      <c r="S335" s="663"/>
      <c r="T335" s="663"/>
      <c r="U335" s="663"/>
      <c r="V335" s="663"/>
      <c r="W335" s="663"/>
      <c r="X335" s="663"/>
      <c r="Y335" s="663"/>
      <c r="Z335" s="663"/>
      <c r="AA335" s="663"/>
      <c r="AB335" s="663"/>
      <c r="AC335" s="663"/>
      <c r="AD335" s="663"/>
      <c r="AE335" s="663"/>
      <c r="AF335" s="663"/>
      <c r="AG335" s="663"/>
      <c r="AH335" s="663"/>
      <c r="AI335" s="663"/>
      <c r="AJ335" s="663"/>
      <c r="AK335" s="663"/>
      <c r="AL335" s="663"/>
      <c r="AM335" s="663"/>
      <c r="AN335" s="663"/>
      <c r="AO335" s="663"/>
      <c r="AP335" s="663"/>
      <c r="AQ335" s="663"/>
      <c r="AR335" s="663"/>
      <c r="AS335" s="663"/>
      <c r="AT335" s="663"/>
      <c r="AU335" s="663"/>
      <c r="AV335" s="663"/>
      <c r="AW335" s="663"/>
      <c r="AX335" s="663"/>
      <c r="AY335" s="663"/>
      <c r="AZ335" s="663"/>
      <c r="BA335" s="663"/>
      <c r="BB335" s="663"/>
      <c r="BC335" s="663"/>
      <c r="BD335" s="663"/>
      <c r="BE335" s="663"/>
      <c r="BF335" s="663"/>
      <c r="BG335" s="663"/>
      <c r="BH335" s="663"/>
      <c r="BI335" s="663"/>
      <c r="BJ335" s="663"/>
      <c r="BK335" s="663"/>
      <c r="BL335" s="663"/>
      <c r="BM335" s="663"/>
      <c r="BN335" s="663"/>
      <c r="BO335" s="663"/>
      <c r="BP335" s="663"/>
      <c r="BQ335" s="663"/>
      <c r="BR335" s="663"/>
      <c r="BS335" s="663"/>
      <c r="BT335" s="663"/>
      <c r="BU335" s="663"/>
      <c r="BV335" s="663"/>
      <c r="BW335" s="663"/>
      <c r="BX335" s="663"/>
      <c r="BY335" s="663"/>
      <c r="BZ335" s="663"/>
      <c r="CA335" s="663"/>
      <c r="CB335" s="663"/>
      <c r="CC335" s="663"/>
      <c r="CD335" s="663"/>
      <c r="CE335" s="663"/>
      <c r="CF335" s="663"/>
      <c r="CG335" s="663"/>
      <c r="CH335" s="663"/>
      <c r="CI335" s="663"/>
      <c r="CJ335" s="663"/>
      <c r="CK335" s="663"/>
      <c r="CL335" s="663"/>
      <c r="CM335" s="663"/>
      <c r="CN335" s="663"/>
      <c r="CO335" s="663"/>
      <c r="CP335" s="663"/>
      <c r="CQ335" s="663"/>
      <c r="CR335" s="663"/>
      <c r="CS335" s="663"/>
      <c r="CT335" s="663"/>
      <c r="CU335" s="663"/>
      <c r="CV335" s="663"/>
      <c r="CW335" s="663"/>
      <c r="CX335" s="663"/>
      <c r="CY335" s="663"/>
      <c r="CZ335" s="663"/>
      <c r="DA335" s="663"/>
      <c r="DB335" s="663"/>
      <c r="DC335" s="663"/>
      <c r="DD335" s="663"/>
      <c r="DE335" s="663"/>
      <c r="DF335" s="663"/>
      <c r="DG335" s="663"/>
      <c r="DH335" s="663"/>
      <c r="DI335" s="663"/>
      <c r="DJ335" s="663"/>
      <c r="DK335" s="663"/>
      <c r="DL335" s="663"/>
      <c r="DM335" s="663"/>
      <c r="DN335" s="663"/>
      <c r="DO335" s="663"/>
      <c r="DP335" s="663"/>
      <c r="DQ335" s="663"/>
      <c r="DR335" s="663"/>
      <c r="DS335" s="663"/>
      <c r="DT335" s="663"/>
      <c r="DU335" s="663"/>
      <c r="DV335" s="663"/>
      <c r="DW335" s="663"/>
      <c r="DX335" s="663"/>
      <c r="DY335" s="663"/>
      <c r="DZ335" s="663"/>
      <c r="EA335" s="663"/>
      <c r="EB335" s="663"/>
      <c r="EC335" s="663"/>
      <c r="ED335" s="663"/>
      <c r="EE335" s="663"/>
      <c r="EF335" s="663"/>
      <c r="EG335" s="663"/>
      <c r="EH335" s="663"/>
      <c r="EI335" s="663"/>
      <c r="EJ335" s="663"/>
      <c r="EK335" s="663"/>
      <c r="EL335" s="663"/>
      <c r="EM335" s="663"/>
      <c r="EN335" s="663"/>
      <c r="EO335" s="663"/>
      <c r="EP335" s="663"/>
      <c r="EQ335" s="663"/>
      <c r="ER335" s="663"/>
      <c r="ES335" s="663"/>
      <c r="ET335" s="663"/>
      <c r="EU335" s="663"/>
      <c r="EV335" s="663"/>
      <c r="EW335" s="663"/>
      <c r="EX335" s="663"/>
      <c r="EY335" s="663"/>
      <c r="EZ335" s="663"/>
      <c r="FA335" s="663"/>
      <c r="FB335" s="663"/>
      <c r="FC335" s="663"/>
      <c r="FD335" s="663"/>
      <c r="FE335" s="663"/>
      <c r="FF335" s="663"/>
      <c r="FG335" s="663"/>
      <c r="FH335" s="663"/>
      <c r="FI335" s="663"/>
      <c r="FJ335" s="663"/>
      <c r="FK335" s="663"/>
      <c r="FL335" s="663"/>
      <c r="FM335" s="663"/>
      <c r="FN335" s="663"/>
      <c r="FO335" s="663"/>
      <c r="FP335" s="663"/>
      <c r="FQ335" s="663"/>
      <c r="FR335" s="663"/>
      <c r="FS335" s="663"/>
      <c r="FT335" s="663"/>
      <c r="FU335" s="663"/>
      <c r="FV335" s="663"/>
      <c r="FW335" s="663"/>
      <c r="FX335" s="663"/>
      <c r="FY335" s="663"/>
      <c r="FZ335" s="663"/>
      <c r="GA335" s="663"/>
      <c r="GB335" s="663"/>
      <c r="GC335" s="663"/>
      <c r="GD335" s="663"/>
      <c r="GE335" s="663"/>
      <c r="GF335" s="663"/>
      <c r="GG335" s="663"/>
    </row>
    <row r="336" spans="1:189">
      <c r="A336" s="670"/>
      <c r="B336" s="670"/>
      <c r="C336" s="670"/>
      <c r="D336" s="670"/>
      <c r="E336" s="670"/>
      <c r="F336" s="670"/>
      <c r="G336" s="673"/>
      <c r="H336" s="627"/>
      <c r="I336" s="627"/>
      <c r="J336" s="672"/>
      <c r="K336" s="663"/>
      <c r="L336" s="663"/>
      <c r="M336" s="663"/>
      <c r="N336" s="663"/>
      <c r="O336" s="663"/>
      <c r="P336" s="663"/>
      <c r="Q336" s="663"/>
      <c r="R336" s="663"/>
      <c r="S336" s="663"/>
      <c r="T336" s="663"/>
      <c r="U336" s="663"/>
      <c r="V336" s="663"/>
      <c r="W336" s="663"/>
      <c r="X336" s="663"/>
      <c r="Y336" s="663"/>
      <c r="Z336" s="663"/>
      <c r="AA336" s="663"/>
      <c r="AB336" s="663"/>
      <c r="AC336" s="663"/>
      <c r="AD336" s="663"/>
      <c r="AE336" s="663"/>
      <c r="AF336" s="663"/>
      <c r="AG336" s="663"/>
      <c r="AH336" s="663"/>
      <c r="AI336" s="663"/>
      <c r="AJ336" s="663"/>
      <c r="AK336" s="663"/>
      <c r="AL336" s="663"/>
      <c r="AM336" s="663"/>
      <c r="AN336" s="663"/>
      <c r="AO336" s="663"/>
      <c r="AP336" s="663"/>
      <c r="AQ336" s="663"/>
      <c r="AR336" s="663"/>
      <c r="AS336" s="663"/>
      <c r="AT336" s="663"/>
      <c r="AU336" s="663"/>
      <c r="AV336" s="663"/>
      <c r="AW336" s="663"/>
      <c r="AX336" s="663"/>
      <c r="AY336" s="663"/>
      <c r="AZ336" s="663"/>
      <c r="BA336" s="663"/>
      <c r="BB336" s="663"/>
      <c r="BC336" s="663"/>
      <c r="BD336" s="663"/>
      <c r="BE336" s="663"/>
      <c r="BF336" s="663"/>
      <c r="BG336" s="663"/>
      <c r="BH336" s="663"/>
      <c r="BI336" s="663"/>
      <c r="BJ336" s="663"/>
      <c r="BK336" s="663"/>
      <c r="BL336" s="663"/>
      <c r="BM336" s="663"/>
      <c r="BN336" s="663"/>
      <c r="BO336" s="663"/>
      <c r="BP336" s="663"/>
      <c r="BQ336" s="663"/>
      <c r="BR336" s="663"/>
      <c r="BS336" s="663"/>
      <c r="BT336" s="663"/>
      <c r="BU336" s="663"/>
      <c r="BV336" s="663"/>
      <c r="BW336" s="663"/>
      <c r="BX336" s="663"/>
      <c r="BY336" s="663"/>
      <c r="BZ336" s="663"/>
      <c r="CA336" s="663"/>
      <c r="CB336" s="663"/>
      <c r="CC336" s="663"/>
      <c r="CD336" s="663"/>
      <c r="CE336" s="663"/>
      <c r="CF336" s="663"/>
      <c r="CG336" s="663"/>
      <c r="CH336" s="663"/>
      <c r="CI336" s="663"/>
      <c r="CJ336" s="663"/>
      <c r="CK336" s="663"/>
      <c r="CL336" s="663"/>
      <c r="CM336" s="663"/>
      <c r="CN336" s="663"/>
      <c r="CO336" s="663"/>
      <c r="CP336" s="663"/>
      <c r="CQ336" s="663"/>
      <c r="CR336" s="663"/>
      <c r="CS336" s="663"/>
      <c r="CT336" s="663"/>
      <c r="CU336" s="663"/>
      <c r="CV336" s="663"/>
      <c r="CW336" s="663"/>
      <c r="CX336" s="663"/>
      <c r="CY336" s="663"/>
      <c r="CZ336" s="663"/>
      <c r="DA336" s="663"/>
      <c r="DB336" s="663"/>
      <c r="DC336" s="663"/>
      <c r="DD336" s="663"/>
      <c r="DE336" s="663"/>
      <c r="DF336" s="663"/>
      <c r="DG336" s="663"/>
      <c r="DH336" s="663"/>
      <c r="DI336" s="663"/>
      <c r="DJ336" s="663"/>
      <c r="DK336" s="663"/>
      <c r="DL336" s="663"/>
      <c r="DM336" s="663"/>
      <c r="DN336" s="663"/>
      <c r="DO336" s="663"/>
      <c r="DP336" s="663"/>
      <c r="DQ336" s="663"/>
      <c r="DR336" s="663"/>
      <c r="DS336" s="663"/>
      <c r="DT336" s="663"/>
      <c r="DU336" s="663"/>
      <c r="DV336" s="663"/>
      <c r="DW336" s="663"/>
      <c r="DX336" s="663"/>
      <c r="DY336" s="663"/>
      <c r="DZ336" s="663"/>
      <c r="EA336" s="663"/>
      <c r="EB336" s="663"/>
      <c r="EC336" s="663"/>
      <c r="ED336" s="663"/>
      <c r="EE336" s="663"/>
      <c r="EF336" s="663"/>
      <c r="EG336" s="663"/>
      <c r="EH336" s="663"/>
      <c r="EI336" s="663"/>
      <c r="EJ336" s="663"/>
      <c r="EK336" s="663"/>
      <c r="EL336" s="663"/>
      <c r="EM336" s="663"/>
      <c r="EN336" s="663"/>
      <c r="EO336" s="663"/>
      <c r="EP336" s="663"/>
      <c r="EQ336" s="663"/>
      <c r="ER336" s="663"/>
      <c r="ES336" s="663"/>
      <c r="ET336" s="663"/>
      <c r="EU336" s="663"/>
      <c r="EV336" s="663"/>
      <c r="EW336" s="663"/>
      <c r="EX336" s="663"/>
      <c r="EY336" s="663"/>
      <c r="EZ336" s="663"/>
      <c r="FA336" s="663"/>
      <c r="FB336" s="663"/>
      <c r="FC336" s="663"/>
      <c r="FD336" s="663"/>
      <c r="FE336" s="663"/>
      <c r="FF336" s="663"/>
      <c r="FG336" s="663"/>
      <c r="FH336" s="663"/>
      <c r="FI336" s="663"/>
      <c r="FJ336" s="663"/>
      <c r="FK336" s="663"/>
      <c r="FL336" s="663"/>
      <c r="FM336" s="663"/>
      <c r="FN336" s="663"/>
      <c r="FO336" s="663"/>
      <c r="FP336" s="663"/>
      <c r="FQ336" s="663"/>
      <c r="FR336" s="663"/>
      <c r="FS336" s="663"/>
      <c r="FT336" s="663"/>
      <c r="FU336" s="663"/>
      <c r="FV336" s="663"/>
      <c r="FW336" s="663"/>
      <c r="FX336" s="663"/>
      <c r="FY336" s="663"/>
      <c r="FZ336" s="663"/>
      <c r="GA336" s="663"/>
      <c r="GB336" s="663"/>
      <c r="GC336" s="663"/>
      <c r="GD336" s="663"/>
      <c r="GE336" s="663"/>
      <c r="GF336" s="663"/>
      <c r="GG336" s="663"/>
    </row>
    <row r="337" spans="1:189">
      <c r="A337" s="670"/>
      <c r="B337" s="670"/>
      <c r="C337" s="670"/>
      <c r="D337" s="670"/>
      <c r="E337" s="670"/>
      <c r="F337" s="670"/>
      <c r="G337" s="673"/>
      <c r="H337" s="627"/>
      <c r="I337" s="627"/>
      <c r="J337" s="672"/>
      <c r="K337" s="663"/>
      <c r="L337" s="663"/>
      <c r="M337" s="663"/>
      <c r="N337" s="663"/>
      <c r="O337" s="663"/>
      <c r="P337" s="663"/>
      <c r="Q337" s="663"/>
      <c r="R337" s="663"/>
      <c r="S337" s="663"/>
      <c r="T337" s="663"/>
      <c r="U337" s="663"/>
      <c r="V337" s="663"/>
      <c r="W337" s="663"/>
      <c r="X337" s="663"/>
      <c r="Y337" s="663"/>
      <c r="Z337" s="663"/>
      <c r="AA337" s="663"/>
      <c r="AB337" s="663"/>
      <c r="AC337" s="663"/>
      <c r="AD337" s="663"/>
      <c r="AE337" s="663"/>
      <c r="AF337" s="663"/>
      <c r="AG337" s="663"/>
      <c r="AH337" s="663"/>
      <c r="AI337" s="663"/>
      <c r="AJ337" s="663"/>
      <c r="AK337" s="663"/>
      <c r="AL337" s="663"/>
      <c r="AM337" s="663"/>
      <c r="AN337" s="663"/>
      <c r="AO337" s="663"/>
      <c r="AP337" s="663"/>
      <c r="AQ337" s="663"/>
      <c r="AR337" s="663"/>
      <c r="AS337" s="663"/>
      <c r="AT337" s="663"/>
      <c r="AU337" s="663"/>
      <c r="AV337" s="663"/>
      <c r="AW337" s="663"/>
      <c r="AX337" s="663"/>
      <c r="AY337" s="663"/>
      <c r="AZ337" s="663"/>
      <c r="BA337" s="663"/>
      <c r="BB337" s="663"/>
      <c r="BC337" s="663"/>
      <c r="BD337" s="663"/>
      <c r="BE337" s="663"/>
      <c r="BF337" s="663"/>
      <c r="BG337" s="663"/>
      <c r="BH337" s="663"/>
      <c r="BI337" s="663"/>
      <c r="BJ337" s="663"/>
      <c r="BK337" s="663"/>
      <c r="BL337" s="663"/>
      <c r="BM337" s="663"/>
      <c r="BN337" s="663"/>
      <c r="BO337" s="663"/>
      <c r="BP337" s="663"/>
      <c r="BQ337" s="663"/>
      <c r="BR337" s="663"/>
      <c r="BS337" s="663"/>
      <c r="BT337" s="663"/>
      <c r="BU337" s="663"/>
      <c r="BV337" s="663"/>
      <c r="BW337" s="663"/>
      <c r="BX337" s="663"/>
      <c r="BY337" s="663"/>
      <c r="BZ337" s="663"/>
      <c r="CA337" s="663"/>
      <c r="CB337" s="663"/>
      <c r="CC337" s="663"/>
      <c r="CD337" s="663"/>
      <c r="CE337" s="663"/>
      <c r="CF337" s="663"/>
      <c r="CG337" s="663"/>
      <c r="CH337" s="663"/>
      <c r="CI337" s="663"/>
      <c r="CJ337" s="663"/>
      <c r="CK337" s="663"/>
      <c r="CL337" s="663"/>
      <c r="CM337" s="663"/>
      <c r="CN337" s="663"/>
      <c r="CO337" s="663"/>
      <c r="CP337" s="663"/>
      <c r="CQ337" s="663"/>
      <c r="CR337" s="663"/>
      <c r="CS337" s="663"/>
      <c r="CT337" s="663"/>
      <c r="CU337" s="663"/>
      <c r="CV337" s="663"/>
      <c r="CW337" s="663"/>
      <c r="CX337" s="663"/>
      <c r="CY337" s="663"/>
      <c r="CZ337" s="663"/>
      <c r="DA337" s="663"/>
      <c r="DB337" s="663"/>
      <c r="DC337" s="663"/>
      <c r="DD337" s="663"/>
      <c r="DE337" s="663"/>
      <c r="DF337" s="663"/>
      <c r="DG337" s="663"/>
      <c r="DH337" s="663"/>
      <c r="DI337" s="663"/>
      <c r="DJ337" s="663"/>
      <c r="DK337" s="663"/>
      <c r="DL337" s="663"/>
      <c r="DM337" s="663"/>
      <c r="DN337" s="663"/>
      <c r="DO337" s="663"/>
      <c r="DP337" s="663"/>
      <c r="DQ337" s="663"/>
      <c r="DR337" s="663"/>
      <c r="DS337" s="663"/>
      <c r="DT337" s="663"/>
      <c r="DU337" s="663"/>
      <c r="DV337" s="663"/>
      <c r="DW337" s="663"/>
      <c r="DX337" s="663"/>
      <c r="DY337" s="663"/>
      <c r="DZ337" s="663"/>
      <c r="EA337" s="663"/>
      <c r="EB337" s="663"/>
      <c r="EC337" s="663"/>
      <c r="ED337" s="663"/>
      <c r="EE337" s="663"/>
      <c r="EF337" s="663"/>
      <c r="EG337" s="663"/>
      <c r="EH337" s="663"/>
      <c r="EI337" s="663"/>
      <c r="EJ337" s="663"/>
      <c r="EK337" s="663"/>
      <c r="EL337" s="663"/>
      <c r="EM337" s="663"/>
      <c r="EN337" s="663"/>
      <c r="EO337" s="663"/>
      <c r="EP337" s="663"/>
      <c r="EQ337" s="663"/>
      <c r="ER337" s="663"/>
      <c r="ES337" s="663"/>
      <c r="ET337" s="663"/>
      <c r="EU337" s="663"/>
      <c r="EV337" s="663"/>
      <c r="EW337" s="663"/>
      <c r="EX337" s="663"/>
      <c r="EY337" s="663"/>
      <c r="EZ337" s="663"/>
      <c r="FA337" s="663"/>
      <c r="FB337" s="663"/>
      <c r="FC337" s="663"/>
      <c r="FD337" s="663"/>
      <c r="FE337" s="663"/>
      <c r="FF337" s="663"/>
      <c r="FG337" s="663"/>
      <c r="FH337" s="663"/>
      <c r="FI337" s="663"/>
      <c r="FJ337" s="663"/>
      <c r="FK337" s="663"/>
      <c r="FL337" s="663"/>
      <c r="FM337" s="663"/>
      <c r="FN337" s="663"/>
      <c r="FO337" s="663"/>
      <c r="FP337" s="663"/>
      <c r="FQ337" s="663"/>
      <c r="FR337" s="663"/>
      <c r="FS337" s="663"/>
      <c r="FT337" s="663"/>
      <c r="FU337" s="663"/>
      <c r="FV337" s="663"/>
      <c r="FW337" s="663"/>
      <c r="FX337" s="663"/>
      <c r="FY337" s="663"/>
      <c r="FZ337" s="663"/>
      <c r="GA337" s="663"/>
      <c r="GB337" s="663"/>
      <c r="GC337" s="663"/>
      <c r="GD337" s="663"/>
      <c r="GE337" s="663"/>
      <c r="GF337" s="663"/>
      <c r="GG337" s="663"/>
    </row>
    <row r="338" spans="1:189">
      <c r="A338" s="670"/>
      <c r="B338" s="670"/>
      <c r="C338" s="670"/>
      <c r="D338" s="670"/>
      <c r="E338" s="670"/>
      <c r="F338" s="670"/>
      <c r="G338" s="673"/>
      <c r="H338" s="627"/>
      <c r="I338" s="627"/>
      <c r="J338" s="672"/>
      <c r="K338" s="663"/>
      <c r="L338" s="663"/>
      <c r="M338" s="663"/>
      <c r="N338" s="663"/>
      <c r="O338" s="663"/>
      <c r="P338" s="663"/>
      <c r="Q338" s="663"/>
      <c r="R338" s="663"/>
      <c r="S338" s="663"/>
      <c r="T338" s="663"/>
      <c r="U338" s="663"/>
      <c r="V338" s="663"/>
      <c r="W338" s="663"/>
      <c r="X338" s="663"/>
      <c r="Y338" s="663"/>
      <c r="Z338" s="663"/>
      <c r="AA338" s="663"/>
      <c r="AB338" s="663"/>
      <c r="AC338" s="663"/>
      <c r="AD338" s="663"/>
      <c r="AE338" s="663"/>
      <c r="AF338" s="663"/>
      <c r="AG338" s="663"/>
      <c r="AH338" s="663"/>
      <c r="AI338" s="663"/>
      <c r="AJ338" s="663"/>
      <c r="AK338" s="663"/>
      <c r="AL338" s="663"/>
      <c r="AM338" s="663"/>
      <c r="AN338" s="663"/>
      <c r="AO338" s="663"/>
      <c r="AP338" s="663"/>
      <c r="AQ338" s="663"/>
      <c r="AR338" s="663"/>
      <c r="AS338" s="663"/>
      <c r="AT338" s="663"/>
      <c r="AU338" s="663"/>
      <c r="AV338" s="663"/>
      <c r="AW338" s="663"/>
      <c r="AX338" s="663"/>
      <c r="AY338" s="663"/>
      <c r="AZ338" s="663"/>
      <c r="BA338" s="663"/>
      <c r="BB338" s="663"/>
      <c r="BC338" s="663"/>
      <c r="BD338" s="663"/>
      <c r="BE338" s="663"/>
      <c r="BF338" s="663"/>
      <c r="BG338" s="663"/>
      <c r="BH338" s="663"/>
      <c r="BI338" s="663"/>
      <c r="BJ338" s="663"/>
      <c r="BK338" s="663"/>
      <c r="BL338" s="663"/>
      <c r="BM338" s="663"/>
      <c r="BN338" s="663"/>
      <c r="BO338" s="663"/>
      <c r="BP338" s="663"/>
      <c r="BQ338" s="663"/>
      <c r="BR338" s="663"/>
      <c r="BS338" s="663"/>
      <c r="BT338" s="663"/>
      <c r="BU338" s="663"/>
      <c r="BV338" s="663"/>
      <c r="BW338" s="663"/>
      <c r="BX338" s="663"/>
      <c r="BY338" s="663"/>
      <c r="BZ338" s="663"/>
      <c r="CA338" s="663"/>
      <c r="CB338" s="663"/>
      <c r="CC338" s="663"/>
      <c r="CD338" s="663"/>
      <c r="CE338" s="663"/>
      <c r="CF338" s="663"/>
      <c r="CG338" s="663"/>
      <c r="CH338" s="663"/>
      <c r="CI338" s="663"/>
      <c r="CJ338" s="663"/>
      <c r="CK338" s="663"/>
      <c r="CL338" s="663"/>
      <c r="CM338" s="663"/>
      <c r="CN338" s="663"/>
      <c r="CO338" s="663"/>
      <c r="CP338" s="663"/>
      <c r="CQ338" s="663"/>
      <c r="CR338" s="663"/>
      <c r="CS338" s="663"/>
      <c r="CT338" s="663"/>
      <c r="CU338" s="663"/>
      <c r="CV338" s="663"/>
      <c r="CW338" s="663"/>
      <c r="CX338" s="663"/>
      <c r="CY338" s="663"/>
      <c r="CZ338" s="663"/>
      <c r="DA338" s="663"/>
      <c r="DB338" s="663"/>
      <c r="DC338" s="663"/>
      <c r="DD338" s="663"/>
      <c r="DE338" s="663"/>
      <c r="DF338" s="663"/>
      <c r="DG338" s="663"/>
      <c r="DH338" s="663"/>
      <c r="DI338" s="663"/>
      <c r="DJ338" s="663"/>
      <c r="DK338" s="663"/>
      <c r="DL338" s="663"/>
      <c r="DM338" s="663"/>
      <c r="DN338" s="663"/>
      <c r="DO338" s="663"/>
      <c r="DP338" s="663"/>
      <c r="DQ338" s="663"/>
      <c r="DR338" s="663"/>
      <c r="DS338" s="663"/>
      <c r="DT338" s="663"/>
      <c r="DU338" s="663"/>
      <c r="DV338" s="663"/>
      <c r="DW338" s="663"/>
      <c r="DX338" s="663"/>
      <c r="DY338" s="663"/>
      <c r="DZ338" s="663"/>
      <c r="EA338" s="663"/>
      <c r="EB338" s="663"/>
      <c r="EC338" s="663"/>
      <c r="ED338" s="663"/>
      <c r="EE338" s="663"/>
      <c r="EF338" s="663"/>
      <c r="EG338" s="663"/>
      <c r="EH338" s="663"/>
      <c r="EI338" s="663"/>
      <c r="EJ338" s="663"/>
      <c r="EK338" s="663"/>
      <c r="EL338" s="663"/>
      <c r="EM338" s="663"/>
      <c r="EN338" s="663"/>
      <c r="EO338" s="663"/>
      <c r="EP338" s="663"/>
      <c r="EQ338" s="663"/>
      <c r="ER338" s="663"/>
      <c r="ES338" s="663"/>
      <c r="ET338" s="663"/>
      <c r="EU338" s="663"/>
      <c r="EV338" s="663"/>
      <c r="EW338" s="663"/>
      <c r="EX338" s="663"/>
      <c r="EY338" s="663"/>
      <c r="EZ338" s="663"/>
      <c r="FA338" s="663"/>
      <c r="FB338" s="663"/>
      <c r="FC338" s="663"/>
      <c r="FD338" s="663"/>
      <c r="FE338" s="663"/>
      <c r="FF338" s="663"/>
      <c r="FG338" s="663"/>
      <c r="FH338" s="663"/>
      <c r="FI338" s="663"/>
      <c r="FJ338" s="663"/>
      <c r="FK338" s="663"/>
      <c r="FL338" s="663"/>
      <c r="FM338" s="663"/>
      <c r="FN338" s="663"/>
      <c r="FO338" s="663"/>
      <c r="FP338" s="663"/>
      <c r="FQ338" s="663"/>
      <c r="FR338" s="663"/>
      <c r="FS338" s="663"/>
      <c r="FT338" s="663"/>
      <c r="FU338" s="663"/>
      <c r="FV338" s="663"/>
      <c r="FW338" s="663"/>
      <c r="FX338" s="663"/>
      <c r="FY338" s="663"/>
      <c r="FZ338" s="663"/>
      <c r="GA338" s="663"/>
      <c r="GB338" s="663"/>
      <c r="GC338" s="663"/>
      <c r="GD338" s="663"/>
      <c r="GE338" s="663"/>
      <c r="GF338" s="663"/>
      <c r="GG338" s="663"/>
    </row>
    <row r="339" spans="1:189">
      <c r="A339" s="670"/>
      <c r="B339" s="670"/>
      <c r="C339" s="670"/>
      <c r="D339" s="670"/>
      <c r="E339" s="670"/>
      <c r="F339" s="670"/>
      <c r="G339" s="673"/>
      <c r="H339" s="627"/>
      <c r="I339" s="627"/>
      <c r="J339" s="672"/>
      <c r="K339" s="663"/>
      <c r="L339" s="663"/>
      <c r="M339" s="663"/>
      <c r="N339" s="663"/>
      <c r="O339" s="663"/>
      <c r="P339" s="663"/>
      <c r="Q339" s="663"/>
      <c r="R339" s="663"/>
      <c r="S339" s="663"/>
      <c r="T339" s="663"/>
      <c r="U339" s="663"/>
      <c r="V339" s="663"/>
      <c r="W339" s="663"/>
      <c r="X339" s="663"/>
      <c r="Y339" s="663"/>
      <c r="Z339" s="663"/>
      <c r="AA339" s="663"/>
      <c r="AB339" s="663"/>
      <c r="AC339" s="663"/>
      <c r="AD339" s="663"/>
      <c r="AE339" s="663"/>
      <c r="AF339" s="663"/>
      <c r="AG339" s="663"/>
      <c r="AH339" s="663"/>
      <c r="AI339" s="663"/>
      <c r="AJ339" s="663"/>
      <c r="AK339" s="663"/>
      <c r="AL339" s="663"/>
      <c r="AM339" s="663"/>
      <c r="AN339" s="663"/>
      <c r="AO339" s="663"/>
      <c r="AP339" s="663"/>
      <c r="AQ339" s="663"/>
      <c r="AR339" s="663"/>
      <c r="AS339" s="663"/>
      <c r="AT339" s="663"/>
      <c r="AU339" s="663"/>
      <c r="AV339" s="663"/>
      <c r="AW339" s="663"/>
      <c r="AX339" s="663"/>
      <c r="AY339" s="663"/>
      <c r="AZ339" s="663"/>
      <c r="BA339" s="663"/>
      <c r="BB339" s="663"/>
      <c r="BC339" s="663"/>
      <c r="BD339" s="663"/>
      <c r="BE339" s="663"/>
      <c r="BF339" s="663"/>
      <c r="BG339" s="663"/>
      <c r="BH339" s="663"/>
      <c r="BI339" s="663"/>
      <c r="BJ339" s="663"/>
      <c r="BK339" s="663"/>
      <c r="BL339" s="663"/>
      <c r="BM339" s="663"/>
      <c r="BN339" s="663"/>
      <c r="BO339" s="663"/>
      <c r="BP339" s="663"/>
      <c r="BQ339" s="663"/>
      <c r="BR339" s="663"/>
      <c r="BS339" s="663"/>
      <c r="BT339" s="663"/>
      <c r="BU339" s="663"/>
      <c r="BV339" s="663"/>
      <c r="BW339" s="663"/>
      <c r="BX339" s="663"/>
      <c r="BY339" s="663"/>
      <c r="BZ339" s="663"/>
      <c r="CA339" s="663"/>
      <c r="CB339" s="663"/>
      <c r="CC339" s="663"/>
      <c r="CD339" s="663"/>
      <c r="CE339" s="663"/>
      <c r="CF339" s="663"/>
      <c r="CG339" s="663"/>
      <c r="CH339" s="663"/>
      <c r="CI339" s="663"/>
      <c r="CJ339" s="663"/>
      <c r="CK339" s="663"/>
      <c r="CL339" s="663"/>
      <c r="CM339" s="663"/>
      <c r="CN339" s="663"/>
      <c r="CO339" s="663"/>
      <c r="CP339" s="663"/>
      <c r="CQ339" s="663"/>
      <c r="CR339" s="663"/>
      <c r="CS339" s="663"/>
      <c r="CT339" s="663"/>
      <c r="CU339" s="663"/>
      <c r="CV339" s="663"/>
      <c r="CW339" s="663"/>
      <c r="CX339" s="663"/>
      <c r="CY339" s="663"/>
      <c r="CZ339" s="663"/>
      <c r="DA339" s="663"/>
      <c r="DB339" s="663"/>
      <c r="DC339" s="663"/>
      <c r="DD339" s="663"/>
      <c r="DE339" s="663"/>
      <c r="DF339" s="663"/>
      <c r="DG339" s="663"/>
      <c r="DH339" s="663"/>
      <c r="DI339" s="663"/>
      <c r="DJ339" s="663"/>
      <c r="DK339" s="663"/>
      <c r="DL339" s="663"/>
      <c r="DM339" s="663"/>
      <c r="DN339" s="663"/>
      <c r="DO339" s="663"/>
      <c r="DP339" s="663"/>
      <c r="DQ339" s="663"/>
      <c r="DR339" s="663"/>
      <c r="DS339" s="663"/>
      <c r="DT339" s="663"/>
      <c r="DU339" s="663"/>
      <c r="DV339" s="663"/>
      <c r="DW339" s="663"/>
      <c r="DX339" s="663"/>
      <c r="DY339" s="663"/>
      <c r="DZ339" s="663"/>
      <c r="EA339" s="663"/>
      <c r="EB339" s="663"/>
      <c r="EC339" s="663"/>
      <c r="ED339" s="663"/>
      <c r="EE339" s="663"/>
      <c r="EF339" s="663"/>
      <c r="EG339" s="663"/>
      <c r="EH339" s="663"/>
      <c r="EI339" s="663"/>
      <c r="EJ339" s="663"/>
      <c r="EK339" s="663"/>
      <c r="EL339" s="663"/>
      <c r="EM339" s="663"/>
      <c r="EN339" s="663"/>
      <c r="EO339" s="663"/>
      <c r="EP339" s="663"/>
      <c r="EQ339" s="663"/>
      <c r="ER339" s="663"/>
      <c r="ES339" s="663"/>
      <c r="ET339" s="663"/>
      <c r="EU339" s="663"/>
      <c r="EV339" s="663"/>
      <c r="EW339" s="663"/>
      <c r="EX339" s="663"/>
      <c r="EY339" s="663"/>
      <c r="EZ339" s="663"/>
      <c r="FA339" s="663"/>
      <c r="FB339" s="663"/>
      <c r="FC339" s="663"/>
      <c r="FD339" s="663"/>
      <c r="FE339" s="663"/>
      <c r="FF339" s="663"/>
      <c r="FG339" s="663"/>
      <c r="FH339" s="663"/>
      <c r="FI339" s="663"/>
      <c r="FJ339" s="663"/>
      <c r="FK339" s="663"/>
      <c r="FL339" s="663"/>
      <c r="FM339" s="663"/>
      <c r="FN339" s="663"/>
      <c r="FO339" s="663"/>
      <c r="FP339" s="663"/>
      <c r="FQ339" s="663"/>
      <c r="FR339" s="663"/>
      <c r="FS339" s="663"/>
      <c r="FT339" s="663"/>
      <c r="FU339" s="663"/>
      <c r="FV339" s="663"/>
      <c r="FW339" s="663"/>
      <c r="FX339" s="663"/>
      <c r="FY339" s="663"/>
      <c r="FZ339" s="663"/>
      <c r="GA339" s="663"/>
      <c r="GB339" s="663"/>
      <c r="GC339" s="663"/>
      <c r="GD339" s="663"/>
      <c r="GE339" s="663"/>
      <c r="GF339" s="663"/>
      <c r="GG339" s="663"/>
    </row>
    <row r="340" spans="1:189">
      <c r="A340" s="670"/>
      <c r="B340" s="670"/>
      <c r="C340" s="670"/>
      <c r="D340" s="670"/>
      <c r="E340" s="670"/>
      <c r="F340" s="670"/>
      <c r="G340" s="673"/>
      <c r="H340" s="627"/>
      <c r="I340" s="627"/>
      <c r="J340" s="672"/>
      <c r="K340" s="663"/>
      <c r="L340" s="663"/>
      <c r="M340" s="663"/>
      <c r="N340" s="663"/>
      <c r="O340" s="663"/>
      <c r="P340" s="663"/>
      <c r="Q340" s="663"/>
      <c r="R340" s="663"/>
      <c r="S340" s="663"/>
      <c r="T340" s="663"/>
      <c r="U340" s="663"/>
      <c r="V340" s="663"/>
      <c r="W340" s="663"/>
      <c r="X340" s="663"/>
      <c r="Y340" s="663"/>
      <c r="Z340" s="663"/>
      <c r="AA340" s="663"/>
      <c r="AB340" s="663"/>
      <c r="AC340" s="663"/>
      <c r="AD340" s="663"/>
      <c r="AE340" s="663"/>
      <c r="AF340" s="663"/>
      <c r="AG340" s="663"/>
      <c r="AH340" s="663"/>
      <c r="AI340" s="663"/>
      <c r="AJ340" s="663"/>
      <c r="AK340" s="663"/>
      <c r="AL340" s="663"/>
      <c r="AM340" s="663"/>
      <c r="AN340" s="663"/>
      <c r="AO340" s="663"/>
      <c r="AP340" s="663"/>
      <c r="AQ340" s="663"/>
      <c r="AR340" s="663"/>
      <c r="AS340" s="663"/>
      <c r="AT340" s="663"/>
      <c r="AU340" s="663"/>
      <c r="AV340" s="663"/>
      <c r="AW340" s="663"/>
      <c r="AX340" s="663"/>
      <c r="AY340" s="663"/>
      <c r="AZ340" s="663"/>
      <c r="BA340" s="663"/>
      <c r="BB340" s="663"/>
      <c r="BC340" s="663"/>
      <c r="BD340" s="663"/>
      <c r="BE340" s="663"/>
      <c r="BF340" s="663"/>
      <c r="BG340" s="663"/>
      <c r="BH340" s="663"/>
      <c r="BI340" s="663"/>
      <c r="BJ340" s="663"/>
      <c r="BK340" s="663"/>
      <c r="BL340" s="663"/>
      <c r="BM340" s="663"/>
      <c r="BN340" s="663"/>
      <c r="BO340" s="663"/>
      <c r="BP340" s="663"/>
      <c r="BQ340" s="663"/>
      <c r="BR340" s="663"/>
      <c r="BS340" s="663"/>
      <c r="BT340" s="663"/>
      <c r="BU340" s="663"/>
      <c r="BV340" s="663"/>
      <c r="BW340" s="663"/>
      <c r="BX340" s="663"/>
      <c r="BY340" s="663"/>
      <c r="BZ340" s="663"/>
      <c r="CA340" s="663"/>
      <c r="CB340" s="663"/>
      <c r="CC340" s="663"/>
      <c r="CD340" s="663"/>
      <c r="CE340" s="663"/>
      <c r="CF340" s="663"/>
      <c r="CG340" s="663"/>
      <c r="CH340" s="663"/>
      <c r="CI340" s="663"/>
      <c r="CJ340" s="663"/>
      <c r="CK340" s="663"/>
      <c r="CL340" s="663"/>
      <c r="CM340" s="663"/>
      <c r="CN340" s="663"/>
      <c r="CO340" s="663"/>
      <c r="CP340" s="663"/>
      <c r="CQ340" s="663"/>
      <c r="CR340" s="663"/>
      <c r="CS340" s="663"/>
      <c r="CT340" s="663"/>
      <c r="CU340" s="663"/>
      <c r="CV340" s="663"/>
      <c r="CW340" s="663"/>
      <c r="CX340" s="663"/>
      <c r="CY340" s="663"/>
      <c r="CZ340" s="663"/>
      <c r="DA340" s="663"/>
      <c r="DB340" s="663"/>
      <c r="DC340" s="663"/>
      <c r="DD340" s="663"/>
      <c r="DE340" s="663"/>
      <c r="DF340" s="663"/>
      <c r="DG340" s="663"/>
      <c r="DH340" s="663"/>
      <c r="DI340" s="663"/>
      <c r="DJ340" s="663"/>
      <c r="DK340" s="663"/>
      <c r="DL340" s="663"/>
      <c r="DM340" s="663"/>
      <c r="DN340" s="663"/>
      <c r="DO340" s="663"/>
      <c r="DP340" s="663"/>
      <c r="DQ340" s="663"/>
      <c r="DR340" s="663"/>
      <c r="DS340" s="663"/>
      <c r="DT340" s="663"/>
      <c r="DU340" s="663"/>
      <c r="DV340" s="663"/>
      <c r="DW340" s="663"/>
      <c r="DX340" s="663"/>
      <c r="DY340" s="663"/>
      <c r="DZ340" s="663"/>
      <c r="EA340" s="663"/>
      <c r="EB340" s="663"/>
      <c r="EC340" s="663"/>
      <c r="ED340" s="663"/>
      <c r="EE340" s="663"/>
      <c r="EF340" s="663"/>
      <c r="EG340" s="663"/>
      <c r="EH340" s="663"/>
      <c r="EI340" s="663"/>
      <c r="EJ340" s="663"/>
      <c r="EK340" s="663"/>
      <c r="EL340" s="663"/>
      <c r="EM340" s="663"/>
      <c r="EN340" s="663"/>
      <c r="EO340" s="663"/>
      <c r="EP340" s="663"/>
      <c r="EQ340" s="663"/>
      <c r="ER340" s="663"/>
      <c r="ES340" s="663"/>
      <c r="ET340" s="663"/>
      <c r="EU340" s="663"/>
      <c r="EV340" s="663"/>
      <c r="EW340" s="663"/>
      <c r="EX340" s="663"/>
      <c r="EY340" s="663"/>
      <c r="EZ340" s="663"/>
      <c r="FA340" s="663"/>
      <c r="FB340" s="663"/>
      <c r="FC340" s="663"/>
      <c r="FD340" s="663"/>
      <c r="FE340" s="663"/>
      <c r="FF340" s="663"/>
      <c r="FG340" s="663"/>
      <c r="FH340" s="663"/>
      <c r="FI340" s="663"/>
      <c r="FJ340" s="663"/>
      <c r="FK340" s="663"/>
      <c r="FL340" s="663"/>
      <c r="FM340" s="663"/>
      <c r="FN340" s="663"/>
      <c r="FO340" s="663"/>
      <c r="FP340" s="663"/>
      <c r="FQ340" s="663"/>
      <c r="FR340" s="663"/>
      <c r="FS340" s="663"/>
      <c r="FT340" s="663"/>
      <c r="FU340" s="663"/>
      <c r="FV340" s="663"/>
      <c r="FW340" s="663"/>
      <c r="FX340" s="663"/>
      <c r="FY340" s="663"/>
      <c r="FZ340" s="663"/>
      <c r="GA340" s="663"/>
      <c r="GB340" s="663"/>
      <c r="GC340" s="663"/>
      <c r="GD340" s="663"/>
      <c r="GE340" s="663"/>
      <c r="GF340" s="663"/>
      <c r="GG340" s="663"/>
    </row>
    <row r="341" spans="1:189">
      <c r="A341" s="670"/>
      <c r="B341" s="670"/>
      <c r="C341" s="670"/>
      <c r="D341" s="670"/>
      <c r="E341" s="670"/>
      <c r="F341" s="670"/>
      <c r="G341" s="673"/>
      <c r="H341" s="627"/>
      <c r="I341" s="627"/>
      <c r="J341" s="672"/>
      <c r="K341" s="663"/>
      <c r="L341" s="663"/>
      <c r="M341" s="663"/>
      <c r="N341" s="663"/>
      <c r="O341" s="663"/>
      <c r="P341" s="663"/>
      <c r="Q341" s="663"/>
      <c r="R341" s="663"/>
      <c r="S341" s="663"/>
      <c r="T341" s="663"/>
      <c r="U341" s="663"/>
      <c r="V341" s="663"/>
      <c r="W341" s="663"/>
      <c r="X341" s="663"/>
      <c r="Y341" s="663"/>
      <c r="Z341" s="663"/>
      <c r="AA341" s="663"/>
      <c r="AB341" s="663"/>
      <c r="AC341" s="663"/>
      <c r="AD341" s="663"/>
      <c r="AE341" s="663"/>
      <c r="AF341" s="663"/>
      <c r="AG341" s="663"/>
      <c r="AH341" s="663"/>
      <c r="AI341" s="663"/>
      <c r="AJ341" s="663"/>
      <c r="AK341" s="663"/>
      <c r="AL341" s="663"/>
      <c r="AM341" s="663"/>
      <c r="AN341" s="663"/>
      <c r="AO341" s="663"/>
      <c r="AP341" s="663"/>
      <c r="AQ341" s="663"/>
      <c r="AR341" s="663"/>
      <c r="AS341" s="663"/>
      <c r="AT341" s="663"/>
      <c r="AU341" s="663"/>
      <c r="AV341" s="663"/>
      <c r="AW341" s="663"/>
      <c r="AX341" s="663"/>
      <c r="AY341" s="663"/>
      <c r="AZ341" s="663"/>
      <c r="BA341" s="663"/>
      <c r="BB341" s="663"/>
      <c r="BC341" s="663"/>
      <c r="BD341" s="663"/>
      <c r="BE341" s="663"/>
      <c r="BF341" s="663"/>
      <c r="BG341" s="663"/>
      <c r="BH341" s="663"/>
      <c r="BI341" s="663"/>
      <c r="BJ341" s="663"/>
      <c r="BK341" s="663"/>
      <c r="BL341" s="663"/>
      <c r="BM341" s="663"/>
      <c r="BN341" s="663"/>
      <c r="BO341" s="663"/>
      <c r="BP341" s="663"/>
      <c r="BQ341" s="663"/>
      <c r="BR341" s="663"/>
      <c r="BS341" s="663"/>
      <c r="BT341" s="663"/>
      <c r="BU341" s="663"/>
      <c r="BV341" s="663"/>
      <c r="BW341" s="663"/>
      <c r="BX341" s="663"/>
      <c r="BY341" s="663"/>
      <c r="BZ341" s="663"/>
      <c r="CA341" s="663"/>
      <c r="CB341" s="663"/>
      <c r="CC341" s="663"/>
      <c r="CD341" s="663"/>
      <c r="CE341" s="663"/>
      <c r="CF341" s="663"/>
      <c r="CG341" s="663"/>
      <c r="CH341" s="663"/>
      <c r="CI341" s="663"/>
      <c r="CJ341" s="663"/>
      <c r="CK341" s="663"/>
      <c r="CL341" s="663"/>
      <c r="CM341" s="663"/>
      <c r="CN341" s="663"/>
      <c r="CO341" s="663"/>
      <c r="CP341" s="663"/>
      <c r="CQ341" s="663"/>
      <c r="CR341" s="663"/>
      <c r="CS341" s="663"/>
      <c r="CT341" s="663"/>
      <c r="CU341" s="663"/>
      <c r="CV341" s="663"/>
      <c r="CW341" s="663"/>
      <c r="CX341" s="663"/>
      <c r="CY341" s="663"/>
      <c r="CZ341" s="663"/>
      <c r="DA341" s="663"/>
      <c r="DB341" s="663"/>
      <c r="DC341" s="663"/>
      <c r="DD341" s="663"/>
      <c r="DE341" s="663"/>
      <c r="DF341" s="663"/>
      <c r="DG341" s="663"/>
      <c r="DH341" s="663"/>
      <c r="DI341" s="663"/>
      <c r="DJ341" s="663"/>
      <c r="DK341" s="663"/>
      <c r="DL341" s="663"/>
      <c r="DM341" s="663"/>
      <c r="DN341" s="663"/>
      <c r="DO341" s="663"/>
      <c r="DP341" s="663"/>
      <c r="DQ341" s="663"/>
      <c r="DR341" s="663"/>
      <c r="DS341" s="663"/>
      <c r="DT341" s="663"/>
      <c r="DU341" s="663"/>
      <c r="DV341" s="663"/>
      <c r="DW341" s="663"/>
      <c r="DX341" s="663"/>
      <c r="DY341" s="663"/>
      <c r="DZ341" s="663"/>
      <c r="EA341" s="663"/>
      <c r="EB341" s="663"/>
      <c r="EC341" s="663"/>
      <c r="ED341" s="663"/>
      <c r="EE341" s="663"/>
      <c r="EF341" s="663"/>
      <c r="EG341" s="663"/>
      <c r="EH341" s="663"/>
      <c r="EI341" s="663"/>
      <c r="EJ341" s="663"/>
      <c r="EK341" s="663"/>
      <c r="EL341" s="663"/>
      <c r="EM341" s="663"/>
      <c r="EN341" s="663"/>
      <c r="EO341" s="663"/>
      <c r="EP341" s="663"/>
      <c r="EQ341" s="663"/>
      <c r="ER341" s="663"/>
      <c r="ES341" s="663"/>
      <c r="ET341" s="663"/>
      <c r="EU341" s="663"/>
      <c r="EV341" s="663"/>
      <c r="EW341" s="663"/>
      <c r="EX341" s="663"/>
      <c r="EY341" s="663"/>
      <c r="EZ341" s="663"/>
      <c r="FA341" s="663"/>
      <c r="FB341" s="663"/>
      <c r="FC341" s="663"/>
      <c r="FD341" s="663"/>
      <c r="FE341" s="663"/>
      <c r="FF341" s="663"/>
      <c r="FG341" s="663"/>
      <c r="FH341" s="663"/>
      <c r="FI341" s="663"/>
      <c r="FJ341" s="663"/>
      <c r="FK341" s="663"/>
      <c r="FL341" s="663"/>
      <c r="FM341" s="663"/>
      <c r="FN341" s="663"/>
      <c r="FO341" s="663"/>
      <c r="FP341" s="663"/>
      <c r="FQ341" s="663"/>
      <c r="FR341" s="663"/>
      <c r="FS341" s="663"/>
      <c r="FT341" s="663"/>
      <c r="FU341" s="663"/>
      <c r="FV341" s="663"/>
      <c r="FW341" s="663"/>
      <c r="FX341" s="663"/>
      <c r="FY341" s="663"/>
      <c r="FZ341" s="663"/>
      <c r="GA341" s="663"/>
      <c r="GB341" s="663"/>
      <c r="GC341" s="663"/>
      <c r="GD341" s="663"/>
      <c r="GE341" s="663"/>
      <c r="GF341" s="663"/>
      <c r="GG341" s="663"/>
    </row>
    <row r="342" spans="1:189">
      <c r="A342" s="670"/>
      <c r="B342" s="670"/>
      <c r="C342" s="670"/>
      <c r="D342" s="670"/>
      <c r="E342" s="670"/>
      <c r="F342" s="670"/>
      <c r="G342" s="673"/>
      <c r="H342" s="627"/>
      <c r="I342" s="627"/>
      <c r="J342" s="672"/>
      <c r="K342" s="663"/>
      <c r="L342" s="663"/>
      <c r="M342" s="663"/>
      <c r="N342" s="663"/>
      <c r="O342" s="663"/>
      <c r="P342" s="663"/>
      <c r="Q342" s="663"/>
      <c r="R342" s="663"/>
      <c r="S342" s="663"/>
      <c r="T342" s="663"/>
      <c r="U342" s="663"/>
      <c r="V342" s="663"/>
      <c r="W342" s="663"/>
      <c r="X342" s="663"/>
      <c r="Y342" s="663"/>
      <c r="Z342" s="663"/>
      <c r="AA342" s="663"/>
      <c r="AB342" s="663"/>
      <c r="AC342" s="663"/>
      <c r="AD342" s="663"/>
      <c r="AE342" s="663"/>
      <c r="AF342" s="663"/>
      <c r="AG342" s="663"/>
      <c r="AH342" s="663"/>
      <c r="AI342" s="663"/>
      <c r="AJ342" s="663"/>
      <c r="AK342" s="663"/>
      <c r="AL342" s="663"/>
      <c r="AM342" s="663"/>
      <c r="AN342" s="663"/>
      <c r="AO342" s="663"/>
      <c r="AP342" s="663"/>
      <c r="AQ342" s="663"/>
      <c r="AR342" s="663"/>
      <c r="AS342" s="663"/>
      <c r="AT342" s="663"/>
      <c r="AU342" s="663"/>
      <c r="AV342" s="663"/>
      <c r="AW342" s="663"/>
      <c r="AX342" s="663"/>
      <c r="AY342" s="663"/>
      <c r="AZ342" s="663"/>
      <c r="BA342" s="663"/>
      <c r="BB342" s="663"/>
      <c r="BC342" s="663"/>
      <c r="BD342" s="663"/>
      <c r="BE342" s="663"/>
      <c r="BF342" s="663"/>
      <c r="BG342" s="663"/>
      <c r="BH342" s="663"/>
      <c r="BI342" s="663"/>
      <c r="BJ342" s="663"/>
      <c r="BK342" s="663"/>
      <c r="BL342" s="663"/>
      <c r="BM342" s="663"/>
      <c r="BN342" s="663"/>
      <c r="BO342" s="663"/>
      <c r="BP342" s="663"/>
      <c r="BQ342" s="663"/>
      <c r="BR342" s="663"/>
      <c r="BS342" s="663"/>
      <c r="BT342" s="663"/>
      <c r="BU342" s="663"/>
      <c r="BV342" s="663"/>
      <c r="BW342" s="663"/>
      <c r="BX342" s="663"/>
      <c r="BY342" s="663"/>
      <c r="BZ342" s="663"/>
      <c r="CA342" s="663"/>
      <c r="CB342" s="663"/>
      <c r="CC342" s="663"/>
      <c r="CD342" s="663"/>
      <c r="CE342" s="663"/>
      <c r="CF342" s="663"/>
      <c r="CG342" s="663"/>
      <c r="CH342" s="663"/>
      <c r="CI342" s="663"/>
      <c r="CJ342" s="663"/>
      <c r="CK342" s="663"/>
      <c r="CL342" s="663"/>
      <c r="CM342" s="663"/>
      <c r="CN342" s="663"/>
      <c r="CO342" s="663"/>
      <c r="CP342" s="663"/>
      <c r="CQ342" s="663"/>
      <c r="CR342" s="663"/>
      <c r="CS342" s="663"/>
      <c r="CT342" s="663"/>
      <c r="CU342" s="663"/>
      <c r="CV342" s="663"/>
      <c r="CW342" s="663"/>
      <c r="CX342" s="663"/>
      <c r="CY342" s="663"/>
      <c r="CZ342" s="663"/>
      <c r="DA342" s="663"/>
      <c r="DB342" s="663"/>
      <c r="DC342" s="663"/>
      <c r="DD342" s="663"/>
      <c r="DE342" s="663"/>
      <c r="DF342" s="663"/>
      <c r="DG342" s="663"/>
      <c r="DH342" s="663"/>
      <c r="DI342" s="663"/>
      <c r="DJ342" s="663"/>
      <c r="DK342" s="663"/>
      <c r="DL342" s="663"/>
      <c r="DM342" s="663"/>
      <c r="DN342" s="663"/>
      <c r="DO342" s="663"/>
      <c r="DP342" s="663"/>
      <c r="DQ342" s="663"/>
      <c r="DR342" s="663"/>
      <c r="DS342" s="663"/>
      <c r="DT342" s="663"/>
      <c r="DU342" s="663"/>
      <c r="DV342" s="663"/>
      <c r="DW342" s="663"/>
      <c r="DX342" s="663"/>
      <c r="DY342" s="663"/>
      <c r="DZ342" s="663"/>
      <c r="EA342" s="663"/>
      <c r="EB342" s="663"/>
      <c r="EC342" s="663"/>
      <c r="ED342" s="663"/>
      <c r="EE342" s="663"/>
      <c r="EF342" s="663"/>
      <c r="EG342" s="663"/>
      <c r="EH342" s="663"/>
      <c r="EI342" s="663"/>
      <c r="EJ342" s="663"/>
      <c r="EK342" s="663"/>
      <c r="EL342" s="663"/>
      <c r="EM342" s="663"/>
      <c r="EN342" s="663"/>
      <c r="EO342" s="663"/>
      <c r="EP342" s="663"/>
      <c r="EQ342" s="663"/>
      <c r="ER342" s="663"/>
      <c r="ES342" s="663"/>
      <c r="ET342" s="663"/>
      <c r="EU342" s="663"/>
      <c r="EV342" s="663"/>
      <c r="EW342" s="663"/>
      <c r="EX342" s="663"/>
      <c r="EY342" s="663"/>
      <c r="EZ342" s="663"/>
      <c r="FA342" s="663"/>
      <c r="FB342" s="663"/>
      <c r="FC342" s="663"/>
      <c r="FD342" s="663"/>
      <c r="FE342" s="663"/>
      <c r="FF342" s="663"/>
      <c r="FG342" s="663"/>
      <c r="FH342" s="663"/>
      <c r="FI342" s="663"/>
      <c r="FJ342" s="663"/>
      <c r="FK342" s="663"/>
      <c r="FL342" s="663"/>
      <c r="FM342" s="663"/>
      <c r="FN342" s="663"/>
      <c r="FO342" s="663"/>
      <c r="FP342" s="663"/>
      <c r="FQ342" s="663"/>
      <c r="FR342" s="663"/>
      <c r="FS342" s="663"/>
      <c r="FT342" s="663"/>
      <c r="FU342" s="663"/>
      <c r="FV342" s="663"/>
      <c r="FW342" s="663"/>
      <c r="FX342" s="663"/>
      <c r="FY342" s="663"/>
      <c r="FZ342" s="663"/>
      <c r="GA342" s="663"/>
      <c r="GB342" s="663"/>
      <c r="GC342" s="663"/>
      <c r="GD342" s="663"/>
      <c r="GE342" s="663"/>
      <c r="GF342" s="663"/>
      <c r="GG342" s="663"/>
    </row>
    <row r="343" spans="1:189">
      <c r="A343" s="670"/>
      <c r="B343" s="670"/>
      <c r="C343" s="670"/>
      <c r="D343" s="670"/>
      <c r="E343" s="670"/>
      <c r="F343" s="670"/>
      <c r="G343" s="673"/>
      <c r="H343" s="627"/>
      <c r="I343" s="627"/>
      <c r="J343" s="672"/>
      <c r="K343" s="663"/>
      <c r="L343" s="663"/>
      <c r="M343" s="663"/>
      <c r="N343" s="663"/>
      <c r="O343" s="663"/>
      <c r="P343" s="663"/>
      <c r="Q343" s="663"/>
      <c r="R343" s="663"/>
      <c r="S343" s="663"/>
      <c r="T343" s="663"/>
      <c r="U343" s="663"/>
      <c r="V343" s="663"/>
      <c r="W343" s="663"/>
      <c r="X343" s="663"/>
      <c r="Y343" s="663"/>
      <c r="Z343" s="663"/>
      <c r="AA343" s="663"/>
      <c r="AB343" s="663"/>
      <c r="AC343" s="663"/>
      <c r="AD343" s="663"/>
      <c r="AE343" s="663"/>
      <c r="AF343" s="663"/>
      <c r="AG343" s="663"/>
      <c r="AH343" s="663"/>
      <c r="AI343" s="663"/>
      <c r="AJ343" s="663"/>
      <c r="AK343" s="663"/>
      <c r="AL343" s="663"/>
      <c r="AM343" s="663"/>
      <c r="AN343" s="663"/>
      <c r="AO343" s="663"/>
      <c r="AP343" s="663"/>
      <c r="AQ343" s="663"/>
      <c r="AR343" s="663"/>
      <c r="AS343" s="663"/>
      <c r="AT343" s="663"/>
      <c r="AU343" s="663"/>
      <c r="AV343" s="663"/>
      <c r="AW343" s="663"/>
      <c r="AX343" s="663"/>
      <c r="AY343" s="663"/>
      <c r="AZ343" s="663"/>
      <c r="BA343" s="663"/>
      <c r="BB343" s="663"/>
      <c r="BC343" s="663"/>
      <c r="BD343" s="663"/>
      <c r="BE343" s="663"/>
      <c r="BF343" s="663"/>
      <c r="BG343" s="663"/>
      <c r="BH343" s="663"/>
      <c r="BI343" s="663"/>
      <c r="BJ343" s="663"/>
      <c r="BK343" s="663"/>
      <c r="BL343" s="663"/>
      <c r="BM343" s="663"/>
      <c r="BN343" s="663"/>
      <c r="BO343" s="663"/>
      <c r="BP343" s="663"/>
      <c r="BQ343" s="663"/>
      <c r="BR343" s="663"/>
      <c r="BS343" s="663"/>
      <c r="BT343" s="663"/>
      <c r="BU343" s="663"/>
      <c r="BV343" s="663"/>
      <c r="BW343" s="663"/>
      <c r="BX343" s="663"/>
      <c r="BY343" s="663"/>
      <c r="BZ343" s="663"/>
      <c r="CA343" s="663"/>
      <c r="CB343" s="663"/>
      <c r="CC343" s="663"/>
      <c r="CD343" s="663"/>
      <c r="CE343" s="663"/>
      <c r="CF343" s="663"/>
      <c r="CG343" s="663"/>
      <c r="CH343" s="663"/>
      <c r="CI343" s="663"/>
      <c r="CJ343" s="663"/>
      <c r="CK343" s="663"/>
      <c r="CL343" s="663"/>
      <c r="CM343" s="663"/>
      <c r="CN343" s="663"/>
      <c r="CO343" s="663"/>
      <c r="CP343" s="663"/>
      <c r="CQ343" s="663"/>
      <c r="CR343" s="663"/>
      <c r="CS343" s="663"/>
      <c r="CT343" s="663"/>
      <c r="CU343" s="663"/>
      <c r="CV343" s="663"/>
      <c r="CW343" s="663"/>
      <c r="CX343" s="663"/>
      <c r="CY343" s="663"/>
      <c r="CZ343" s="663"/>
      <c r="DA343" s="663"/>
      <c r="DB343" s="663"/>
      <c r="DC343" s="663"/>
      <c r="DD343" s="663"/>
      <c r="DE343" s="663"/>
      <c r="DF343" s="663"/>
      <c r="DG343" s="663"/>
      <c r="DH343" s="663"/>
      <c r="DI343" s="663"/>
      <c r="DJ343" s="663"/>
      <c r="DK343" s="663"/>
      <c r="DL343" s="663"/>
      <c r="DM343" s="663"/>
      <c r="DN343" s="663"/>
      <c r="DO343" s="663"/>
      <c r="DP343" s="663"/>
      <c r="DQ343" s="663"/>
      <c r="DR343" s="663"/>
      <c r="DS343" s="663"/>
      <c r="DT343" s="663"/>
      <c r="DU343" s="663"/>
      <c r="DV343" s="663"/>
      <c r="DW343" s="663"/>
      <c r="DX343" s="663"/>
      <c r="DY343" s="663"/>
      <c r="DZ343" s="663"/>
      <c r="EA343" s="663"/>
      <c r="EB343" s="663"/>
      <c r="EC343" s="663"/>
      <c r="ED343" s="663"/>
      <c r="EE343" s="663"/>
      <c r="EF343" s="663"/>
      <c r="EG343" s="663"/>
      <c r="EH343" s="663"/>
      <c r="EI343" s="663"/>
      <c r="EJ343" s="663"/>
      <c r="EK343" s="663"/>
      <c r="EL343" s="663"/>
      <c r="EM343" s="663"/>
      <c r="EN343" s="663"/>
      <c r="EO343" s="663"/>
      <c r="EP343" s="663"/>
      <c r="EQ343" s="663"/>
      <c r="ER343" s="663"/>
      <c r="ES343" s="663"/>
      <c r="ET343" s="663"/>
      <c r="EU343" s="663"/>
      <c r="EV343" s="663"/>
      <c r="EW343" s="663"/>
      <c r="EX343" s="663"/>
      <c r="EY343" s="663"/>
      <c r="EZ343" s="663"/>
      <c r="FA343" s="663"/>
      <c r="FB343" s="663"/>
      <c r="FC343" s="663"/>
      <c r="FD343" s="663"/>
      <c r="FE343" s="663"/>
      <c r="FF343" s="663"/>
      <c r="FG343" s="663"/>
      <c r="FH343" s="663"/>
      <c r="FI343" s="663"/>
      <c r="FJ343" s="663"/>
      <c r="FK343" s="663"/>
      <c r="FL343" s="663"/>
      <c r="FM343" s="663"/>
      <c r="FN343" s="663"/>
      <c r="FO343" s="663"/>
      <c r="FP343" s="663"/>
      <c r="FQ343" s="663"/>
      <c r="FR343" s="663"/>
      <c r="FS343" s="663"/>
      <c r="FT343" s="663"/>
      <c r="FU343" s="663"/>
      <c r="FV343" s="663"/>
      <c r="FW343" s="663"/>
      <c r="FX343" s="663"/>
      <c r="FY343" s="663"/>
      <c r="FZ343" s="663"/>
      <c r="GA343" s="663"/>
      <c r="GB343" s="663"/>
      <c r="GC343" s="663"/>
      <c r="GD343" s="663"/>
      <c r="GE343" s="663"/>
      <c r="GF343" s="663"/>
      <c r="GG343" s="663"/>
    </row>
    <row r="344" spans="1:189">
      <c r="A344" s="670"/>
      <c r="B344" s="670"/>
      <c r="C344" s="670"/>
      <c r="D344" s="670"/>
      <c r="E344" s="670"/>
      <c r="F344" s="670"/>
      <c r="G344" s="673"/>
      <c r="H344" s="627"/>
      <c r="I344" s="627"/>
      <c r="J344" s="672"/>
      <c r="K344" s="663"/>
      <c r="L344" s="663"/>
      <c r="M344" s="663"/>
      <c r="N344" s="663"/>
      <c r="O344" s="663"/>
      <c r="P344" s="663"/>
      <c r="Q344" s="663"/>
      <c r="R344" s="663"/>
      <c r="S344" s="663"/>
      <c r="T344" s="663"/>
      <c r="U344" s="663"/>
      <c r="V344" s="663"/>
      <c r="W344" s="663"/>
      <c r="X344" s="663"/>
      <c r="Y344" s="663"/>
      <c r="Z344" s="663"/>
      <c r="AA344" s="663"/>
      <c r="AB344" s="663"/>
      <c r="AC344" s="663"/>
      <c r="AD344" s="663"/>
      <c r="AE344" s="663"/>
      <c r="AF344" s="663"/>
      <c r="AG344" s="663"/>
      <c r="AH344" s="663"/>
      <c r="AI344" s="663"/>
      <c r="AJ344" s="663"/>
      <c r="AK344" s="663"/>
      <c r="AL344" s="663"/>
      <c r="AM344" s="663"/>
      <c r="AN344" s="663"/>
      <c r="AO344" s="663"/>
      <c r="AP344" s="663"/>
      <c r="AQ344" s="663"/>
      <c r="AR344" s="663"/>
      <c r="AS344" s="663"/>
      <c r="AT344" s="663"/>
      <c r="AU344" s="663"/>
      <c r="AV344" s="663"/>
      <c r="AW344" s="663"/>
      <c r="AX344" s="663"/>
      <c r="AY344" s="663"/>
      <c r="AZ344" s="663"/>
      <c r="BA344" s="663"/>
      <c r="BB344" s="663"/>
      <c r="BC344" s="663"/>
      <c r="BD344" s="663"/>
      <c r="BE344" s="663"/>
      <c r="BF344" s="663"/>
      <c r="BG344" s="663"/>
      <c r="BH344" s="663"/>
      <c r="BI344" s="663"/>
      <c r="BJ344" s="663"/>
      <c r="BK344" s="663"/>
      <c r="BL344" s="663"/>
      <c r="BM344" s="663"/>
      <c r="BN344" s="663"/>
      <c r="BO344" s="663"/>
      <c r="BP344" s="663"/>
      <c r="BQ344" s="663"/>
      <c r="BR344" s="663"/>
      <c r="BS344" s="663"/>
      <c r="BT344" s="663"/>
      <c r="BU344" s="663"/>
      <c r="BV344" s="663"/>
      <c r="BW344" s="663"/>
      <c r="BX344" s="663"/>
      <c r="BY344" s="663"/>
      <c r="BZ344" s="663"/>
      <c r="CA344" s="663"/>
      <c r="CB344" s="663"/>
      <c r="CC344" s="663"/>
      <c r="CD344" s="663"/>
      <c r="CE344" s="663"/>
      <c r="CF344" s="663"/>
      <c r="CG344" s="663"/>
      <c r="CH344" s="663"/>
      <c r="CI344" s="663"/>
      <c r="CJ344" s="663"/>
      <c r="CK344" s="663"/>
      <c r="CL344" s="663"/>
      <c r="CM344" s="663"/>
      <c r="CN344" s="663"/>
      <c r="CO344" s="663"/>
      <c r="CP344" s="663"/>
      <c r="CQ344" s="663"/>
      <c r="CR344" s="663"/>
      <c r="CS344" s="663"/>
      <c r="CT344" s="663"/>
      <c r="CU344" s="663"/>
      <c r="CV344" s="663"/>
      <c r="CW344" s="663"/>
      <c r="CX344" s="663"/>
      <c r="CY344" s="663"/>
      <c r="CZ344" s="663"/>
      <c r="DA344" s="663"/>
      <c r="DB344" s="663"/>
      <c r="DC344" s="663"/>
      <c r="DD344" s="663"/>
      <c r="DE344" s="663"/>
      <c r="DF344" s="663"/>
      <c r="DG344" s="663"/>
      <c r="DH344" s="663"/>
      <c r="DI344" s="663"/>
      <c r="DJ344" s="663"/>
      <c r="DK344" s="663"/>
      <c r="DL344" s="663"/>
      <c r="DM344" s="663"/>
      <c r="DN344" s="663"/>
      <c r="DO344" s="663"/>
      <c r="DP344" s="663"/>
      <c r="DQ344" s="663"/>
      <c r="DR344" s="663"/>
      <c r="DS344" s="663"/>
      <c r="DT344" s="663"/>
      <c r="DU344" s="663"/>
      <c r="DV344" s="663"/>
      <c r="DW344" s="663"/>
      <c r="DX344" s="663"/>
      <c r="DY344" s="663"/>
      <c r="DZ344" s="663"/>
      <c r="EA344" s="663"/>
      <c r="EB344" s="663"/>
      <c r="EC344" s="663"/>
      <c r="ED344" s="663"/>
      <c r="EE344" s="663"/>
      <c r="EF344" s="663"/>
      <c r="EG344" s="663"/>
      <c r="EH344" s="663"/>
      <c r="EI344" s="663"/>
      <c r="EJ344" s="663"/>
      <c r="EK344" s="663"/>
      <c r="EL344" s="663"/>
      <c r="EM344" s="663"/>
      <c r="EN344" s="663"/>
      <c r="EO344" s="663"/>
      <c r="EP344" s="663"/>
      <c r="EQ344" s="663"/>
      <c r="ER344" s="663"/>
      <c r="ES344" s="663"/>
      <c r="ET344" s="663"/>
      <c r="EU344" s="663"/>
      <c r="EV344" s="663"/>
      <c r="EW344" s="663"/>
      <c r="EX344" s="663"/>
      <c r="EY344" s="663"/>
      <c r="EZ344" s="663"/>
      <c r="FA344" s="663"/>
      <c r="FB344" s="663"/>
      <c r="FC344" s="663"/>
      <c r="FD344" s="663"/>
      <c r="FE344" s="663"/>
      <c r="FF344" s="663"/>
      <c r="FG344" s="663"/>
      <c r="FH344" s="663"/>
      <c r="FI344" s="663"/>
      <c r="FJ344" s="663"/>
      <c r="FK344" s="663"/>
      <c r="FL344" s="663"/>
      <c r="FM344" s="663"/>
      <c r="FN344" s="663"/>
      <c r="FO344" s="663"/>
      <c r="FP344" s="663"/>
      <c r="FQ344" s="663"/>
      <c r="FR344" s="663"/>
      <c r="FS344" s="663"/>
      <c r="FT344" s="663"/>
      <c r="FU344" s="663"/>
      <c r="FV344" s="663"/>
      <c r="FW344" s="663"/>
      <c r="FX344" s="663"/>
      <c r="FY344" s="663"/>
      <c r="FZ344" s="663"/>
      <c r="GA344" s="663"/>
      <c r="GB344" s="663"/>
      <c r="GC344" s="663"/>
      <c r="GD344" s="663"/>
      <c r="GE344" s="663"/>
      <c r="GF344" s="663"/>
      <c r="GG344" s="663"/>
    </row>
    <row r="345" spans="1:189">
      <c r="A345" s="670"/>
      <c r="B345" s="670"/>
      <c r="C345" s="670"/>
      <c r="D345" s="670"/>
      <c r="E345" s="670"/>
      <c r="F345" s="670"/>
      <c r="G345" s="673"/>
      <c r="H345" s="627"/>
      <c r="I345" s="627"/>
      <c r="J345" s="672"/>
      <c r="K345" s="663"/>
      <c r="L345" s="663"/>
      <c r="M345" s="663"/>
      <c r="N345" s="663"/>
      <c r="O345" s="663"/>
      <c r="P345" s="663"/>
      <c r="Q345" s="663"/>
      <c r="R345" s="663"/>
      <c r="S345" s="663"/>
      <c r="T345" s="663"/>
      <c r="U345" s="663"/>
      <c r="V345" s="663"/>
      <c r="W345" s="663"/>
      <c r="X345" s="663"/>
      <c r="Y345" s="663"/>
      <c r="Z345" s="663"/>
      <c r="AA345" s="663"/>
      <c r="AB345" s="663"/>
      <c r="AC345" s="663"/>
      <c r="AD345" s="663"/>
      <c r="AE345" s="663"/>
      <c r="AF345" s="663"/>
      <c r="AG345" s="663"/>
      <c r="AH345" s="663"/>
      <c r="AI345" s="663"/>
      <c r="AJ345" s="663"/>
      <c r="AK345" s="663"/>
      <c r="AL345" s="663"/>
      <c r="AM345" s="663"/>
      <c r="AN345" s="663"/>
      <c r="AO345" s="663"/>
      <c r="AP345" s="663"/>
      <c r="AQ345" s="663"/>
      <c r="AR345" s="663"/>
      <c r="AS345" s="663"/>
      <c r="AT345" s="663"/>
      <c r="AU345" s="663"/>
      <c r="AV345" s="663"/>
      <c r="AW345" s="663"/>
      <c r="AX345" s="663"/>
      <c r="AY345" s="663"/>
      <c r="AZ345" s="663"/>
      <c r="BA345" s="663"/>
      <c r="BB345" s="663"/>
      <c r="BC345" s="663"/>
      <c r="BD345" s="663"/>
      <c r="BE345" s="663"/>
      <c r="BF345" s="663"/>
      <c r="BG345" s="663"/>
      <c r="BH345" s="663"/>
      <c r="BI345" s="663"/>
      <c r="BJ345" s="663"/>
      <c r="BK345" s="663"/>
      <c r="BL345" s="663"/>
      <c r="BM345" s="663"/>
      <c r="BN345" s="663"/>
      <c r="BO345" s="663"/>
      <c r="BP345" s="663"/>
      <c r="BQ345" s="663"/>
      <c r="BR345" s="663"/>
      <c r="BS345" s="663"/>
      <c r="BT345" s="663"/>
      <c r="BU345" s="663"/>
      <c r="BV345" s="663"/>
      <c r="BW345" s="663"/>
      <c r="BX345" s="663"/>
      <c r="BY345" s="663"/>
      <c r="BZ345" s="663"/>
      <c r="CA345" s="663"/>
      <c r="CB345" s="663"/>
      <c r="CC345" s="663"/>
      <c r="CD345" s="663"/>
      <c r="CE345" s="663"/>
      <c r="CF345" s="663"/>
      <c r="CG345" s="663"/>
      <c r="CH345" s="663"/>
      <c r="CI345" s="663"/>
      <c r="CJ345" s="663"/>
      <c r="CK345" s="663"/>
      <c r="CL345" s="663"/>
      <c r="CM345" s="663"/>
      <c r="CN345" s="663"/>
      <c r="CO345" s="663"/>
      <c r="CP345" s="663"/>
      <c r="CQ345" s="663"/>
      <c r="CR345" s="663"/>
      <c r="CS345" s="663"/>
      <c r="CT345" s="663"/>
      <c r="CU345" s="663"/>
      <c r="CV345" s="663"/>
      <c r="CW345" s="663"/>
      <c r="CX345" s="663"/>
      <c r="CY345" s="663"/>
      <c r="CZ345" s="663"/>
      <c r="DA345" s="663"/>
      <c r="DB345" s="663"/>
      <c r="DC345" s="663"/>
      <c r="DD345" s="663"/>
      <c r="DE345" s="663"/>
      <c r="DF345" s="663"/>
      <c r="DG345" s="663"/>
      <c r="DH345" s="663"/>
      <c r="DI345" s="663"/>
      <c r="DJ345" s="663"/>
      <c r="DK345" s="663"/>
      <c r="DL345" s="663"/>
      <c r="DM345" s="663"/>
      <c r="DN345" s="663"/>
      <c r="DO345" s="663"/>
      <c r="DP345" s="663"/>
      <c r="DQ345" s="663"/>
      <c r="DR345" s="663"/>
      <c r="DS345" s="663"/>
      <c r="DT345" s="663"/>
      <c r="DU345" s="663"/>
      <c r="DV345" s="663"/>
      <c r="DW345" s="663"/>
      <c r="DX345" s="663"/>
      <c r="DY345" s="663"/>
      <c r="DZ345" s="663"/>
      <c r="EA345" s="663"/>
      <c r="EB345" s="663"/>
      <c r="EC345" s="663"/>
      <c r="ED345" s="663"/>
      <c r="EE345" s="663"/>
      <c r="EF345" s="663"/>
      <c r="EG345" s="663"/>
      <c r="EH345" s="663"/>
      <c r="EI345" s="663"/>
      <c r="EJ345" s="663"/>
      <c r="EK345" s="663"/>
      <c r="EL345" s="663"/>
      <c r="EM345" s="663"/>
      <c r="EN345" s="663"/>
      <c r="EO345" s="663"/>
      <c r="EP345" s="663"/>
      <c r="EQ345" s="663"/>
      <c r="ER345" s="663"/>
      <c r="ES345" s="663"/>
      <c r="ET345" s="663"/>
      <c r="EU345" s="663"/>
      <c r="EV345" s="663"/>
      <c r="EW345" s="663"/>
      <c r="EX345" s="663"/>
      <c r="EY345" s="663"/>
      <c r="EZ345" s="663"/>
      <c r="FA345" s="663"/>
      <c r="FB345" s="663"/>
      <c r="FC345" s="663"/>
      <c r="FD345" s="663"/>
      <c r="FE345" s="663"/>
      <c r="FF345" s="663"/>
      <c r="FG345" s="663"/>
      <c r="FH345" s="663"/>
      <c r="FI345" s="663"/>
      <c r="FJ345" s="663"/>
      <c r="FK345" s="663"/>
      <c r="FL345" s="663"/>
      <c r="FM345" s="663"/>
      <c r="FN345" s="663"/>
      <c r="FO345" s="663"/>
      <c r="FP345" s="663"/>
      <c r="FQ345" s="663"/>
      <c r="FR345" s="663"/>
      <c r="FS345" s="663"/>
      <c r="FT345" s="663"/>
      <c r="FU345" s="663"/>
      <c r="FV345" s="663"/>
      <c r="FW345" s="663"/>
      <c r="FX345" s="663"/>
      <c r="FY345" s="663"/>
      <c r="FZ345" s="663"/>
      <c r="GA345" s="663"/>
      <c r="GB345" s="663"/>
      <c r="GC345" s="663"/>
      <c r="GD345" s="663"/>
      <c r="GE345" s="663"/>
      <c r="GF345" s="663"/>
      <c r="GG345" s="663"/>
    </row>
    <row r="346" spans="1:189">
      <c r="A346" s="670"/>
      <c r="B346" s="670"/>
      <c r="C346" s="670"/>
      <c r="D346" s="670"/>
      <c r="E346" s="670"/>
      <c r="F346" s="670"/>
      <c r="G346" s="673"/>
      <c r="H346" s="627"/>
      <c r="I346" s="627"/>
      <c r="J346" s="672"/>
      <c r="K346" s="663"/>
      <c r="L346" s="663"/>
      <c r="M346" s="663"/>
      <c r="N346" s="663"/>
      <c r="O346" s="663"/>
      <c r="P346" s="663"/>
      <c r="Q346" s="663"/>
      <c r="R346" s="663"/>
      <c r="S346" s="663"/>
      <c r="T346" s="663"/>
      <c r="U346" s="663"/>
      <c r="V346" s="663"/>
      <c r="W346" s="663"/>
      <c r="X346" s="663"/>
      <c r="Y346" s="663"/>
      <c r="Z346" s="663"/>
      <c r="AA346" s="663"/>
      <c r="AB346" s="663"/>
      <c r="AC346" s="663"/>
      <c r="AD346" s="663"/>
      <c r="AE346" s="663"/>
      <c r="AF346" s="663"/>
      <c r="AG346" s="663"/>
      <c r="AH346" s="663"/>
      <c r="AI346" s="663"/>
      <c r="AJ346" s="663"/>
      <c r="AK346" s="663"/>
      <c r="AL346" s="663"/>
      <c r="AM346" s="663"/>
      <c r="AN346" s="663"/>
      <c r="AO346" s="663"/>
      <c r="AP346" s="663"/>
      <c r="AQ346" s="663"/>
      <c r="AR346" s="663"/>
      <c r="AS346" s="663"/>
      <c r="AT346" s="663"/>
      <c r="AU346" s="663"/>
      <c r="AV346" s="663"/>
      <c r="AW346" s="663"/>
      <c r="AX346" s="663"/>
      <c r="AY346" s="663"/>
      <c r="AZ346" s="663"/>
      <c r="BA346" s="663"/>
      <c r="BB346" s="663"/>
      <c r="BC346" s="663"/>
      <c r="BD346" s="663"/>
      <c r="BE346" s="663"/>
      <c r="BF346" s="663"/>
      <c r="BG346" s="663"/>
      <c r="BH346" s="663"/>
      <c r="BI346" s="663"/>
      <c r="BJ346" s="663"/>
      <c r="BK346" s="663"/>
      <c r="BL346" s="663"/>
      <c r="BM346" s="663"/>
      <c r="BN346" s="663"/>
      <c r="BO346" s="663"/>
      <c r="BP346" s="663"/>
      <c r="BQ346" s="663"/>
      <c r="BR346" s="663"/>
      <c r="BS346" s="663"/>
      <c r="BT346" s="663"/>
      <c r="BU346" s="663"/>
      <c r="BV346" s="663"/>
      <c r="BW346" s="663"/>
      <c r="BX346" s="663"/>
      <c r="BY346" s="663"/>
      <c r="BZ346" s="663"/>
      <c r="CA346" s="663"/>
      <c r="CB346" s="663"/>
      <c r="CC346" s="663"/>
      <c r="CD346" s="663"/>
      <c r="CE346" s="663"/>
      <c r="CF346" s="663"/>
      <c r="CG346" s="663"/>
      <c r="CH346" s="663"/>
      <c r="CI346" s="663"/>
      <c r="CJ346" s="663"/>
      <c r="CK346" s="663"/>
      <c r="CL346" s="663"/>
      <c r="CM346" s="663"/>
      <c r="CN346" s="663"/>
      <c r="CO346" s="663"/>
      <c r="CP346" s="663"/>
      <c r="CQ346" s="663"/>
      <c r="CR346" s="663"/>
      <c r="CS346" s="663"/>
      <c r="CT346" s="663"/>
      <c r="CU346" s="663"/>
      <c r="CV346" s="663"/>
      <c r="CW346" s="663"/>
      <c r="CX346" s="663"/>
      <c r="CY346" s="663"/>
      <c r="CZ346" s="663"/>
      <c r="DA346" s="663"/>
      <c r="DB346" s="663"/>
      <c r="DC346" s="663"/>
      <c r="DD346" s="663"/>
      <c r="DE346" s="663"/>
      <c r="DF346" s="663"/>
      <c r="DG346" s="663"/>
      <c r="DH346" s="663"/>
      <c r="DI346" s="663"/>
      <c r="DJ346" s="663"/>
      <c r="DK346" s="663"/>
      <c r="DL346" s="663"/>
      <c r="DM346" s="663"/>
      <c r="DN346" s="663"/>
      <c r="DO346" s="663"/>
      <c r="DP346" s="663"/>
      <c r="DQ346" s="663"/>
      <c r="DR346" s="663"/>
      <c r="DS346" s="663"/>
      <c r="DT346" s="663"/>
      <c r="DU346" s="663"/>
      <c r="DV346" s="663"/>
      <c r="DW346" s="663"/>
      <c r="DX346" s="663"/>
      <c r="DY346" s="663"/>
      <c r="DZ346" s="663"/>
      <c r="EA346" s="663"/>
      <c r="EB346" s="663"/>
      <c r="EC346" s="663"/>
      <c r="ED346" s="663"/>
      <c r="EE346" s="663"/>
      <c r="EF346" s="663"/>
      <c r="EG346" s="663"/>
      <c r="EH346" s="663"/>
      <c r="EI346" s="663"/>
      <c r="EJ346" s="663"/>
      <c r="EK346" s="663"/>
      <c r="EL346" s="663"/>
      <c r="EM346" s="663"/>
      <c r="EN346" s="663"/>
      <c r="EO346" s="663"/>
      <c r="EP346" s="663"/>
      <c r="EQ346" s="663"/>
      <c r="ER346" s="663"/>
      <c r="ES346" s="663"/>
      <c r="ET346" s="663"/>
      <c r="EU346" s="663"/>
      <c r="EV346" s="663"/>
      <c r="EW346" s="663"/>
      <c r="EX346" s="663"/>
      <c r="EY346" s="663"/>
      <c r="EZ346" s="663"/>
      <c r="FA346" s="663"/>
      <c r="FB346" s="663"/>
      <c r="FC346" s="663"/>
      <c r="FD346" s="663"/>
      <c r="FE346" s="663"/>
      <c r="FF346" s="663"/>
      <c r="FG346" s="663"/>
      <c r="FH346" s="663"/>
      <c r="FI346" s="663"/>
      <c r="FJ346" s="663"/>
      <c r="FK346" s="663"/>
      <c r="FL346" s="663"/>
      <c r="FM346" s="663"/>
      <c r="FN346" s="663"/>
      <c r="FO346" s="663"/>
      <c r="FP346" s="663"/>
      <c r="FQ346" s="663"/>
      <c r="FR346" s="663"/>
      <c r="FS346" s="663"/>
      <c r="FT346" s="663"/>
      <c r="FU346" s="663"/>
      <c r="FV346" s="663"/>
      <c r="FW346" s="663"/>
      <c r="FX346" s="663"/>
      <c r="FY346" s="663"/>
      <c r="FZ346" s="663"/>
      <c r="GA346" s="663"/>
      <c r="GB346" s="663"/>
      <c r="GC346" s="663"/>
      <c r="GD346" s="663"/>
      <c r="GE346" s="663"/>
      <c r="GF346" s="663"/>
      <c r="GG346" s="663"/>
    </row>
    <row r="347" spans="1:189">
      <c r="A347" s="670"/>
      <c r="B347" s="670"/>
      <c r="C347" s="670"/>
      <c r="D347" s="670"/>
      <c r="E347" s="670"/>
      <c r="F347" s="670"/>
      <c r="G347" s="673"/>
      <c r="H347" s="627"/>
      <c r="I347" s="627"/>
      <c r="J347" s="672"/>
      <c r="K347" s="663"/>
      <c r="L347" s="663"/>
      <c r="M347" s="663"/>
      <c r="N347" s="663"/>
      <c r="O347" s="663"/>
      <c r="P347" s="663"/>
      <c r="Q347" s="663"/>
      <c r="R347" s="663"/>
      <c r="S347" s="663"/>
      <c r="T347" s="663"/>
      <c r="U347" s="663"/>
      <c r="V347" s="663"/>
      <c r="W347" s="663"/>
      <c r="X347" s="663"/>
      <c r="Y347" s="663"/>
      <c r="Z347" s="663"/>
      <c r="AA347" s="663"/>
      <c r="AB347" s="663"/>
      <c r="AC347" s="663"/>
      <c r="AD347" s="663"/>
      <c r="AE347" s="663"/>
      <c r="AF347" s="663"/>
      <c r="AG347" s="663"/>
      <c r="AH347" s="663"/>
      <c r="AI347" s="663"/>
      <c r="AJ347" s="663"/>
      <c r="AK347" s="663"/>
      <c r="AL347" s="663"/>
      <c r="AM347" s="663"/>
      <c r="AN347" s="663"/>
      <c r="AO347" s="663"/>
      <c r="AP347" s="663"/>
      <c r="AQ347" s="663"/>
      <c r="AR347" s="663"/>
      <c r="AS347" s="663"/>
      <c r="AT347" s="663"/>
      <c r="AU347" s="663"/>
      <c r="AV347" s="663"/>
      <c r="AW347" s="663"/>
      <c r="AX347" s="663"/>
      <c r="AY347" s="663"/>
      <c r="AZ347" s="663"/>
      <c r="BA347" s="663"/>
      <c r="BB347" s="663"/>
      <c r="BC347" s="663"/>
      <c r="BD347" s="663"/>
      <c r="BE347" s="663"/>
      <c r="BF347" s="663"/>
      <c r="BG347" s="663"/>
      <c r="BH347" s="663"/>
      <c r="BI347" s="663"/>
      <c r="BJ347" s="663"/>
      <c r="BK347" s="663"/>
      <c r="BL347" s="663"/>
      <c r="BM347" s="663"/>
      <c r="BN347" s="663"/>
      <c r="BO347" s="663"/>
      <c r="BP347" s="663"/>
      <c r="BQ347" s="663"/>
      <c r="BR347" s="663"/>
      <c r="BS347" s="663"/>
      <c r="BT347" s="663"/>
      <c r="BU347" s="663"/>
      <c r="BV347" s="663"/>
      <c r="BW347" s="663"/>
      <c r="BX347" s="663"/>
      <c r="BY347" s="663"/>
      <c r="BZ347" s="663"/>
      <c r="CA347" s="663"/>
      <c r="CB347" s="663"/>
      <c r="CC347" s="663"/>
      <c r="CD347" s="663"/>
      <c r="CE347" s="663"/>
      <c r="CF347" s="663"/>
      <c r="CG347" s="663"/>
      <c r="CH347" s="663"/>
      <c r="CI347" s="663"/>
      <c r="CJ347" s="663"/>
      <c r="CK347" s="663"/>
      <c r="CL347" s="663"/>
      <c r="CM347" s="663"/>
      <c r="CN347" s="663"/>
      <c r="CO347" s="663"/>
      <c r="CP347" s="663"/>
      <c r="CQ347" s="663"/>
      <c r="CR347" s="663"/>
      <c r="CS347" s="663"/>
      <c r="CT347" s="663"/>
      <c r="CU347" s="663"/>
      <c r="CV347" s="663"/>
      <c r="CW347" s="663"/>
      <c r="CX347" s="663"/>
      <c r="CY347" s="663"/>
      <c r="CZ347" s="663"/>
      <c r="DA347" s="663"/>
      <c r="DB347" s="663"/>
      <c r="DC347" s="663"/>
      <c r="DD347" s="663"/>
      <c r="DE347" s="663"/>
      <c r="DF347" s="663"/>
      <c r="DG347" s="663"/>
      <c r="DH347" s="663"/>
      <c r="DI347" s="663"/>
      <c r="DJ347" s="663"/>
      <c r="DK347" s="663"/>
      <c r="DL347" s="663"/>
      <c r="DM347" s="663"/>
      <c r="DN347" s="663"/>
      <c r="DO347" s="663"/>
      <c r="DP347" s="663"/>
      <c r="DQ347" s="663"/>
      <c r="DR347" s="663"/>
      <c r="DS347" s="663"/>
      <c r="DT347" s="663"/>
      <c r="DU347" s="663"/>
      <c r="DV347" s="663"/>
      <c r="DW347" s="663"/>
      <c r="DX347" s="663"/>
      <c r="DY347" s="663"/>
      <c r="DZ347" s="663"/>
      <c r="EA347" s="663"/>
      <c r="EB347" s="663"/>
      <c r="EC347" s="663"/>
      <c r="ED347" s="663"/>
      <c r="EE347" s="663"/>
      <c r="EF347" s="663"/>
      <c r="EG347" s="663"/>
      <c r="EH347" s="663"/>
      <c r="EI347" s="663"/>
      <c r="EJ347" s="663"/>
      <c r="EK347" s="663"/>
      <c r="EL347" s="663"/>
      <c r="EM347" s="663"/>
      <c r="EN347" s="663"/>
      <c r="EO347" s="663"/>
      <c r="EP347" s="663"/>
      <c r="EQ347" s="663"/>
      <c r="ER347" s="663"/>
      <c r="ES347" s="663"/>
      <c r="ET347" s="663"/>
      <c r="EU347" s="663"/>
      <c r="EV347" s="663"/>
      <c r="EW347" s="663"/>
      <c r="EX347" s="663"/>
      <c r="EY347" s="663"/>
      <c r="EZ347" s="663"/>
      <c r="FA347" s="663"/>
      <c r="FB347" s="663"/>
      <c r="FC347" s="663"/>
      <c r="FD347" s="663"/>
      <c r="FE347" s="663"/>
      <c r="FF347" s="663"/>
      <c r="FG347" s="663"/>
      <c r="FH347" s="663"/>
      <c r="FI347" s="663"/>
      <c r="FJ347" s="663"/>
      <c r="FK347" s="663"/>
      <c r="FL347" s="663"/>
      <c r="FM347" s="663"/>
      <c r="FN347" s="663"/>
      <c r="FO347" s="663"/>
      <c r="FP347" s="663"/>
      <c r="FQ347" s="663"/>
      <c r="FR347" s="663"/>
      <c r="FS347" s="663"/>
      <c r="FT347" s="663"/>
      <c r="FU347" s="663"/>
      <c r="FV347" s="663"/>
      <c r="FW347" s="663"/>
      <c r="FX347" s="663"/>
      <c r="FY347" s="663"/>
      <c r="FZ347" s="663"/>
      <c r="GA347" s="663"/>
      <c r="GB347" s="663"/>
      <c r="GC347" s="663"/>
      <c r="GD347" s="663"/>
      <c r="GE347" s="663"/>
      <c r="GF347" s="663"/>
      <c r="GG347" s="663"/>
    </row>
    <row r="348" spans="1:189">
      <c r="A348" s="670"/>
      <c r="B348" s="670"/>
      <c r="C348" s="670"/>
      <c r="D348" s="670"/>
      <c r="E348" s="670"/>
      <c r="F348" s="670"/>
      <c r="G348" s="673"/>
      <c r="H348" s="627"/>
      <c r="I348" s="627"/>
      <c r="J348" s="672"/>
      <c r="K348" s="663"/>
      <c r="L348" s="663"/>
      <c r="M348" s="663"/>
      <c r="N348" s="663"/>
      <c r="O348" s="663"/>
      <c r="P348" s="663"/>
      <c r="Q348" s="663"/>
      <c r="R348" s="663"/>
      <c r="S348" s="663"/>
      <c r="T348" s="663"/>
      <c r="U348" s="663"/>
      <c r="V348" s="663"/>
      <c r="W348" s="663"/>
      <c r="X348" s="663"/>
      <c r="Y348" s="663"/>
      <c r="Z348" s="663"/>
      <c r="AA348" s="663"/>
      <c r="AB348" s="663"/>
      <c r="AC348" s="663"/>
      <c r="AD348" s="663"/>
      <c r="AE348" s="663"/>
      <c r="AF348" s="663"/>
      <c r="AG348" s="663"/>
      <c r="AH348" s="663"/>
      <c r="AI348" s="663"/>
      <c r="AJ348" s="663"/>
      <c r="AK348" s="663"/>
      <c r="AL348" s="663"/>
      <c r="AM348" s="663"/>
      <c r="AN348" s="663"/>
      <c r="AO348" s="663"/>
      <c r="AP348" s="663"/>
      <c r="AQ348" s="663"/>
      <c r="AR348" s="663"/>
      <c r="AS348" s="663"/>
      <c r="AT348" s="663"/>
      <c r="AU348" s="663"/>
      <c r="AV348" s="663"/>
      <c r="AW348" s="663"/>
      <c r="AX348" s="663"/>
      <c r="AY348" s="663"/>
      <c r="AZ348" s="663"/>
      <c r="BA348" s="663"/>
      <c r="BB348" s="663"/>
      <c r="BC348" s="663"/>
      <c r="BD348" s="663"/>
      <c r="BE348" s="663"/>
      <c r="BF348" s="663"/>
      <c r="BG348" s="663"/>
      <c r="BH348" s="663"/>
      <c r="BI348" s="663"/>
      <c r="BJ348" s="663"/>
      <c r="BK348" s="663"/>
      <c r="BL348" s="663"/>
      <c r="BM348" s="663"/>
      <c r="BN348" s="663"/>
      <c r="BO348" s="663"/>
      <c r="BP348" s="663"/>
      <c r="BQ348" s="663"/>
      <c r="BR348" s="663"/>
      <c r="BS348" s="663"/>
      <c r="BT348" s="663"/>
      <c r="BU348" s="663"/>
      <c r="BV348" s="663"/>
      <c r="BW348" s="663"/>
      <c r="BX348" s="663"/>
      <c r="BY348" s="663"/>
      <c r="BZ348" s="663"/>
      <c r="CA348" s="663"/>
      <c r="CB348" s="663"/>
      <c r="CC348" s="663"/>
      <c r="CD348" s="663"/>
      <c r="CE348" s="663"/>
      <c r="CF348" s="663"/>
      <c r="CG348" s="663"/>
      <c r="CH348" s="663"/>
      <c r="CI348" s="663"/>
      <c r="CJ348" s="663"/>
      <c r="CK348" s="663"/>
      <c r="CL348" s="663"/>
      <c r="CM348" s="663"/>
      <c r="CN348" s="663"/>
      <c r="CO348" s="663"/>
      <c r="CP348" s="663"/>
      <c r="CQ348" s="663"/>
      <c r="CR348" s="663"/>
      <c r="CS348" s="663"/>
      <c r="CT348" s="663"/>
      <c r="CU348" s="663"/>
      <c r="CV348" s="663"/>
      <c r="CW348" s="663"/>
      <c r="CX348" s="663"/>
      <c r="CY348" s="663"/>
      <c r="CZ348" s="663"/>
      <c r="DA348" s="663"/>
      <c r="DB348" s="663"/>
      <c r="DC348" s="663"/>
      <c r="DD348" s="663"/>
      <c r="DE348" s="663"/>
      <c r="DF348" s="663"/>
      <c r="DG348" s="663"/>
      <c r="DH348" s="663"/>
      <c r="DI348" s="663"/>
      <c r="DJ348" s="663"/>
      <c r="DK348" s="663"/>
      <c r="DL348" s="663"/>
      <c r="DM348" s="663"/>
      <c r="DN348" s="663"/>
      <c r="DO348" s="663"/>
      <c r="DP348" s="663"/>
      <c r="DQ348" s="663"/>
      <c r="DR348" s="663"/>
      <c r="DS348" s="663"/>
      <c r="DT348" s="663"/>
      <c r="DU348" s="663"/>
      <c r="DV348" s="663"/>
      <c r="DW348" s="663"/>
      <c r="DX348" s="663"/>
      <c r="DY348" s="663"/>
      <c r="DZ348" s="663"/>
      <c r="EA348" s="663"/>
      <c r="EB348" s="663"/>
      <c r="EC348" s="663"/>
      <c r="ED348" s="663"/>
      <c r="EE348" s="663"/>
      <c r="EF348" s="663"/>
      <c r="EG348" s="663"/>
      <c r="EH348" s="663"/>
      <c r="EI348" s="663"/>
      <c r="EJ348" s="663"/>
      <c r="EK348" s="663"/>
      <c r="EL348" s="663"/>
      <c r="EM348" s="663"/>
      <c r="EN348" s="663"/>
      <c r="EO348" s="663"/>
      <c r="EP348" s="663"/>
      <c r="EQ348" s="663"/>
      <c r="ER348" s="663"/>
      <c r="ES348" s="663"/>
      <c r="ET348" s="663"/>
      <c r="EU348" s="663"/>
      <c r="EV348" s="663"/>
      <c r="EW348" s="663"/>
      <c r="EX348" s="663"/>
      <c r="EY348" s="663"/>
      <c r="EZ348" s="663"/>
      <c r="FA348" s="663"/>
      <c r="FB348" s="663"/>
      <c r="FC348" s="663"/>
      <c r="FD348" s="663"/>
      <c r="FE348" s="663"/>
      <c r="FF348" s="663"/>
      <c r="FG348" s="663"/>
      <c r="FH348" s="663"/>
      <c r="FI348" s="663"/>
      <c r="FJ348" s="663"/>
      <c r="FK348" s="663"/>
      <c r="FL348" s="663"/>
      <c r="FM348" s="663"/>
      <c r="FN348" s="663"/>
      <c r="FO348" s="663"/>
      <c r="FP348" s="663"/>
      <c r="FQ348" s="663"/>
      <c r="FR348" s="663"/>
      <c r="FS348" s="663"/>
      <c r="FT348" s="663"/>
      <c r="FU348" s="663"/>
      <c r="FV348" s="663"/>
      <c r="FW348" s="663"/>
      <c r="FX348" s="663"/>
      <c r="FY348" s="663"/>
      <c r="FZ348" s="663"/>
      <c r="GA348" s="663"/>
      <c r="GB348" s="663"/>
      <c r="GC348" s="663"/>
      <c r="GD348" s="663"/>
      <c r="GE348" s="663"/>
      <c r="GF348" s="663"/>
      <c r="GG348" s="663"/>
    </row>
    <row r="349" spans="1:189">
      <c r="A349" s="670"/>
      <c r="B349" s="670"/>
      <c r="C349" s="670"/>
      <c r="D349" s="670"/>
      <c r="E349" s="670"/>
      <c r="F349" s="670"/>
      <c r="G349" s="673"/>
      <c r="H349" s="627"/>
      <c r="I349" s="627"/>
      <c r="J349" s="672"/>
      <c r="K349" s="663"/>
      <c r="L349" s="663"/>
      <c r="M349" s="663"/>
      <c r="N349" s="663"/>
      <c r="O349" s="663"/>
      <c r="P349" s="663"/>
      <c r="Q349" s="663"/>
      <c r="R349" s="663"/>
      <c r="S349" s="663"/>
      <c r="T349" s="663"/>
      <c r="U349" s="663"/>
      <c r="V349" s="663"/>
      <c r="W349" s="663"/>
      <c r="X349" s="663"/>
      <c r="Y349" s="663"/>
      <c r="Z349" s="663"/>
      <c r="AA349" s="663"/>
      <c r="AB349" s="663"/>
      <c r="AC349" s="663"/>
      <c r="AD349" s="663"/>
      <c r="AE349" s="663"/>
      <c r="AF349" s="663"/>
      <c r="AG349" s="663"/>
      <c r="AH349" s="663"/>
      <c r="AI349" s="663"/>
      <c r="AJ349" s="663"/>
      <c r="AK349" s="663"/>
      <c r="AL349" s="663"/>
      <c r="AM349" s="663"/>
      <c r="AN349" s="663"/>
      <c r="AO349" s="663"/>
      <c r="AP349" s="663"/>
      <c r="AQ349" s="663"/>
      <c r="AR349" s="663"/>
      <c r="AS349" s="663"/>
      <c r="AT349" s="663"/>
      <c r="AU349" s="663"/>
      <c r="AV349" s="663"/>
      <c r="AW349" s="663"/>
      <c r="AX349" s="663"/>
      <c r="AY349" s="663"/>
      <c r="AZ349" s="663"/>
      <c r="BA349" s="663"/>
      <c r="BB349" s="663"/>
      <c r="BC349" s="663"/>
      <c r="BD349" s="663"/>
      <c r="BE349" s="663"/>
      <c r="BF349" s="663"/>
      <c r="BG349" s="663"/>
      <c r="BH349" s="663"/>
      <c r="BI349" s="663"/>
      <c r="BJ349" s="663"/>
      <c r="BK349" s="663"/>
      <c r="BL349" s="663"/>
      <c r="BM349" s="663"/>
      <c r="BN349" s="663"/>
      <c r="BO349" s="663"/>
      <c r="BP349" s="663"/>
      <c r="BQ349" s="663"/>
      <c r="BR349" s="663"/>
      <c r="BS349" s="663"/>
      <c r="BT349" s="663"/>
      <c r="BU349" s="663"/>
      <c r="BV349" s="663"/>
      <c r="BW349" s="663"/>
      <c r="BX349" s="663"/>
      <c r="BY349" s="663"/>
      <c r="BZ349" s="663"/>
      <c r="CA349" s="663"/>
      <c r="CB349" s="663"/>
      <c r="CC349" s="663"/>
      <c r="CD349" s="663"/>
      <c r="CE349" s="663"/>
      <c r="CF349" s="663"/>
      <c r="CG349" s="663"/>
      <c r="CH349" s="663"/>
      <c r="CI349" s="663"/>
      <c r="CJ349" s="663"/>
      <c r="CK349" s="663"/>
      <c r="CL349" s="663"/>
      <c r="CM349" s="663"/>
      <c r="CN349" s="663"/>
      <c r="CO349" s="663"/>
      <c r="CP349" s="663"/>
      <c r="CQ349" s="663"/>
      <c r="CR349" s="663"/>
      <c r="CS349" s="663"/>
      <c r="CT349" s="663"/>
      <c r="CU349" s="663"/>
      <c r="CV349" s="663"/>
      <c r="CW349" s="663"/>
      <c r="CX349" s="663"/>
      <c r="CY349" s="663"/>
      <c r="CZ349" s="663"/>
      <c r="DA349" s="663"/>
      <c r="DB349" s="663"/>
      <c r="DC349" s="663"/>
      <c r="DD349" s="663"/>
      <c r="DE349" s="663"/>
      <c r="DF349" s="663"/>
      <c r="DG349" s="663"/>
      <c r="DH349" s="663"/>
      <c r="DI349" s="663"/>
      <c r="DJ349" s="663"/>
      <c r="DK349" s="663"/>
      <c r="DL349" s="663"/>
      <c r="DM349" s="663"/>
      <c r="DN349" s="663"/>
      <c r="DO349" s="663"/>
      <c r="DP349" s="663"/>
      <c r="DQ349" s="663"/>
      <c r="DR349" s="663"/>
      <c r="DS349" s="663"/>
      <c r="DT349" s="663"/>
      <c r="DU349" s="663"/>
      <c r="DV349" s="663"/>
      <c r="DW349" s="663"/>
      <c r="DX349" s="663"/>
      <c r="DY349" s="663"/>
      <c r="DZ349" s="663"/>
      <c r="EA349" s="663"/>
      <c r="EB349" s="663"/>
      <c r="EC349" s="663"/>
      <c r="ED349" s="663"/>
      <c r="EE349" s="663"/>
      <c r="EF349" s="663"/>
      <c r="EG349" s="663"/>
      <c r="EH349" s="663"/>
      <c r="EI349" s="663"/>
      <c r="EJ349" s="663"/>
      <c r="EK349" s="663"/>
      <c r="EL349" s="663"/>
      <c r="EM349" s="663"/>
      <c r="EN349" s="663"/>
      <c r="EO349" s="663"/>
      <c r="EP349" s="663"/>
      <c r="EQ349" s="663"/>
      <c r="ER349" s="663"/>
      <c r="ES349" s="663"/>
      <c r="ET349" s="663"/>
      <c r="EU349" s="663"/>
      <c r="EV349" s="663"/>
      <c r="EW349" s="663"/>
      <c r="EX349" s="663"/>
      <c r="EY349" s="663"/>
      <c r="EZ349" s="663"/>
      <c r="FA349" s="663"/>
      <c r="FB349" s="663"/>
      <c r="FC349" s="663"/>
      <c r="FD349" s="663"/>
      <c r="FE349" s="663"/>
      <c r="FF349" s="663"/>
      <c r="FG349" s="663"/>
      <c r="FH349" s="663"/>
      <c r="FI349" s="663"/>
      <c r="FJ349" s="663"/>
      <c r="FK349" s="663"/>
      <c r="FL349" s="663"/>
      <c r="FM349" s="663"/>
      <c r="FN349" s="663"/>
      <c r="FO349" s="663"/>
      <c r="FP349" s="663"/>
      <c r="FQ349" s="663"/>
      <c r="FR349" s="663"/>
      <c r="FS349" s="663"/>
      <c r="FT349" s="663"/>
      <c r="FU349" s="663"/>
      <c r="FV349" s="663"/>
      <c r="FW349" s="663"/>
      <c r="FX349" s="663"/>
      <c r="FY349" s="663"/>
      <c r="FZ349" s="663"/>
      <c r="GA349" s="663"/>
      <c r="GB349" s="663"/>
      <c r="GC349" s="663"/>
      <c r="GD349" s="663"/>
      <c r="GE349" s="663"/>
      <c r="GF349" s="663"/>
      <c r="GG349" s="663"/>
    </row>
    <row r="350" spans="1:189">
      <c r="A350" s="670"/>
      <c r="B350" s="670"/>
      <c r="C350" s="670"/>
      <c r="D350" s="670"/>
      <c r="E350" s="670"/>
      <c r="F350" s="670"/>
      <c r="G350" s="673"/>
      <c r="H350" s="627"/>
      <c r="I350" s="627"/>
      <c r="J350" s="672"/>
      <c r="K350" s="663"/>
      <c r="L350" s="663"/>
      <c r="M350" s="663"/>
      <c r="N350" s="663"/>
      <c r="O350" s="663"/>
      <c r="P350" s="663"/>
      <c r="Q350" s="663"/>
      <c r="R350" s="663"/>
      <c r="S350" s="663"/>
      <c r="T350" s="663"/>
      <c r="U350" s="663"/>
      <c r="V350" s="663"/>
      <c r="W350" s="663"/>
      <c r="X350" s="663"/>
      <c r="Y350" s="663"/>
      <c r="Z350" s="663"/>
      <c r="AA350" s="663"/>
      <c r="AB350" s="663"/>
      <c r="AC350" s="663"/>
      <c r="AD350" s="663"/>
      <c r="AE350" s="663"/>
      <c r="AF350" s="663"/>
      <c r="AG350" s="663"/>
      <c r="AH350" s="663"/>
      <c r="AI350" s="663"/>
      <c r="AJ350" s="663"/>
      <c r="AK350" s="663"/>
      <c r="AL350" s="663"/>
      <c r="AM350" s="663"/>
      <c r="AN350" s="663"/>
      <c r="AO350" s="663"/>
      <c r="AP350" s="663"/>
      <c r="AQ350" s="663"/>
      <c r="AR350" s="663"/>
      <c r="AS350" s="663"/>
      <c r="AT350" s="663"/>
      <c r="AU350" s="663"/>
      <c r="AV350" s="663"/>
      <c r="AW350" s="663"/>
      <c r="AX350" s="663"/>
      <c r="AY350" s="663"/>
      <c r="AZ350" s="663"/>
      <c r="BA350" s="663"/>
      <c r="BB350" s="663"/>
      <c r="BC350" s="663"/>
      <c r="BD350" s="663"/>
      <c r="BE350" s="663"/>
      <c r="BF350" s="663"/>
      <c r="BG350" s="663"/>
      <c r="BH350" s="663"/>
      <c r="BI350" s="663"/>
      <c r="BJ350" s="663"/>
      <c r="BK350" s="663"/>
      <c r="BL350" s="663"/>
      <c r="BM350" s="663"/>
      <c r="BN350" s="663"/>
      <c r="BO350" s="663"/>
      <c r="BP350" s="663"/>
      <c r="BQ350" s="663"/>
      <c r="BR350" s="663"/>
      <c r="BS350" s="663"/>
      <c r="BT350" s="663"/>
      <c r="BU350" s="663"/>
      <c r="BV350" s="663"/>
      <c r="BW350" s="663"/>
      <c r="BX350" s="663"/>
      <c r="BY350" s="663"/>
      <c r="BZ350" s="663"/>
      <c r="CA350" s="663"/>
      <c r="CB350" s="663"/>
      <c r="CC350" s="663"/>
      <c r="CD350" s="663"/>
      <c r="CE350" s="663"/>
      <c r="CF350" s="663"/>
      <c r="CG350" s="663"/>
      <c r="CH350" s="663"/>
      <c r="CI350" s="663"/>
      <c r="CJ350" s="663"/>
      <c r="CK350" s="663"/>
      <c r="CL350" s="663"/>
      <c r="CM350" s="663"/>
      <c r="CN350" s="663"/>
      <c r="CO350" s="663"/>
      <c r="CP350" s="663"/>
      <c r="CQ350" s="663"/>
      <c r="CR350" s="663"/>
      <c r="CS350" s="663"/>
      <c r="CT350" s="663"/>
      <c r="CU350" s="663"/>
      <c r="CV350" s="663"/>
      <c r="CW350" s="663"/>
      <c r="CX350" s="663"/>
      <c r="CY350" s="663"/>
      <c r="CZ350" s="663"/>
      <c r="DA350" s="663"/>
      <c r="DB350" s="663"/>
      <c r="DC350" s="663"/>
      <c r="DD350" s="663"/>
      <c r="DE350" s="663"/>
      <c r="DF350" s="663"/>
      <c r="DG350" s="663"/>
      <c r="DH350" s="663"/>
      <c r="DI350" s="663"/>
      <c r="DJ350" s="663"/>
      <c r="DK350" s="663"/>
      <c r="DL350" s="663"/>
      <c r="DM350" s="663"/>
      <c r="DN350" s="663"/>
      <c r="DO350" s="663"/>
      <c r="DP350" s="663"/>
      <c r="DQ350" s="663"/>
      <c r="DR350" s="663"/>
      <c r="DS350" s="663"/>
      <c r="DT350" s="663"/>
      <c r="DU350" s="663"/>
      <c r="DV350" s="663"/>
      <c r="DW350" s="663"/>
      <c r="DX350" s="663"/>
      <c r="DY350" s="663"/>
      <c r="DZ350" s="663"/>
      <c r="EA350" s="663"/>
      <c r="EB350" s="663"/>
      <c r="EC350" s="663"/>
      <c r="ED350" s="663"/>
      <c r="EE350" s="663"/>
      <c r="EF350" s="663"/>
      <c r="EG350" s="663"/>
      <c r="EH350" s="663"/>
      <c r="EI350" s="663"/>
      <c r="EJ350" s="663"/>
      <c r="EK350" s="663"/>
      <c r="EL350" s="663"/>
      <c r="EM350" s="663"/>
      <c r="EN350" s="663"/>
      <c r="EO350" s="663"/>
      <c r="EP350" s="663"/>
      <c r="EQ350" s="663"/>
      <c r="ER350" s="663"/>
      <c r="ES350" s="663"/>
      <c r="ET350" s="663"/>
      <c r="EU350" s="663"/>
      <c r="EV350" s="663"/>
      <c r="EW350" s="663"/>
      <c r="EX350" s="663"/>
      <c r="EY350" s="663"/>
      <c r="EZ350" s="663"/>
      <c r="FA350" s="663"/>
      <c r="FB350" s="663"/>
      <c r="FC350" s="663"/>
      <c r="FD350" s="663"/>
      <c r="FE350" s="663"/>
      <c r="FF350" s="663"/>
      <c r="FG350" s="663"/>
      <c r="FH350" s="663"/>
      <c r="FI350" s="663"/>
      <c r="FJ350" s="663"/>
      <c r="FK350" s="663"/>
      <c r="FL350" s="663"/>
      <c r="FM350" s="663"/>
      <c r="FN350" s="663"/>
      <c r="FO350" s="663"/>
      <c r="FP350" s="663"/>
      <c r="FQ350" s="663"/>
      <c r="FR350" s="663"/>
      <c r="FS350" s="663"/>
      <c r="FT350" s="663"/>
      <c r="FU350" s="663"/>
      <c r="FV350" s="663"/>
      <c r="FW350" s="663"/>
      <c r="FX350" s="663"/>
      <c r="FY350" s="663"/>
      <c r="FZ350" s="663"/>
      <c r="GA350" s="663"/>
      <c r="GB350" s="663"/>
      <c r="GC350" s="663"/>
      <c r="GD350" s="663"/>
      <c r="GE350" s="663"/>
      <c r="GF350" s="663"/>
      <c r="GG350" s="663"/>
    </row>
    <row r="351" spans="1:189">
      <c r="A351" s="670"/>
      <c r="B351" s="670"/>
      <c r="C351" s="670"/>
      <c r="D351" s="670"/>
      <c r="E351" s="670"/>
      <c r="F351" s="670"/>
      <c r="G351" s="673"/>
      <c r="H351" s="627"/>
      <c r="I351" s="627"/>
      <c r="J351" s="672"/>
      <c r="K351" s="663"/>
      <c r="L351" s="663"/>
      <c r="M351" s="663"/>
      <c r="N351" s="663"/>
      <c r="O351" s="663"/>
      <c r="P351" s="663"/>
      <c r="Q351" s="663"/>
      <c r="R351" s="663"/>
      <c r="S351" s="663"/>
      <c r="T351" s="663"/>
      <c r="U351" s="663"/>
      <c r="V351" s="663"/>
      <c r="W351" s="663"/>
      <c r="X351" s="663"/>
      <c r="Y351" s="663"/>
      <c r="Z351" s="663"/>
      <c r="AA351" s="663"/>
      <c r="AB351" s="663"/>
      <c r="AC351" s="663"/>
      <c r="AD351" s="663"/>
      <c r="AE351" s="663"/>
      <c r="AF351" s="663"/>
      <c r="AG351" s="663"/>
      <c r="AH351" s="663"/>
      <c r="AI351" s="663"/>
      <c r="AJ351" s="663"/>
      <c r="AK351" s="663"/>
      <c r="AL351" s="663"/>
      <c r="AM351" s="663"/>
      <c r="AN351" s="663"/>
      <c r="AO351" s="663"/>
      <c r="AP351" s="663"/>
      <c r="AQ351" s="663"/>
      <c r="AR351" s="663"/>
      <c r="AS351" s="663"/>
      <c r="AT351" s="663"/>
      <c r="AU351" s="663"/>
      <c r="AV351" s="663"/>
      <c r="AW351" s="663"/>
      <c r="AX351" s="663"/>
      <c r="AY351" s="663"/>
      <c r="AZ351" s="663"/>
      <c r="BA351" s="663"/>
      <c r="BB351" s="663"/>
      <c r="BC351" s="663"/>
      <c r="BD351" s="663"/>
      <c r="BE351" s="663"/>
      <c r="BF351" s="663"/>
      <c r="BG351" s="663"/>
      <c r="BH351" s="663"/>
      <c r="BI351" s="663"/>
      <c r="BJ351" s="663"/>
      <c r="BK351" s="663"/>
      <c r="BL351" s="663"/>
      <c r="BM351" s="663"/>
      <c r="BN351" s="663"/>
      <c r="BO351" s="663"/>
      <c r="BP351" s="663"/>
      <c r="BQ351" s="663"/>
      <c r="BR351" s="663"/>
      <c r="BS351" s="663"/>
      <c r="BT351" s="663"/>
      <c r="BU351" s="663"/>
      <c r="BV351" s="663"/>
      <c r="BW351" s="663"/>
      <c r="BX351" s="663"/>
      <c r="BY351" s="663"/>
      <c r="BZ351" s="663"/>
      <c r="CA351" s="663"/>
      <c r="CB351" s="663"/>
      <c r="CC351" s="663"/>
      <c r="CD351" s="663"/>
      <c r="CE351" s="663"/>
      <c r="CF351" s="663"/>
      <c r="CG351" s="663"/>
      <c r="CH351" s="663"/>
      <c r="CI351" s="663"/>
      <c r="CJ351" s="663"/>
      <c r="CK351" s="663"/>
      <c r="CL351" s="663"/>
      <c r="CM351" s="663"/>
      <c r="CN351" s="663"/>
      <c r="CO351" s="663"/>
      <c r="CP351" s="663"/>
      <c r="CQ351" s="663"/>
      <c r="CR351" s="663"/>
      <c r="CS351" s="663"/>
      <c r="CT351" s="663"/>
      <c r="CU351" s="663"/>
      <c r="CV351" s="663"/>
      <c r="CW351" s="663"/>
      <c r="CX351" s="663"/>
      <c r="CY351" s="663"/>
      <c r="CZ351" s="663"/>
      <c r="DA351" s="663"/>
      <c r="DB351" s="663"/>
      <c r="DC351" s="663"/>
      <c r="DD351" s="663"/>
      <c r="DE351" s="663"/>
      <c r="DF351" s="663"/>
      <c r="DG351" s="663"/>
      <c r="DH351" s="663"/>
      <c r="DI351" s="663"/>
      <c r="DJ351" s="663"/>
      <c r="DK351" s="663"/>
      <c r="DL351" s="663"/>
      <c r="DM351" s="663"/>
      <c r="DN351" s="663"/>
      <c r="DO351" s="663"/>
      <c r="DP351" s="663"/>
      <c r="DQ351" s="663"/>
      <c r="DR351" s="663"/>
      <c r="DS351" s="663"/>
      <c r="DT351" s="663"/>
      <c r="DU351" s="663"/>
      <c r="DV351" s="663"/>
      <c r="DW351" s="663"/>
      <c r="DX351" s="663"/>
      <c r="DY351" s="663"/>
      <c r="DZ351" s="663"/>
      <c r="EA351" s="663"/>
      <c r="EB351" s="663"/>
      <c r="EC351" s="663"/>
      <c r="ED351" s="663"/>
      <c r="EE351" s="663"/>
      <c r="EF351" s="663"/>
      <c r="EG351" s="663"/>
      <c r="EH351" s="663"/>
      <c r="EI351" s="663"/>
      <c r="EJ351" s="663"/>
      <c r="EK351" s="663"/>
      <c r="EL351" s="663"/>
      <c r="EM351" s="663"/>
      <c r="EN351" s="663"/>
      <c r="EO351" s="663"/>
      <c r="EP351" s="663"/>
      <c r="EQ351" s="663"/>
      <c r="ER351" s="663"/>
      <c r="ES351" s="663"/>
      <c r="ET351" s="663"/>
      <c r="EU351" s="663"/>
      <c r="EV351" s="663"/>
      <c r="EW351" s="663"/>
      <c r="EX351" s="663"/>
      <c r="EY351" s="663"/>
      <c r="EZ351" s="663"/>
      <c r="FA351" s="663"/>
      <c r="FB351" s="663"/>
      <c r="FC351" s="663"/>
      <c r="FD351" s="663"/>
      <c r="FE351" s="663"/>
      <c r="FF351" s="663"/>
      <c r="FG351" s="663"/>
      <c r="FH351" s="663"/>
      <c r="FI351" s="663"/>
      <c r="FJ351" s="663"/>
      <c r="FK351" s="663"/>
      <c r="FL351" s="663"/>
      <c r="FM351" s="663"/>
      <c r="FN351" s="663"/>
      <c r="FO351" s="663"/>
      <c r="FP351" s="663"/>
      <c r="FQ351" s="663"/>
      <c r="FR351" s="663"/>
      <c r="FS351" s="663"/>
      <c r="FT351" s="663"/>
      <c r="FU351" s="663"/>
      <c r="FV351" s="663"/>
      <c r="FW351" s="663"/>
      <c r="FX351" s="663"/>
      <c r="FY351" s="663"/>
      <c r="FZ351" s="663"/>
      <c r="GA351" s="663"/>
      <c r="GB351" s="663"/>
      <c r="GC351" s="663"/>
      <c r="GD351" s="663"/>
      <c r="GE351" s="663"/>
      <c r="GF351" s="663"/>
      <c r="GG351" s="663"/>
    </row>
    <row r="352" spans="1:189">
      <c r="A352" s="670"/>
      <c r="B352" s="670"/>
      <c r="C352" s="670"/>
      <c r="D352" s="670"/>
      <c r="E352" s="670"/>
      <c r="F352" s="670"/>
      <c r="G352" s="673"/>
      <c r="H352" s="627"/>
      <c r="I352" s="627"/>
      <c r="J352" s="672"/>
      <c r="K352" s="663"/>
      <c r="L352" s="663"/>
      <c r="M352" s="663"/>
      <c r="N352" s="663"/>
      <c r="O352" s="663"/>
      <c r="P352" s="663"/>
      <c r="Q352" s="663"/>
      <c r="R352" s="663"/>
      <c r="S352" s="663"/>
      <c r="T352" s="663"/>
      <c r="U352" s="663"/>
      <c r="V352" s="663"/>
      <c r="W352" s="663"/>
      <c r="X352" s="663"/>
      <c r="Y352" s="663"/>
      <c r="Z352" s="663"/>
      <c r="AA352" s="663"/>
      <c r="AB352" s="663"/>
      <c r="AC352" s="663"/>
      <c r="AD352" s="663"/>
      <c r="AE352" s="663"/>
      <c r="AF352" s="663"/>
      <c r="AG352" s="663"/>
      <c r="AH352" s="663"/>
      <c r="AI352" s="663"/>
      <c r="AJ352" s="663"/>
      <c r="AK352" s="663"/>
      <c r="AL352" s="663"/>
      <c r="AM352" s="663"/>
      <c r="AN352" s="663"/>
      <c r="AO352" s="663"/>
      <c r="AP352" s="663"/>
      <c r="AQ352" s="663"/>
      <c r="AR352" s="663"/>
      <c r="AS352" s="663"/>
      <c r="AT352" s="663"/>
      <c r="AU352" s="663"/>
      <c r="AV352" s="663"/>
      <c r="AW352" s="663"/>
      <c r="AX352" s="663"/>
      <c r="AY352" s="663"/>
      <c r="AZ352" s="663"/>
      <c r="BA352" s="663"/>
      <c r="BB352" s="663"/>
      <c r="BC352" s="663"/>
      <c r="BD352" s="663"/>
      <c r="BE352" s="663"/>
      <c r="BF352" s="663"/>
      <c r="BG352" s="663"/>
      <c r="BH352" s="663"/>
      <c r="BI352" s="663"/>
      <c r="BJ352" s="663"/>
      <c r="BK352" s="663"/>
      <c r="BL352" s="663"/>
      <c r="BM352" s="663"/>
      <c r="BN352" s="663"/>
      <c r="BO352" s="663"/>
      <c r="BP352" s="663"/>
      <c r="BQ352" s="663"/>
      <c r="BR352" s="663"/>
      <c r="BS352" s="663"/>
      <c r="BT352" s="663"/>
      <c r="BU352" s="663"/>
      <c r="BV352" s="663"/>
      <c r="BW352" s="663"/>
      <c r="BX352" s="663"/>
      <c r="BY352" s="663"/>
      <c r="BZ352" s="663"/>
      <c r="CA352" s="663"/>
      <c r="CB352" s="663"/>
      <c r="CC352" s="663"/>
      <c r="CD352" s="663"/>
      <c r="CE352" s="663"/>
      <c r="CF352" s="663"/>
      <c r="CG352" s="663"/>
      <c r="CH352" s="663"/>
      <c r="CI352" s="663"/>
      <c r="CJ352" s="663"/>
      <c r="CK352" s="663"/>
      <c r="CL352" s="663"/>
      <c r="CM352" s="663"/>
      <c r="CN352" s="663"/>
      <c r="CO352" s="663"/>
      <c r="CP352" s="663"/>
      <c r="CQ352" s="663"/>
      <c r="CR352" s="663"/>
      <c r="CS352" s="663"/>
      <c r="CT352" s="663"/>
      <c r="CU352" s="663"/>
      <c r="CV352" s="663"/>
      <c r="CW352" s="663"/>
      <c r="CX352" s="663"/>
      <c r="CY352" s="663"/>
      <c r="CZ352" s="663"/>
      <c r="DA352" s="663"/>
      <c r="DB352" s="663"/>
      <c r="DC352" s="663"/>
      <c r="DD352" s="663"/>
      <c r="DE352" s="663"/>
      <c r="DF352" s="663"/>
      <c r="DG352" s="663"/>
      <c r="DH352" s="663"/>
      <c r="DI352" s="663"/>
      <c r="DJ352" s="663"/>
      <c r="DK352" s="663"/>
      <c r="DL352" s="663"/>
      <c r="DM352" s="663"/>
      <c r="DN352" s="663"/>
      <c r="DO352" s="663"/>
      <c r="DP352" s="663"/>
      <c r="DQ352" s="663"/>
      <c r="DR352" s="663"/>
      <c r="DS352" s="663"/>
      <c r="DT352" s="663"/>
      <c r="DU352" s="663"/>
      <c r="DV352" s="663"/>
      <c r="DW352" s="663"/>
      <c r="DX352" s="663"/>
      <c r="DY352" s="663"/>
      <c r="DZ352" s="663"/>
      <c r="EA352" s="663"/>
      <c r="EB352" s="663"/>
      <c r="EC352" s="663"/>
      <c r="ED352" s="663"/>
      <c r="EE352" s="663"/>
      <c r="EF352" s="663"/>
      <c r="EG352" s="663"/>
      <c r="EH352" s="663"/>
      <c r="EI352" s="663"/>
      <c r="EJ352" s="663"/>
      <c r="EK352" s="663"/>
      <c r="EL352" s="663"/>
      <c r="EM352" s="663"/>
      <c r="EN352" s="663"/>
      <c r="EO352" s="663"/>
      <c r="EP352" s="663"/>
      <c r="EQ352" s="663"/>
      <c r="ER352" s="663"/>
      <c r="ES352" s="663"/>
      <c r="ET352" s="663"/>
      <c r="EU352" s="663"/>
      <c r="EV352" s="663"/>
      <c r="EW352" s="663"/>
      <c r="EX352" s="663"/>
      <c r="EY352" s="663"/>
      <c r="EZ352" s="663"/>
      <c r="FA352" s="663"/>
      <c r="FB352" s="663"/>
      <c r="FC352" s="663"/>
      <c r="FD352" s="663"/>
      <c r="FE352" s="663"/>
      <c r="FF352" s="663"/>
      <c r="FG352" s="663"/>
      <c r="FH352" s="663"/>
      <c r="FI352" s="663"/>
      <c r="FJ352" s="663"/>
      <c r="FK352" s="663"/>
      <c r="FL352" s="663"/>
      <c r="FM352" s="663"/>
      <c r="FN352" s="663"/>
      <c r="FO352" s="663"/>
      <c r="FP352" s="663"/>
      <c r="FQ352" s="663"/>
      <c r="FR352" s="663"/>
      <c r="FS352" s="663"/>
      <c r="FT352" s="663"/>
      <c r="FU352" s="663"/>
      <c r="FV352" s="663"/>
      <c r="FW352" s="663"/>
      <c r="FX352" s="663"/>
      <c r="FY352" s="663"/>
      <c r="FZ352" s="663"/>
      <c r="GA352" s="663"/>
      <c r="GB352" s="663"/>
      <c r="GC352" s="663"/>
      <c r="GD352" s="663"/>
      <c r="GE352" s="663"/>
      <c r="GF352" s="663"/>
      <c r="GG352" s="663"/>
    </row>
    <row r="353" spans="1:189">
      <c r="A353" s="670"/>
      <c r="B353" s="670"/>
      <c r="C353" s="670"/>
      <c r="D353" s="670"/>
      <c r="E353" s="670"/>
      <c r="F353" s="670"/>
      <c r="G353" s="673"/>
      <c r="H353" s="627"/>
      <c r="I353" s="627"/>
      <c r="J353" s="672"/>
      <c r="K353" s="663"/>
      <c r="L353" s="663"/>
      <c r="M353" s="663"/>
      <c r="N353" s="663"/>
      <c r="O353" s="663"/>
      <c r="P353" s="663"/>
      <c r="Q353" s="663"/>
      <c r="R353" s="663"/>
      <c r="S353" s="663"/>
      <c r="T353" s="663"/>
      <c r="U353" s="663"/>
      <c r="V353" s="663"/>
      <c r="W353" s="663"/>
      <c r="X353" s="663"/>
      <c r="Y353" s="663"/>
      <c r="Z353" s="663"/>
      <c r="AA353" s="663"/>
      <c r="AB353" s="663"/>
      <c r="AC353" s="663"/>
      <c r="AD353" s="663"/>
      <c r="AE353" s="663"/>
      <c r="AF353" s="663"/>
      <c r="AG353" s="663"/>
      <c r="AH353" s="663"/>
      <c r="AI353" s="663"/>
      <c r="AJ353" s="663"/>
      <c r="AK353" s="663"/>
      <c r="AL353" s="663"/>
      <c r="AM353" s="663"/>
      <c r="AN353" s="663"/>
      <c r="AO353" s="663"/>
      <c r="AP353" s="663"/>
      <c r="AQ353" s="663"/>
      <c r="AR353" s="663"/>
      <c r="AS353" s="663"/>
      <c r="AT353" s="663"/>
      <c r="AU353" s="663"/>
      <c r="AV353" s="663"/>
      <c r="AW353" s="663"/>
      <c r="AX353" s="663"/>
      <c r="AY353" s="663"/>
      <c r="AZ353" s="663"/>
      <c r="BA353" s="663"/>
      <c r="BB353" s="663"/>
      <c r="BC353" s="663"/>
      <c r="BD353" s="663"/>
      <c r="BE353" s="663"/>
      <c r="BF353" s="663"/>
      <c r="BG353" s="663"/>
      <c r="BH353" s="663"/>
      <c r="BI353" s="663"/>
      <c r="BJ353" s="663"/>
      <c r="BK353" s="663"/>
      <c r="BL353" s="663"/>
      <c r="BM353" s="663"/>
      <c r="BN353" s="663"/>
      <c r="BO353" s="663"/>
      <c r="BP353" s="663"/>
      <c r="BQ353" s="663"/>
      <c r="BR353" s="663"/>
      <c r="BS353" s="663"/>
      <c r="BT353" s="663"/>
      <c r="BU353" s="663"/>
      <c r="BV353" s="663"/>
      <c r="BW353" s="663"/>
      <c r="BX353" s="663"/>
      <c r="BY353" s="663"/>
      <c r="BZ353" s="663"/>
      <c r="CA353" s="663"/>
      <c r="CB353" s="663"/>
      <c r="CC353" s="663"/>
      <c r="CD353" s="663"/>
      <c r="CE353" s="663"/>
      <c r="CF353" s="663"/>
      <c r="CG353" s="663"/>
      <c r="CH353" s="663"/>
      <c r="CI353" s="663"/>
      <c r="CJ353" s="663"/>
      <c r="CK353" s="663"/>
      <c r="CL353" s="663"/>
      <c r="CM353" s="663"/>
      <c r="CN353" s="663"/>
      <c r="CO353" s="663"/>
      <c r="CP353" s="663"/>
      <c r="CQ353" s="663"/>
      <c r="CR353" s="663"/>
      <c r="CS353" s="663"/>
      <c r="CT353" s="663"/>
      <c r="CU353" s="663"/>
      <c r="CV353" s="663"/>
      <c r="CW353" s="663"/>
      <c r="CX353" s="663"/>
      <c r="CY353" s="663"/>
      <c r="CZ353" s="663"/>
      <c r="DA353" s="663"/>
      <c r="DB353" s="663"/>
      <c r="DC353" s="663"/>
      <c r="DD353" s="663"/>
      <c r="DE353" s="663"/>
      <c r="DF353" s="663"/>
      <c r="DG353" s="663"/>
      <c r="DH353" s="663"/>
      <c r="DI353" s="663"/>
      <c r="DJ353" s="663"/>
      <c r="DK353" s="663"/>
      <c r="DL353" s="663"/>
      <c r="DM353" s="663"/>
      <c r="DN353" s="663"/>
      <c r="DO353" s="663"/>
      <c r="DP353" s="663"/>
      <c r="DQ353" s="663"/>
      <c r="DR353" s="663"/>
      <c r="DS353" s="663"/>
      <c r="DT353" s="663"/>
      <c r="DU353" s="663"/>
      <c r="DV353" s="663"/>
      <c r="DW353" s="663"/>
      <c r="DX353" s="663"/>
      <c r="DY353" s="663"/>
      <c r="DZ353" s="663"/>
      <c r="EA353" s="663"/>
      <c r="EB353" s="663"/>
      <c r="EC353" s="663"/>
      <c r="ED353" s="663"/>
      <c r="EE353" s="663"/>
      <c r="EF353" s="663"/>
      <c r="EG353" s="663"/>
      <c r="EH353" s="663"/>
      <c r="EI353" s="663"/>
      <c r="EJ353" s="663"/>
      <c r="EK353" s="663"/>
      <c r="EL353" s="663"/>
      <c r="EM353" s="663"/>
      <c r="EN353" s="663"/>
      <c r="EO353" s="663"/>
      <c r="EP353" s="663"/>
      <c r="EQ353" s="663"/>
      <c r="ER353" s="663"/>
      <c r="ES353" s="663"/>
      <c r="ET353" s="663"/>
      <c r="EU353" s="663"/>
      <c r="EV353" s="663"/>
      <c r="EW353" s="663"/>
      <c r="EX353" s="663"/>
      <c r="EY353" s="663"/>
      <c r="EZ353" s="663"/>
      <c r="FA353" s="663"/>
      <c r="FB353" s="663"/>
      <c r="FC353" s="663"/>
      <c r="FD353" s="663"/>
      <c r="FE353" s="663"/>
      <c r="FF353" s="663"/>
      <c r="FG353" s="663"/>
      <c r="FH353" s="663"/>
      <c r="FI353" s="663"/>
      <c r="FJ353" s="663"/>
      <c r="FK353" s="663"/>
      <c r="FL353" s="663"/>
      <c r="FM353" s="663"/>
      <c r="FN353" s="663"/>
      <c r="FO353" s="663"/>
      <c r="FP353" s="663"/>
      <c r="FQ353" s="663"/>
      <c r="FR353" s="663"/>
      <c r="FS353" s="663"/>
      <c r="FT353" s="663"/>
      <c r="FU353" s="663"/>
      <c r="FV353" s="663"/>
      <c r="FW353" s="663"/>
      <c r="FX353" s="663"/>
      <c r="FY353" s="663"/>
      <c r="FZ353" s="663"/>
      <c r="GA353" s="663"/>
      <c r="GB353" s="663"/>
      <c r="GC353" s="663"/>
      <c r="GD353" s="663"/>
      <c r="GE353" s="663"/>
      <c r="GF353" s="663"/>
      <c r="GG353" s="663"/>
    </row>
    <row r="354" spans="1:189">
      <c r="A354" s="670"/>
      <c r="B354" s="670"/>
      <c r="C354" s="670"/>
      <c r="D354" s="670"/>
      <c r="E354" s="670"/>
      <c r="F354" s="670"/>
      <c r="G354" s="673"/>
      <c r="H354" s="627"/>
      <c r="I354" s="627"/>
      <c r="J354" s="672"/>
      <c r="K354" s="663"/>
      <c r="L354" s="663"/>
      <c r="M354" s="663"/>
      <c r="N354" s="663"/>
      <c r="O354" s="663"/>
      <c r="P354" s="663"/>
      <c r="Q354" s="663"/>
      <c r="R354" s="663"/>
      <c r="S354" s="663"/>
      <c r="T354" s="663"/>
      <c r="U354" s="663"/>
      <c r="V354" s="663"/>
      <c r="W354" s="663"/>
      <c r="X354" s="663"/>
      <c r="Y354" s="663"/>
      <c r="Z354" s="663"/>
      <c r="AA354" s="663"/>
      <c r="AB354" s="663"/>
      <c r="AC354" s="663"/>
      <c r="AD354" s="663"/>
      <c r="AE354" s="663"/>
      <c r="AF354" s="663"/>
      <c r="AG354" s="663"/>
      <c r="AH354" s="663"/>
      <c r="AI354" s="663"/>
      <c r="AJ354" s="663"/>
      <c r="AK354" s="663"/>
      <c r="AL354" s="663"/>
      <c r="AM354" s="663"/>
      <c r="AN354" s="663"/>
      <c r="AO354" s="663"/>
      <c r="AP354" s="663"/>
      <c r="AQ354" s="663"/>
      <c r="AR354" s="663"/>
      <c r="AS354" s="663"/>
      <c r="AT354" s="663"/>
      <c r="AU354" s="663"/>
      <c r="AV354" s="663"/>
      <c r="AW354" s="663"/>
      <c r="AX354" s="663"/>
      <c r="AY354" s="663"/>
      <c r="AZ354" s="663"/>
      <c r="BA354" s="663"/>
      <c r="BB354" s="663"/>
      <c r="BC354" s="663"/>
      <c r="BD354" s="663"/>
      <c r="BE354" s="663"/>
      <c r="BF354" s="663"/>
      <c r="BG354" s="663"/>
      <c r="BH354" s="663"/>
      <c r="BI354" s="663"/>
      <c r="BJ354" s="663"/>
      <c r="BK354" s="663"/>
      <c r="BL354" s="663"/>
      <c r="BM354" s="663"/>
      <c r="BN354" s="663"/>
      <c r="BO354" s="663"/>
      <c r="BP354" s="663"/>
      <c r="BQ354" s="663"/>
      <c r="BR354" s="663"/>
      <c r="BS354" s="663"/>
      <c r="BT354" s="663"/>
      <c r="BU354" s="663"/>
      <c r="BV354" s="663"/>
      <c r="BW354" s="663"/>
      <c r="BX354" s="663"/>
      <c r="BY354" s="663"/>
      <c r="BZ354" s="663"/>
      <c r="CA354" s="663"/>
      <c r="CB354" s="663"/>
      <c r="CC354" s="663"/>
      <c r="CD354" s="663"/>
      <c r="CE354" s="663"/>
      <c r="CF354" s="663"/>
      <c r="CG354" s="663"/>
      <c r="CH354" s="663"/>
      <c r="CI354" s="663"/>
      <c r="CJ354" s="663"/>
      <c r="CK354" s="663"/>
      <c r="CL354" s="663"/>
      <c r="CM354" s="663"/>
      <c r="CN354" s="663"/>
      <c r="CO354" s="663"/>
      <c r="CP354" s="663"/>
      <c r="CQ354" s="663"/>
      <c r="CR354" s="663"/>
      <c r="CS354" s="663"/>
      <c r="CT354" s="663"/>
      <c r="CU354" s="663"/>
      <c r="CV354" s="663"/>
      <c r="CW354" s="663"/>
      <c r="CX354" s="663"/>
      <c r="CY354" s="663"/>
      <c r="CZ354" s="663"/>
      <c r="DA354" s="663"/>
      <c r="DB354" s="663"/>
      <c r="DC354" s="663"/>
      <c r="DD354" s="663"/>
      <c r="DE354" s="663"/>
      <c r="DF354" s="663"/>
      <c r="DG354" s="663"/>
      <c r="DH354" s="663"/>
      <c r="DI354" s="663"/>
      <c r="DJ354" s="663"/>
      <c r="DK354" s="663"/>
      <c r="DL354" s="663"/>
      <c r="DM354" s="663"/>
      <c r="DN354" s="663"/>
      <c r="DO354" s="663"/>
      <c r="DP354" s="663"/>
      <c r="DQ354" s="663"/>
      <c r="DR354" s="663"/>
      <c r="DS354" s="663"/>
      <c r="DT354" s="663"/>
      <c r="DU354" s="663"/>
      <c r="DV354" s="663"/>
      <c r="DW354" s="663"/>
      <c r="DX354" s="663"/>
      <c r="DY354" s="663"/>
      <c r="DZ354" s="663"/>
      <c r="EA354" s="663"/>
      <c r="EB354" s="663"/>
      <c r="EC354" s="663"/>
      <c r="ED354" s="663"/>
      <c r="EE354" s="663"/>
      <c r="EF354" s="663"/>
      <c r="EG354" s="663"/>
      <c r="EH354" s="663"/>
      <c r="EI354" s="663"/>
      <c r="EJ354" s="663"/>
      <c r="EK354" s="663"/>
      <c r="EL354" s="663"/>
      <c r="EM354" s="663"/>
      <c r="EN354" s="663"/>
      <c r="EO354" s="663"/>
      <c r="EP354" s="663"/>
      <c r="EQ354" s="663"/>
      <c r="ER354" s="663"/>
      <c r="ES354" s="663"/>
      <c r="ET354" s="663"/>
      <c r="EU354" s="663"/>
      <c r="EV354" s="663"/>
      <c r="EW354" s="663"/>
      <c r="EX354" s="663"/>
      <c r="EY354" s="663"/>
      <c r="EZ354" s="663"/>
      <c r="FA354" s="663"/>
      <c r="FB354" s="663"/>
      <c r="FC354" s="663"/>
      <c r="FD354" s="663"/>
      <c r="FE354" s="663"/>
      <c r="FF354" s="663"/>
      <c r="FG354" s="663"/>
      <c r="FH354" s="663"/>
      <c r="FI354" s="663"/>
      <c r="FJ354" s="663"/>
      <c r="FK354" s="663"/>
      <c r="FL354" s="663"/>
      <c r="FM354" s="663"/>
      <c r="FN354" s="663"/>
      <c r="FO354" s="663"/>
      <c r="FP354" s="663"/>
      <c r="FQ354" s="663"/>
      <c r="FR354" s="663"/>
      <c r="FS354" s="663"/>
      <c r="FT354" s="663"/>
      <c r="FU354" s="663"/>
      <c r="FV354" s="663"/>
      <c r="FW354" s="663"/>
      <c r="FX354" s="663"/>
      <c r="FY354" s="663"/>
      <c r="FZ354" s="663"/>
      <c r="GA354" s="663"/>
      <c r="GB354" s="663"/>
      <c r="GC354" s="663"/>
      <c r="GD354" s="663"/>
      <c r="GE354" s="663"/>
      <c r="GF354" s="663"/>
      <c r="GG354" s="663"/>
    </row>
    <row r="355" spans="1:189">
      <c r="A355" s="670"/>
      <c r="B355" s="670"/>
      <c r="C355" s="670"/>
      <c r="D355" s="670"/>
      <c r="E355" s="670"/>
      <c r="F355" s="670"/>
      <c r="G355" s="673"/>
      <c r="H355" s="627"/>
      <c r="I355" s="627"/>
      <c r="J355" s="672"/>
      <c r="K355" s="663"/>
      <c r="L355" s="663"/>
      <c r="M355" s="663"/>
      <c r="N355" s="663"/>
      <c r="O355" s="663"/>
      <c r="P355" s="663"/>
      <c r="Q355" s="663"/>
      <c r="R355" s="663"/>
      <c r="S355" s="663"/>
      <c r="T355" s="663"/>
      <c r="U355" s="663"/>
      <c r="V355" s="663"/>
      <c r="W355" s="663"/>
      <c r="X355" s="663"/>
      <c r="Y355" s="663"/>
      <c r="Z355" s="663"/>
      <c r="AA355" s="663"/>
      <c r="AB355" s="663"/>
      <c r="AC355" s="663"/>
      <c r="AD355" s="663"/>
      <c r="AE355" s="663"/>
      <c r="AF355" s="663"/>
      <c r="AG355" s="663"/>
      <c r="AH355" s="663"/>
      <c r="AI355" s="663"/>
      <c r="AJ355" s="663"/>
      <c r="AK355" s="663"/>
      <c r="AL355" s="663"/>
      <c r="AM355" s="663"/>
      <c r="AN355" s="663"/>
      <c r="AO355" s="663"/>
      <c r="AP355" s="663"/>
      <c r="AQ355" s="663"/>
      <c r="AR355" s="663"/>
      <c r="AS355" s="663"/>
      <c r="AT355" s="663"/>
      <c r="AU355" s="663"/>
      <c r="AV355" s="663"/>
      <c r="AW355" s="663"/>
      <c r="AX355" s="663"/>
      <c r="AY355" s="663"/>
      <c r="AZ355" s="663"/>
      <c r="BA355" s="663"/>
      <c r="BB355" s="663"/>
      <c r="BC355" s="663"/>
      <c r="BD355" s="663"/>
      <c r="BE355" s="663"/>
      <c r="BF355" s="663"/>
      <c r="BG355" s="663"/>
      <c r="BH355" s="663"/>
      <c r="BI355" s="663"/>
      <c r="BJ355" s="663"/>
      <c r="BK355" s="663"/>
      <c r="BL355" s="663"/>
      <c r="BM355" s="663"/>
      <c r="BN355" s="663"/>
      <c r="BO355" s="663"/>
      <c r="BP355" s="663"/>
      <c r="BQ355" s="663"/>
      <c r="BR355" s="663"/>
      <c r="BS355" s="663"/>
      <c r="BT355" s="663"/>
      <c r="BU355" s="663"/>
      <c r="BV355" s="663"/>
      <c r="BW355" s="663"/>
      <c r="BX355" s="663"/>
      <c r="BY355" s="663"/>
      <c r="BZ355" s="663"/>
      <c r="CA355" s="663"/>
      <c r="CB355" s="663"/>
      <c r="CC355" s="663"/>
      <c r="CD355" s="663"/>
      <c r="CE355" s="663"/>
      <c r="CF355" s="663"/>
      <c r="CG355" s="663"/>
      <c r="CH355" s="663"/>
      <c r="CI355" s="663"/>
      <c r="CJ355" s="663"/>
      <c r="CK355" s="663"/>
      <c r="CL355" s="663"/>
      <c r="CM355" s="663"/>
      <c r="CN355" s="663"/>
      <c r="CO355" s="663"/>
      <c r="CP355" s="663"/>
      <c r="CQ355" s="663"/>
      <c r="CR355" s="663"/>
      <c r="CS355" s="663"/>
      <c r="CT355" s="663"/>
      <c r="CU355" s="663"/>
      <c r="CV355" s="663"/>
      <c r="CW355" s="663"/>
      <c r="CX355" s="663"/>
      <c r="CY355" s="663"/>
      <c r="CZ355" s="663"/>
      <c r="DA355" s="663"/>
      <c r="DB355" s="663"/>
      <c r="DC355" s="663"/>
      <c r="DD355" s="663"/>
      <c r="DE355" s="663"/>
      <c r="DF355" s="663"/>
      <c r="DG355" s="663"/>
      <c r="DH355" s="663"/>
      <c r="DI355" s="663"/>
      <c r="DJ355" s="663"/>
      <c r="DK355" s="663"/>
      <c r="DL355" s="663"/>
      <c r="DM355" s="663"/>
      <c r="DN355" s="663"/>
      <c r="DO355" s="663"/>
      <c r="DP355" s="663"/>
      <c r="DQ355" s="663"/>
      <c r="DR355" s="663"/>
      <c r="DS355" s="663"/>
      <c r="DT355" s="663"/>
      <c r="DU355" s="663"/>
      <c r="DV355" s="663"/>
      <c r="DW355" s="663"/>
      <c r="DX355" s="663"/>
      <c r="DY355" s="663"/>
      <c r="DZ355" s="663"/>
      <c r="EA355" s="663"/>
      <c r="EB355" s="663"/>
      <c r="EC355" s="663"/>
      <c r="ED355" s="663"/>
      <c r="EE355" s="663"/>
      <c r="EF355" s="663"/>
      <c r="EG355" s="663"/>
      <c r="EH355" s="663"/>
      <c r="EI355" s="663"/>
      <c r="EJ355" s="663"/>
      <c r="EK355" s="663"/>
      <c r="EL355" s="663"/>
      <c r="EM355" s="663"/>
      <c r="EN355" s="663"/>
      <c r="EO355" s="663"/>
      <c r="EP355" s="663"/>
      <c r="EQ355" s="663"/>
      <c r="ER355" s="663"/>
      <c r="ES355" s="663"/>
      <c r="ET355" s="663"/>
      <c r="EU355" s="663"/>
      <c r="EV355" s="663"/>
      <c r="EW355" s="663"/>
      <c r="EX355" s="663"/>
      <c r="EY355" s="663"/>
      <c r="EZ355" s="663"/>
      <c r="FA355" s="663"/>
      <c r="FB355" s="663"/>
      <c r="FC355" s="663"/>
      <c r="FD355" s="663"/>
      <c r="FE355" s="663"/>
      <c r="FF355" s="663"/>
      <c r="FG355" s="663"/>
      <c r="FH355" s="663"/>
      <c r="FI355" s="663"/>
      <c r="FJ355" s="663"/>
      <c r="FK355" s="663"/>
      <c r="FL355" s="663"/>
      <c r="FM355" s="663"/>
      <c r="FN355" s="663"/>
      <c r="FO355" s="663"/>
      <c r="FP355" s="663"/>
      <c r="FQ355" s="663"/>
      <c r="FR355" s="663"/>
      <c r="FS355" s="663"/>
      <c r="FT355" s="663"/>
      <c r="FU355" s="663"/>
      <c r="FV355" s="663"/>
      <c r="FW355" s="663"/>
      <c r="FX355" s="663"/>
      <c r="FY355" s="663"/>
      <c r="FZ355" s="663"/>
      <c r="GA355" s="663"/>
      <c r="GB355" s="663"/>
      <c r="GC355" s="663"/>
      <c r="GD355" s="663"/>
      <c r="GE355" s="663"/>
      <c r="GF355" s="663"/>
      <c r="GG355" s="663"/>
    </row>
    <row r="356" spans="1:189">
      <c r="A356" s="670"/>
      <c r="B356" s="670"/>
      <c r="C356" s="670"/>
      <c r="D356" s="670"/>
      <c r="E356" s="670"/>
      <c r="F356" s="670"/>
      <c r="G356" s="673"/>
      <c r="H356" s="627"/>
      <c r="I356" s="627"/>
      <c r="J356" s="672"/>
      <c r="K356" s="663"/>
      <c r="L356" s="663"/>
      <c r="M356" s="663"/>
      <c r="N356" s="663"/>
      <c r="O356" s="663"/>
      <c r="P356" s="663"/>
      <c r="Q356" s="663"/>
      <c r="R356" s="663"/>
      <c r="S356" s="663"/>
      <c r="T356" s="663"/>
      <c r="U356" s="663"/>
      <c r="V356" s="663"/>
      <c r="W356" s="663"/>
      <c r="X356" s="663"/>
      <c r="Y356" s="663"/>
      <c r="Z356" s="663"/>
      <c r="AA356" s="663"/>
      <c r="AB356" s="663"/>
      <c r="AC356" s="663"/>
      <c r="AD356" s="663"/>
      <c r="AE356" s="663"/>
      <c r="AF356" s="663"/>
      <c r="AG356" s="663"/>
      <c r="AH356" s="663"/>
      <c r="AI356" s="663"/>
      <c r="AJ356" s="663"/>
      <c r="AK356" s="663"/>
      <c r="AL356" s="663"/>
      <c r="AM356" s="663"/>
      <c r="AN356" s="663"/>
      <c r="AO356" s="663"/>
      <c r="AP356" s="663"/>
      <c r="AQ356" s="663"/>
      <c r="AR356" s="663"/>
      <c r="AS356" s="663"/>
      <c r="AT356" s="663"/>
      <c r="AU356" s="663"/>
      <c r="AV356" s="663"/>
      <c r="AW356" s="663"/>
      <c r="AX356" s="663"/>
      <c r="AY356" s="663"/>
      <c r="AZ356" s="663"/>
      <c r="BA356" s="663"/>
      <c r="BB356" s="663"/>
      <c r="BC356" s="663"/>
      <c r="BD356" s="663"/>
      <c r="BE356" s="663"/>
      <c r="BF356" s="663"/>
      <c r="BG356" s="663"/>
      <c r="BH356" s="663"/>
      <c r="BI356" s="663"/>
      <c r="BJ356" s="663"/>
      <c r="BK356" s="663"/>
      <c r="BL356" s="663"/>
      <c r="BM356" s="663"/>
      <c r="BN356" s="663"/>
      <c r="BO356" s="663"/>
      <c r="BP356" s="663"/>
      <c r="BQ356" s="663"/>
      <c r="BR356" s="663"/>
      <c r="BS356" s="663"/>
      <c r="BT356" s="663"/>
      <c r="BU356" s="663"/>
      <c r="BV356" s="663"/>
      <c r="BW356" s="663"/>
      <c r="BX356" s="663"/>
      <c r="BY356" s="663"/>
      <c r="BZ356" s="663"/>
      <c r="CA356" s="663"/>
      <c r="CB356" s="663"/>
      <c r="CC356" s="663"/>
      <c r="CD356" s="663"/>
      <c r="CE356" s="663"/>
      <c r="CF356" s="663"/>
      <c r="CG356" s="663"/>
      <c r="CH356" s="663"/>
      <c r="CI356" s="663"/>
      <c r="CJ356" s="663"/>
      <c r="CK356" s="663"/>
      <c r="CL356" s="663"/>
      <c r="CM356" s="663"/>
      <c r="CN356" s="663"/>
      <c r="CO356" s="663"/>
      <c r="CP356" s="663"/>
      <c r="CQ356" s="663"/>
      <c r="CR356" s="663"/>
      <c r="CS356" s="663"/>
      <c r="CT356" s="663"/>
      <c r="CU356" s="663"/>
      <c r="CV356" s="663"/>
      <c r="CW356" s="663"/>
      <c r="CX356" s="663"/>
      <c r="CY356" s="663"/>
      <c r="CZ356" s="663"/>
      <c r="DA356" s="663"/>
      <c r="DB356" s="663"/>
      <c r="DC356" s="663"/>
      <c r="DD356" s="663"/>
      <c r="DE356" s="663"/>
      <c r="DF356" s="663"/>
      <c r="DG356" s="663"/>
      <c r="DH356" s="663"/>
      <c r="DI356" s="663"/>
      <c r="DJ356" s="663"/>
      <c r="DK356" s="663"/>
      <c r="DL356" s="663"/>
      <c r="DM356" s="663"/>
      <c r="DN356" s="663"/>
      <c r="DO356" s="663"/>
      <c r="DP356" s="663"/>
      <c r="DQ356" s="663"/>
      <c r="DR356" s="663"/>
      <c r="DS356" s="663"/>
      <c r="DT356" s="663"/>
      <c r="DU356" s="663"/>
      <c r="DV356" s="663"/>
      <c r="DW356" s="663"/>
      <c r="DX356" s="663"/>
      <c r="DY356" s="663"/>
      <c r="DZ356" s="663"/>
      <c r="EA356" s="663"/>
      <c r="EB356" s="663"/>
      <c r="EC356" s="663"/>
      <c r="ED356" s="663"/>
      <c r="EE356" s="663"/>
      <c r="EF356" s="663"/>
      <c r="EG356" s="663"/>
      <c r="EH356" s="663"/>
      <c r="EI356" s="663"/>
      <c r="EJ356" s="663"/>
      <c r="EK356" s="663"/>
      <c r="EL356" s="663"/>
      <c r="EM356" s="663"/>
      <c r="EN356" s="663"/>
      <c r="EO356" s="663"/>
      <c r="EP356" s="663"/>
      <c r="EQ356" s="663"/>
      <c r="ER356" s="663"/>
      <c r="ES356" s="663"/>
      <c r="ET356" s="663"/>
      <c r="EU356" s="663"/>
      <c r="EV356" s="663"/>
      <c r="EW356" s="663"/>
      <c r="EX356" s="663"/>
      <c r="EY356" s="663"/>
      <c r="EZ356" s="663"/>
      <c r="FA356" s="663"/>
      <c r="FB356" s="663"/>
      <c r="FC356" s="663"/>
      <c r="FD356" s="663"/>
      <c r="FE356" s="663"/>
      <c r="FF356" s="663"/>
      <c r="FG356" s="663"/>
      <c r="FH356" s="663"/>
      <c r="FI356" s="663"/>
      <c r="FJ356" s="663"/>
      <c r="FK356" s="663"/>
      <c r="FL356" s="663"/>
      <c r="FM356" s="663"/>
      <c r="FN356" s="663"/>
      <c r="FO356" s="663"/>
      <c r="FP356" s="663"/>
      <c r="FQ356" s="663"/>
      <c r="FR356" s="663"/>
      <c r="FS356" s="663"/>
      <c r="FT356" s="663"/>
      <c r="FU356" s="663"/>
      <c r="FV356" s="663"/>
      <c r="FW356" s="663"/>
      <c r="FX356" s="663"/>
      <c r="FY356" s="663"/>
      <c r="FZ356" s="663"/>
      <c r="GA356" s="663"/>
      <c r="GB356" s="663"/>
      <c r="GC356" s="663"/>
      <c r="GD356" s="663"/>
      <c r="GE356" s="663"/>
      <c r="GF356" s="663"/>
      <c r="GG356" s="663"/>
    </row>
    <row r="357" spans="1:189">
      <c r="A357" s="670"/>
      <c r="B357" s="670"/>
      <c r="C357" s="670"/>
      <c r="D357" s="670"/>
      <c r="E357" s="670"/>
      <c r="F357" s="670"/>
      <c r="G357" s="673"/>
      <c r="H357" s="627"/>
      <c r="I357" s="627"/>
      <c r="J357" s="672"/>
      <c r="K357" s="663"/>
      <c r="L357" s="663"/>
      <c r="M357" s="663"/>
      <c r="N357" s="663"/>
      <c r="O357" s="663"/>
      <c r="P357" s="663"/>
      <c r="Q357" s="663"/>
      <c r="R357" s="663"/>
      <c r="S357" s="663"/>
      <c r="T357" s="663"/>
      <c r="U357" s="663"/>
      <c r="V357" s="663"/>
      <c r="W357" s="663"/>
      <c r="X357" s="663"/>
      <c r="Y357" s="663"/>
      <c r="Z357" s="663"/>
      <c r="AA357" s="663"/>
      <c r="AB357" s="663"/>
      <c r="AC357" s="663"/>
      <c r="AD357" s="663"/>
      <c r="AE357" s="663"/>
      <c r="AF357" s="663"/>
      <c r="AG357" s="663"/>
      <c r="AH357" s="663"/>
      <c r="AI357" s="663"/>
      <c r="AJ357" s="663"/>
      <c r="AK357" s="663"/>
      <c r="AL357" s="663"/>
      <c r="AM357" s="663"/>
      <c r="AN357" s="663"/>
      <c r="AO357" s="663"/>
      <c r="AP357" s="663"/>
      <c r="AQ357" s="663"/>
      <c r="AR357" s="663"/>
      <c r="AS357" s="663"/>
      <c r="AT357" s="663"/>
      <c r="AU357" s="663"/>
      <c r="AV357" s="663"/>
      <c r="AW357" s="663"/>
      <c r="AX357" s="663"/>
      <c r="AY357" s="663"/>
      <c r="AZ357" s="663"/>
      <c r="BA357" s="663"/>
      <c r="BB357" s="663"/>
      <c r="BC357" s="663"/>
      <c r="BD357" s="663"/>
      <c r="BE357" s="663"/>
      <c r="BF357" s="663"/>
      <c r="BG357" s="663"/>
      <c r="BH357" s="663"/>
      <c r="BI357" s="663"/>
      <c r="BJ357" s="663"/>
      <c r="BK357" s="663"/>
      <c r="BL357" s="663"/>
      <c r="BM357" s="663"/>
      <c r="BN357" s="663"/>
      <c r="BO357" s="663"/>
      <c r="BP357" s="663"/>
      <c r="BQ357" s="663"/>
      <c r="BR357" s="663"/>
      <c r="BS357" s="663"/>
      <c r="BT357" s="663"/>
      <c r="BU357" s="663"/>
      <c r="BV357" s="663"/>
      <c r="BW357" s="663"/>
      <c r="BX357" s="663"/>
      <c r="BY357" s="663"/>
      <c r="BZ357" s="663"/>
      <c r="CA357" s="663"/>
      <c r="CB357" s="663"/>
      <c r="CC357" s="663"/>
      <c r="CD357" s="663"/>
      <c r="CE357" s="663"/>
      <c r="CF357" s="663"/>
      <c r="CG357" s="663"/>
      <c r="CH357" s="663"/>
      <c r="CI357" s="663"/>
      <c r="CJ357" s="663"/>
      <c r="CK357" s="663"/>
      <c r="CL357" s="663"/>
      <c r="CM357" s="663"/>
      <c r="CN357" s="663"/>
      <c r="CO357" s="663"/>
      <c r="CP357" s="663"/>
      <c r="CQ357" s="663"/>
      <c r="CR357" s="663"/>
      <c r="CS357" s="663"/>
      <c r="CT357" s="663"/>
      <c r="CU357" s="663"/>
      <c r="CV357" s="663"/>
      <c r="CW357" s="663"/>
      <c r="CX357" s="663"/>
      <c r="CY357" s="663"/>
      <c r="CZ357" s="663"/>
      <c r="DA357" s="663"/>
      <c r="DB357" s="663"/>
      <c r="DC357" s="663"/>
      <c r="DD357" s="663"/>
      <c r="DE357" s="663"/>
      <c r="DF357" s="663"/>
      <c r="DG357" s="663"/>
      <c r="DH357" s="663"/>
      <c r="DI357" s="663"/>
      <c r="DJ357" s="663"/>
      <c r="DK357" s="663"/>
      <c r="DL357" s="663"/>
      <c r="DM357" s="663"/>
      <c r="DN357" s="663"/>
      <c r="DO357" s="663"/>
      <c r="DP357" s="663"/>
      <c r="DQ357" s="663"/>
      <c r="DR357" s="663"/>
      <c r="DS357" s="663"/>
      <c r="DT357" s="663"/>
      <c r="DU357" s="663"/>
      <c r="DV357" s="663"/>
      <c r="DW357" s="663"/>
      <c r="DX357" s="663"/>
      <c r="DY357" s="663"/>
      <c r="DZ357" s="663"/>
      <c r="EA357" s="663"/>
      <c r="EB357" s="663"/>
      <c r="EC357" s="663"/>
      <c r="ED357" s="663"/>
      <c r="EE357" s="663"/>
      <c r="EF357" s="663"/>
      <c r="EG357" s="663"/>
      <c r="EH357" s="663"/>
      <c r="EI357" s="663"/>
      <c r="EJ357" s="663"/>
      <c r="EK357" s="663"/>
      <c r="EL357" s="663"/>
      <c r="EM357" s="663"/>
      <c r="EN357" s="663"/>
      <c r="EO357" s="663"/>
      <c r="EP357" s="663"/>
      <c r="EQ357" s="663"/>
      <c r="ER357" s="663"/>
      <c r="ES357" s="663"/>
      <c r="ET357" s="663"/>
      <c r="EU357" s="663"/>
      <c r="EV357" s="663"/>
      <c r="EW357" s="663"/>
      <c r="EX357" s="663"/>
      <c r="EY357" s="663"/>
      <c r="EZ357" s="663"/>
      <c r="FA357" s="663"/>
      <c r="FB357" s="663"/>
      <c r="FC357" s="663"/>
      <c r="FD357" s="663"/>
      <c r="FE357" s="663"/>
      <c r="FF357" s="663"/>
      <c r="FG357" s="663"/>
      <c r="FH357" s="663"/>
      <c r="FI357" s="663"/>
      <c r="FJ357" s="663"/>
      <c r="FK357" s="663"/>
      <c r="FL357" s="663"/>
      <c r="FM357" s="663"/>
      <c r="FN357" s="663"/>
      <c r="FO357" s="663"/>
      <c r="FP357" s="663"/>
      <c r="FQ357" s="663"/>
      <c r="FR357" s="663"/>
      <c r="FS357" s="663"/>
      <c r="FT357" s="663"/>
      <c r="FU357" s="663"/>
      <c r="FV357" s="663"/>
      <c r="FW357" s="663"/>
      <c r="FX357" s="663"/>
      <c r="FY357" s="663"/>
      <c r="FZ357" s="663"/>
      <c r="GA357" s="663"/>
      <c r="GB357" s="663"/>
      <c r="GC357" s="663"/>
      <c r="GD357" s="663"/>
      <c r="GE357" s="663"/>
      <c r="GF357" s="663"/>
      <c r="GG357" s="663"/>
    </row>
    <row r="358" spans="1:189">
      <c r="A358" s="670"/>
      <c r="B358" s="670"/>
      <c r="C358" s="670"/>
      <c r="D358" s="670"/>
      <c r="E358" s="670"/>
      <c r="F358" s="670"/>
      <c r="G358" s="673"/>
      <c r="H358" s="627"/>
      <c r="I358" s="627"/>
      <c r="J358" s="672"/>
      <c r="K358" s="663"/>
      <c r="L358" s="663"/>
      <c r="M358" s="663"/>
      <c r="N358" s="663"/>
      <c r="O358" s="663"/>
      <c r="P358" s="663"/>
      <c r="Q358" s="663"/>
      <c r="R358" s="663"/>
      <c r="S358" s="663"/>
      <c r="T358" s="663"/>
      <c r="U358" s="663"/>
      <c r="V358" s="663"/>
      <c r="W358" s="663"/>
      <c r="X358" s="663"/>
      <c r="Y358" s="663"/>
      <c r="Z358" s="663"/>
      <c r="AA358" s="663"/>
      <c r="AB358" s="663"/>
      <c r="AC358" s="663"/>
      <c r="AD358" s="663"/>
      <c r="AE358" s="663"/>
      <c r="AF358" s="663"/>
      <c r="AG358" s="663"/>
      <c r="AH358" s="663"/>
      <c r="AI358" s="663"/>
      <c r="AJ358" s="663"/>
      <c r="AK358" s="663"/>
      <c r="AL358" s="663"/>
      <c r="AM358" s="663"/>
      <c r="AN358" s="663"/>
      <c r="AO358" s="663"/>
      <c r="AP358" s="663"/>
      <c r="AQ358" s="663"/>
      <c r="AR358" s="663"/>
      <c r="AS358" s="663"/>
      <c r="AT358" s="663"/>
      <c r="AU358" s="663"/>
      <c r="AV358" s="663"/>
      <c r="AW358" s="663"/>
      <c r="AX358" s="663"/>
      <c r="AY358" s="663"/>
      <c r="AZ358" s="663"/>
      <c r="BA358" s="663"/>
      <c r="BB358" s="663"/>
      <c r="BC358" s="663"/>
      <c r="BD358" s="663"/>
      <c r="BE358" s="663"/>
      <c r="BF358" s="663"/>
      <c r="BG358" s="663"/>
      <c r="BH358" s="663"/>
      <c r="BI358" s="663"/>
      <c r="BJ358" s="663"/>
      <c r="BK358" s="663"/>
      <c r="BL358" s="663"/>
      <c r="BM358" s="663"/>
      <c r="BN358" s="663"/>
      <c r="BO358" s="663"/>
      <c r="BP358" s="663"/>
      <c r="BQ358" s="663"/>
      <c r="BR358" s="663"/>
      <c r="BS358" s="663"/>
      <c r="BT358" s="663"/>
      <c r="BU358" s="663"/>
      <c r="BV358" s="663"/>
      <c r="BW358" s="663"/>
      <c r="BX358" s="663"/>
      <c r="BY358" s="663"/>
      <c r="BZ358" s="663"/>
      <c r="CA358" s="663"/>
      <c r="CB358" s="663"/>
      <c r="CC358" s="663"/>
      <c r="CD358" s="663"/>
      <c r="CE358" s="663"/>
      <c r="CF358" s="663"/>
      <c r="CG358" s="663"/>
      <c r="CH358" s="663"/>
      <c r="CI358" s="663"/>
      <c r="CJ358" s="663"/>
      <c r="CK358" s="663"/>
      <c r="CL358" s="663"/>
      <c r="CM358" s="663"/>
      <c r="CN358" s="663"/>
      <c r="CO358" s="663"/>
      <c r="CP358" s="663"/>
      <c r="CQ358" s="663"/>
      <c r="CR358" s="663"/>
      <c r="CS358" s="663"/>
      <c r="CT358" s="663"/>
      <c r="CU358" s="663"/>
      <c r="CV358" s="663"/>
      <c r="CW358" s="663"/>
      <c r="CX358" s="663"/>
      <c r="CY358" s="663"/>
      <c r="CZ358" s="663"/>
      <c r="DA358" s="663"/>
      <c r="DB358" s="663"/>
      <c r="DC358" s="663"/>
      <c r="DD358" s="663"/>
      <c r="DE358" s="663"/>
      <c r="DF358" s="663"/>
      <c r="DG358" s="663"/>
      <c r="DH358" s="663"/>
      <c r="DI358" s="663"/>
      <c r="DJ358" s="663"/>
      <c r="DK358" s="663"/>
      <c r="DL358" s="663"/>
      <c r="DM358" s="663"/>
      <c r="DN358" s="663"/>
      <c r="DO358" s="663"/>
      <c r="DP358" s="663"/>
      <c r="DQ358" s="663"/>
      <c r="DR358" s="663"/>
      <c r="DS358" s="663"/>
      <c r="DT358" s="663"/>
      <c r="DU358" s="663"/>
      <c r="DV358" s="663"/>
      <c r="DW358" s="663"/>
      <c r="DX358" s="663"/>
      <c r="DY358" s="663"/>
      <c r="DZ358" s="663"/>
      <c r="EA358" s="663"/>
      <c r="EB358" s="663"/>
      <c r="EC358" s="663"/>
      <c r="ED358" s="663"/>
      <c r="EE358" s="663"/>
      <c r="EF358" s="663"/>
      <c r="EG358" s="663"/>
      <c r="EH358" s="663"/>
      <c r="EI358" s="663"/>
      <c r="EJ358" s="663"/>
      <c r="EK358" s="663"/>
      <c r="EL358" s="663"/>
      <c r="EM358" s="663"/>
      <c r="EN358" s="663"/>
      <c r="EO358" s="663"/>
      <c r="EP358" s="663"/>
      <c r="EQ358" s="663"/>
      <c r="ER358" s="663"/>
      <c r="ES358" s="663"/>
      <c r="ET358" s="663"/>
      <c r="EU358" s="663"/>
      <c r="EV358" s="663"/>
      <c r="EW358" s="663"/>
      <c r="EX358" s="663"/>
      <c r="EY358" s="663"/>
      <c r="EZ358" s="663"/>
      <c r="FA358" s="663"/>
      <c r="FB358" s="663"/>
      <c r="FC358" s="663"/>
      <c r="FD358" s="663"/>
      <c r="FE358" s="663"/>
      <c r="FF358" s="663"/>
      <c r="FG358" s="663"/>
      <c r="FH358" s="663"/>
      <c r="FI358" s="663"/>
      <c r="FJ358" s="663"/>
      <c r="FK358" s="663"/>
      <c r="FL358" s="663"/>
      <c r="FM358" s="663"/>
      <c r="FN358" s="663"/>
      <c r="FO358" s="663"/>
      <c r="FP358" s="663"/>
      <c r="FQ358" s="663"/>
      <c r="FR358" s="663"/>
      <c r="FS358" s="663"/>
      <c r="FT358" s="663"/>
      <c r="FU358" s="663"/>
      <c r="FV358" s="663"/>
      <c r="FW358" s="663"/>
      <c r="FX358" s="663"/>
      <c r="FY358" s="663"/>
      <c r="FZ358" s="663"/>
      <c r="GA358" s="663"/>
      <c r="GB358" s="663"/>
      <c r="GC358" s="663"/>
      <c r="GD358" s="663"/>
      <c r="GE358" s="663"/>
      <c r="GF358" s="663"/>
      <c r="GG358" s="663"/>
    </row>
    <row r="359" spans="1:189">
      <c r="A359" s="670"/>
      <c r="B359" s="670"/>
      <c r="C359" s="670"/>
      <c r="D359" s="670"/>
      <c r="E359" s="670"/>
      <c r="F359" s="670"/>
      <c r="G359" s="673"/>
      <c r="H359" s="627"/>
      <c r="I359" s="627"/>
      <c r="J359" s="672"/>
      <c r="K359" s="663"/>
      <c r="L359" s="663"/>
      <c r="M359" s="663"/>
      <c r="N359" s="663"/>
      <c r="O359" s="663"/>
      <c r="P359" s="663"/>
      <c r="Q359" s="663"/>
      <c r="R359" s="663"/>
      <c r="S359" s="663"/>
      <c r="T359" s="663"/>
      <c r="U359" s="663"/>
      <c r="V359" s="663"/>
      <c r="W359" s="663"/>
      <c r="X359" s="663"/>
      <c r="Y359" s="663"/>
      <c r="Z359" s="663"/>
      <c r="AA359" s="663"/>
      <c r="AB359" s="663"/>
      <c r="AC359" s="663"/>
      <c r="AD359" s="663"/>
      <c r="AE359" s="663"/>
      <c r="AF359" s="663"/>
      <c r="AG359" s="663"/>
      <c r="AH359" s="663"/>
      <c r="AI359" s="663"/>
      <c r="AJ359" s="663"/>
      <c r="AK359" s="663"/>
      <c r="AL359" s="663"/>
      <c r="AM359" s="663"/>
      <c r="AN359" s="663"/>
      <c r="AO359" s="663"/>
      <c r="AP359" s="663"/>
      <c r="AQ359" s="663"/>
      <c r="AR359" s="663"/>
      <c r="AS359" s="663"/>
      <c r="AT359" s="663"/>
      <c r="AU359" s="663"/>
      <c r="AV359" s="663"/>
      <c r="AW359" s="663"/>
      <c r="AX359" s="663"/>
      <c r="AY359" s="663"/>
      <c r="AZ359" s="663"/>
      <c r="BA359" s="663"/>
      <c r="BB359" s="663"/>
      <c r="BC359" s="663"/>
      <c r="BD359" s="663"/>
      <c r="BE359" s="663"/>
      <c r="BF359" s="663"/>
      <c r="BG359" s="663"/>
      <c r="BH359" s="663"/>
      <c r="BI359" s="663"/>
      <c r="BJ359" s="663"/>
      <c r="BK359" s="663"/>
      <c r="BL359" s="663"/>
      <c r="BM359" s="663"/>
      <c r="BN359" s="663"/>
      <c r="BO359" s="663"/>
      <c r="BP359" s="663"/>
      <c r="BQ359" s="663"/>
      <c r="BR359" s="663"/>
      <c r="BS359" s="663"/>
      <c r="BT359" s="663"/>
      <c r="BU359" s="663"/>
      <c r="BV359" s="663"/>
      <c r="BW359" s="663"/>
      <c r="BX359" s="663"/>
      <c r="BY359" s="663"/>
      <c r="BZ359" s="663"/>
      <c r="CA359" s="663"/>
      <c r="CB359" s="663"/>
      <c r="CC359" s="663"/>
      <c r="CD359" s="663"/>
      <c r="CE359" s="663"/>
      <c r="CF359" s="663"/>
      <c r="CG359" s="663"/>
      <c r="CH359" s="663"/>
      <c r="CI359" s="663"/>
      <c r="CJ359" s="663"/>
      <c r="CK359" s="663"/>
      <c r="CL359" s="663"/>
      <c r="CM359" s="663"/>
      <c r="CN359" s="663"/>
      <c r="CO359" s="663"/>
      <c r="CP359" s="663"/>
      <c r="CQ359" s="663"/>
      <c r="CR359" s="663"/>
      <c r="CS359" s="663"/>
      <c r="CT359" s="663"/>
      <c r="CU359" s="663"/>
      <c r="CV359" s="663"/>
      <c r="CW359" s="663"/>
      <c r="CX359" s="663"/>
      <c r="CY359" s="663"/>
      <c r="CZ359" s="663"/>
      <c r="DA359" s="663"/>
      <c r="DB359" s="663"/>
      <c r="DC359" s="663"/>
      <c r="DD359" s="663"/>
      <c r="DE359" s="663"/>
      <c r="DF359" s="663"/>
      <c r="DG359" s="663"/>
      <c r="DH359" s="663"/>
      <c r="DI359" s="663"/>
      <c r="DJ359" s="663"/>
      <c r="DK359" s="663"/>
      <c r="DL359" s="663"/>
      <c r="DM359" s="663"/>
      <c r="DN359" s="663"/>
      <c r="DO359" s="663"/>
      <c r="DP359" s="663"/>
      <c r="DQ359" s="663"/>
      <c r="DR359" s="663"/>
      <c r="DS359" s="663"/>
      <c r="DT359" s="663"/>
      <c r="DU359" s="663"/>
      <c r="DV359" s="663"/>
      <c r="DW359" s="663"/>
      <c r="DX359" s="663"/>
      <c r="DY359" s="663"/>
      <c r="DZ359" s="663"/>
      <c r="EA359" s="663"/>
      <c r="EB359" s="663"/>
      <c r="EC359" s="663"/>
      <c r="ED359" s="663"/>
      <c r="EE359" s="663"/>
      <c r="EF359" s="663"/>
      <c r="EG359" s="663"/>
      <c r="EH359" s="663"/>
      <c r="EI359" s="663"/>
      <c r="EJ359" s="663"/>
      <c r="EK359" s="663"/>
      <c r="EL359" s="663"/>
      <c r="EM359" s="663"/>
      <c r="EN359" s="663"/>
      <c r="EO359" s="663"/>
      <c r="EP359" s="663"/>
      <c r="EQ359" s="663"/>
      <c r="ER359" s="663"/>
      <c r="ES359" s="663"/>
      <c r="ET359" s="663"/>
      <c r="EU359" s="663"/>
      <c r="EV359" s="663"/>
      <c r="EW359" s="663"/>
      <c r="EX359" s="663"/>
      <c r="EY359" s="663"/>
      <c r="EZ359" s="663"/>
      <c r="FA359" s="663"/>
      <c r="FB359" s="663"/>
      <c r="FC359" s="663"/>
      <c r="FD359" s="663"/>
      <c r="FE359" s="663"/>
      <c r="FF359" s="663"/>
      <c r="FG359" s="663"/>
      <c r="FH359" s="663"/>
      <c r="FI359" s="663"/>
      <c r="FJ359" s="663"/>
      <c r="FK359" s="663"/>
      <c r="FL359" s="663"/>
      <c r="FM359" s="663"/>
      <c r="FN359" s="663"/>
      <c r="FO359" s="663"/>
      <c r="FP359" s="663"/>
      <c r="FQ359" s="663"/>
      <c r="FR359" s="663"/>
      <c r="FS359" s="663"/>
      <c r="FT359" s="663"/>
      <c r="FU359" s="663"/>
      <c r="FV359" s="663"/>
      <c r="FW359" s="663"/>
      <c r="FX359" s="663"/>
      <c r="FY359" s="663"/>
      <c r="FZ359" s="663"/>
      <c r="GA359" s="663"/>
      <c r="GB359" s="663"/>
      <c r="GC359" s="663"/>
      <c r="GD359" s="663"/>
      <c r="GE359" s="663"/>
      <c r="GF359" s="663"/>
      <c r="GG359" s="663"/>
    </row>
    <row r="360" spans="1:189">
      <c r="A360" s="670"/>
      <c r="B360" s="670"/>
      <c r="C360" s="670"/>
      <c r="D360" s="670"/>
      <c r="E360" s="670"/>
      <c r="F360" s="670"/>
      <c r="G360" s="673"/>
      <c r="H360" s="627"/>
      <c r="I360" s="627"/>
      <c r="J360" s="672"/>
      <c r="K360" s="663"/>
      <c r="L360" s="663"/>
      <c r="M360" s="663"/>
      <c r="N360" s="663"/>
      <c r="O360" s="663"/>
      <c r="P360" s="663"/>
      <c r="Q360" s="663"/>
      <c r="R360" s="663"/>
      <c r="S360" s="663"/>
      <c r="T360" s="663"/>
      <c r="U360" s="663"/>
      <c r="V360" s="663"/>
      <c r="W360" s="663"/>
      <c r="X360" s="663"/>
      <c r="Y360" s="663"/>
      <c r="Z360" s="663"/>
      <c r="AA360" s="663"/>
      <c r="AB360" s="663"/>
      <c r="AC360" s="663"/>
      <c r="AD360" s="663"/>
      <c r="AE360" s="663"/>
      <c r="AF360" s="663"/>
      <c r="AG360" s="663"/>
      <c r="AH360" s="663"/>
      <c r="AI360" s="663"/>
      <c r="AJ360" s="663"/>
      <c r="AK360" s="663"/>
      <c r="AL360" s="663"/>
      <c r="AM360" s="663"/>
      <c r="AN360" s="663"/>
      <c r="AO360" s="663"/>
      <c r="AP360" s="663"/>
      <c r="AQ360" s="663"/>
      <c r="AR360" s="663"/>
      <c r="AS360" s="663"/>
      <c r="AT360" s="663"/>
      <c r="AU360" s="663"/>
      <c r="AV360" s="663"/>
      <c r="AW360" s="663"/>
      <c r="AX360" s="663"/>
      <c r="AY360" s="663"/>
      <c r="AZ360" s="663"/>
      <c r="BA360" s="663"/>
      <c r="BB360" s="663"/>
      <c r="BC360" s="663"/>
      <c r="BD360" s="663"/>
      <c r="BE360" s="663"/>
      <c r="BF360" s="663"/>
      <c r="BG360" s="663"/>
      <c r="BH360" s="663"/>
      <c r="BI360" s="663"/>
      <c r="BJ360" s="663"/>
      <c r="BK360" s="663"/>
      <c r="BL360" s="663"/>
      <c r="BM360" s="663"/>
      <c r="BN360" s="663"/>
      <c r="BO360" s="663"/>
      <c r="BP360" s="663"/>
      <c r="BQ360" s="663"/>
      <c r="BR360" s="663"/>
      <c r="BS360" s="663"/>
      <c r="BT360" s="663"/>
      <c r="BU360" s="663"/>
      <c r="BV360" s="663"/>
      <c r="BW360" s="663"/>
      <c r="BX360" s="663"/>
      <c r="BY360" s="663"/>
      <c r="BZ360" s="663"/>
      <c r="CA360" s="663"/>
      <c r="CB360" s="663"/>
      <c r="CC360" s="663"/>
      <c r="CD360" s="663"/>
      <c r="CE360" s="663"/>
      <c r="CF360" s="663"/>
      <c r="CG360" s="663"/>
      <c r="CH360" s="663"/>
      <c r="CI360" s="663"/>
      <c r="CJ360" s="663"/>
      <c r="CK360" s="663"/>
      <c r="CL360" s="663"/>
      <c r="CM360" s="663"/>
      <c r="CN360" s="663"/>
      <c r="CO360" s="663"/>
      <c r="CP360" s="663"/>
      <c r="CQ360" s="663"/>
      <c r="CR360" s="663"/>
      <c r="CS360" s="663"/>
      <c r="CT360" s="663"/>
      <c r="CU360" s="663"/>
      <c r="CV360" s="663"/>
      <c r="CW360" s="663"/>
      <c r="CX360" s="663"/>
      <c r="CY360" s="663"/>
      <c r="CZ360" s="663"/>
      <c r="DA360" s="663"/>
      <c r="DB360" s="663"/>
      <c r="DC360" s="663"/>
      <c r="DD360" s="663"/>
      <c r="DE360" s="663"/>
      <c r="DF360" s="663"/>
      <c r="DG360" s="663"/>
      <c r="DH360" s="663"/>
      <c r="DI360" s="663"/>
      <c r="DJ360" s="663"/>
      <c r="DK360" s="663"/>
      <c r="DL360" s="663"/>
      <c r="DM360" s="663"/>
      <c r="DN360" s="663"/>
      <c r="DO360" s="663"/>
      <c r="DP360" s="663"/>
      <c r="DQ360" s="663"/>
      <c r="DR360" s="663"/>
      <c r="DS360" s="663"/>
      <c r="DT360" s="663"/>
      <c r="DU360" s="663"/>
      <c r="DV360" s="663"/>
      <c r="DW360" s="663"/>
      <c r="DX360" s="663"/>
      <c r="DY360" s="663"/>
      <c r="DZ360" s="663"/>
      <c r="EA360" s="663"/>
      <c r="EB360" s="663"/>
      <c r="EC360" s="663"/>
      <c r="ED360" s="663"/>
      <c r="EE360" s="663"/>
      <c r="EF360" s="663"/>
      <c r="EG360" s="663"/>
      <c r="EH360" s="663"/>
      <c r="EI360" s="663"/>
      <c r="EJ360" s="663"/>
      <c r="EK360" s="663"/>
      <c r="EL360" s="663"/>
      <c r="EM360" s="663"/>
      <c r="EN360" s="663"/>
      <c r="EO360" s="663"/>
      <c r="EP360" s="663"/>
      <c r="EQ360" s="663"/>
      <c r="ER360" s="663"/>
      <c r="ES360" s="663"/>
      <c r="ET360" s="663"/>
      <c r="EU360" s="663"/>
      <c r="EV360" s="663"/>
      <c r="EW360" s="663"/>
      <c r="EX360" s="663"/>
      <c r="EY360" s="663"/>
      <c r="EZ360" s="663"/>
      <c r="FA360" s="663"/>
      <c r="FB360" s="663"/>
      <c r="FC360" s="663"/>
      <c r="FD360" s="663"/>
      <c r="FE360" s="663"/>
      <c r="FF360" s="663"/>
      <c r="FG360" s="663"/>
      <c r="FH360" s="663"/>
      <c r="FI360" s="663"/>
      <c r="FJ360" s="663"/>
      <c r="FK360" s="663"/>
      <c r="FL360" s="663"/>
      <c r="FM360" s="663"/>
      <c r="FN360" s="663"/>
      <c r="FO360" s="663"/>
      <c r="FP360" s="663"/>
      <c r="FQ360" s="663"/>
      <c r="FR360" s="663"/>
      <c r="FS360" s="663"/>
      <c r="FT360" s="663"/>
      <c r="FU360" s="663"/>
      <c r="FV360" s="663"/>
      <c r="FW360" s="663"/>
      <c r="FX360" s="663"/>
      <c r="FY360" s="663"/>
      <c r="FZ360" s="663"/>
      <c r="GA360" s="663"/>
      <c r="GB360" s="663"/>
      <c r="GC360" s="663"/>
      <c r="GD360" s="663"/>
      <c r="GE360" s="663"/>
      <c r="GF360" s="663"/>
      <c r="GG360" s="663"/>
    </row>
    <row r="361" spans="1:189">
      <c r="A361" s="670"/>
      <c r="B361" s="670"/>
      <c r="C361" s="670"/>
      <c r="D361" s="670"/>
      <c r="E361" s="670"/>
      <c r="F361" s="670"/>
      <c r="G361" s="673"/>
      <c r="H361" s="627"/>
      <c r="I361" s="627"/>
      <c r="J361" s="672"/>
      <c r="K361" s="663"/>
      <c r="L361" s="663"/>
      <c r="M361" s="663"/>
      <c r="N361" s="663"/>
      <c r="O361" s="663"/>
      <c r="P361" s="663"/>
      <c r="Q361" s="663"/>
      <c r="R361" s="663"/>
      <c r="S361" s="663"/>
      <c r="T361" s="663"/>
      <c r="U361" s="663"/>
      <c r="V361" s="663"/>
      <c r="W361" s="663"/>
      <c r="X361" s="663"/>
      <c r="Y361" s="663"/>
      <c r="Z361" s="663"/>
      <c r="AA361" s="663"/>
      <c r="AB361" s="663"/>
      <c r="AC361" s="663"/>
      <c r="AD361" s="663"/>
      <c r="AE361" s="663"/>
      <c r="AF361" s="663"/>
      <c r="AG361" s="663"/>
      <c r="AH361" s="663"/>
      <c r="AI361" s="663"/>
      <c r="AJ361" s="663"/>
      <c r="AK361" s="663"/>
      <c r="AL361" s="663"/>
      <c r="AM361" s="663"/>
      <c r="AN361" s="663"/>
      <c r="AO361" s="663"/>
      <c r="AP361" s="663"/>
      <c r="AQ361" s="663"/>
      <c r="AR361" s="663"/>
      <c r="AS361" s="663"/>
      <c r="AT361" s="663"/>
      <c r="AU361" s="663"/>
      <c r="AV361" s="663"/>
      <c r="AW361" s="663"/>
      <c r="AX361" s="663"/>
      <c r="AY361" s="663"/>
      <c r="AZ361" s="663"/>
      <c r="BA361" s="663"/>
      <c r="BB361" s="663"/>
      <c r="BC361" s="663"/>
      <c r="BD361" s="663"/>
      <c r="BE361" s="663"/>
      <c r="BF361" s="663"/>
      <c r="BG361" s="663"/>
      <c r="BH361" s="663"/>
      <c r="BI361" s="663"/>
      <c r="BJ361" s="663"/>
      <c r="BK361" s="663"/>
      <c r="BL361" s="663"/>
      <c r="BM361" s="663"/>
      <c r="BN361" s="663"/>
      <c r="BO361" s="663"/>
      <c r="BP361" s="663"/>
      <c r="BQ361" s="663"/>
      <c r="BR361" s="663"/>
      <c r="BS361" s="663"/>
      <c r="BT361" s="663"/>
      <c r="BU361" s="663"/>
      <c r="BV361" s="663"/>
      <c r="BW361" s="663"/>
      <c r="BX361" s="663"/>
      <c r="BY361" s="663"/>
      <c r="BZ361" s="663"/>
      <c r="CA361" s="663"/>
      <c r="CB361" s="663"/>
      <c r="CC361" s="663"/>
      <c r="CD361" s="663"/>
      <c r="CE361" s="663"/>
      <c r="CF361" s="663"/>
      <c r="CG361" s="663"/>
      <c r="CH361" s="663"/>
      <c r="CI361" s="663"/>
      <c r="CJ361" s="663"/>
      <c r="CK361" s="663"/>
      <c r="CL361" s="663"/>
      <c r="CM361" s="663"/>
      <c r="CN361" s="663"/>
      <c r="CO361" s="663"/>
      <c r="CP361" s="663"/>
      <c r="CQ361" s="663"/>
      <c r="CR361" s="663"/>
      <c r="CS361" s="663"/>
      <c r="CT361" s="663"/>
      <c r="CU361" s="663"/>
      <c r="CV361" s="663"/>
      <c r="CW361" s="663"/>
      <c r="CX361" s="663"/>
      <c r="CY361" s="663"/>
      <c r="CZ361" s="663"/>
      <c r="DA361" s="663"/>
      <c r="DB361" s="663"/>
      <c r="DC361" s="663"/>
      <c r="DD361" s="663"/>
      <c r="DE361" s="663"/>
      <c r="DF361" s="663"/>
      <c r="DG361" s="663"/>
      <c r="DH361" s="663"/>
      <c r="DI361" s="663"/>
      <c r="DJ361" s="663"/>
      <c r="DK361" s="663"/>
      <c r="DL361" s="663"/>
      <c r="DM361" s="663"/>
      <c r="DN361" s="663"/>
      <c r="DO361" s="663"/>
      <c r="DP361" s="663"/>
      <c r="DQ361" s="663"/>
      <c r="DR361" s="663"/>
      <c r="DS361" s="663"/>
      <c r="DT361" s="663"/>
      <c r="DU361" s="663"/>
      <c r="DV361" s="663"/>
      <c r="DW361" s="663"/>
      <c r="DX361" s="663"/>
      <c r="DY361" s="663"/>
      <c r="DZ361" s="663"/>
      <c r="EA361" s="663"/>
      <c r="EB361" s="663"/>
      <c r="EC361" s="663"/>
      <c r="ED361" s="663"/>
      <c r="EE361" s="663"/>
      <c r="EF361" s="663"/>
      <c r="EG361" s="663"/>
      <c r="EH361" s="663"/>
      <c r="EI361" s="663"/>
      <c r="EJ361" s="663"/>
      <c r="EK361" s="663"/>
      <c r="EL361" s="663"/>
      <c r="EM361" s="663"/>
      <c r="EN361" s="663"/>
      <c r="EO361" s="663"/>
      <c r="EP361" s="663"/>
      <c r="EQ361" s="663"/>
      <c r="ER361" s="663"/>
      <c r="ES361" s="663"/>
      <c r="ET361" s="663"/>
      <c r="EU361" s="663"/>
      <c r="EV361" s="663"/>
      <c r="EW361" s="663"/>
      <c r="EX361" s="663"/>
      <c r="EY361" s="663"/>
      <c r="EZ361" s="663"/>
      <c r="FA361" s="663"/>
      <c r="FB361" s="663"/>
      <c r="FC361" s="663"/>
      <c r="FD361" s="663"/>
      <c r="FE361" s="663"/>
      <c r="FF361" s="663"/>
      <c r="FG361" s="663"/>
      <c r="FH361" s="663"/>
      <c r="FI361" s="663"/>
      <c r="FJ361" s="663"/>
      <c r="FK361" s="663"/>
      <c r="FL361" s="663"/>
      <c r="FM361" s="663"/>
      <c r="FN361" s="663"/>
      <c r="FO361" s="663"/>
      <c r="FP361" s="663"/>
      <c r="FQ361" s="663"/>
      <c r="FR361" s="663"/>
      <c r="FS361" s="663"/>
      <c r="FT361" s="663"/>
      <c r="FU361" s="663"/>
      <c r="FV361" s="663"/>
      <c r="FW361" s="663"/>
      <c r="FX361" s="663"/>
      <c r="FY361" s="663"/>
      <c r="FZ361" s="663"/>
      <c r="GA361" s="663"/>
      <c r="GB361" s="663"/>
      <c r="GC361" s="663"/>
      <c r="GD361" s="663"/>
      <c r="GE361" s="663"/>
      <c r="GF361" s="663"/>
      <c r="GG361" s="663"/>
    </row>
    <row r="362" spans="1:189">
      <c r="A362" s="670"/>
      <c r="B362" s="670"/>
      <c r="C362" s="670"/>
      <c r="D362" s="670"/>
      <c r="E362" s="670"/>
      <c r="F362" s="670"/>
      <c r="G362" s="673"/>
      <c r="H362" s="627"/>
      <c r="I362" s="627"/>
      <c r="J362" s="672"/>
      <c r="K362" s="663"/>
      <c r="L362" s="663"/>
      <c r="M362" s="663"/>
      <c r="N362" s="663"/>
      <c r="O362" s="663"/>
      <c r="P362" s="663"/>
      <c r="Q362" s="663"/>
      <c r="R362" s="663"/>
      <c r="S362" s="663"/>
      <c r="T362" s="663"/>
      <c r="U362" s="663"/>
      <c r="V362" s="663"/>
      <c r="W362" s="663"/>
      <c r="X362" s="663"/>
      <c r="Y362" s="663"/>
      <c r="Z362" s="663"/>
      <c r="AA362" s="663"/>
      <c r="AB362" s="663"/>
      <c r="AC362" s="663"/>
      <c r="AD362" s="663"/>
      <c r="AE362" s="663"/>
      <c r="AF362" s="663"/>
      <c r="AG362" s="663"/>
      <c r="AH362" s="663"/>
      <c r="AI362" s="663"/>
      <c r="AJ362" s="663"/>
      <c r="AK362" s="663"/>
      <c r="AL362" s="663"/>
      <c r="AM362" s="663"/>
      <c r="AN362" s="663"/>
      <c r="AO362" s="663"/>
      <c r="AP362" s="663"/>
      <c r="AQ362" s="663"/>
      <c r="AR362" s="663"/>
      <c r="AS362" s="663"/>
      <c r="AT362" s="663"/>
      <c r="AU362" s="663"/>
      <c r="AV362" s="663"/>
      <c r="AW362" s="663"/>
      <c r="AX362" s="663"/>
      <c r="AY362" s="663"/>
      <c r="AZ362" s="663"/>
      <c r="BA362" s="663"/>
      <c r="BB362" s="663"/>
      <c r="BC362" s="663"/>
      <c r="BD362" s="663"/>
      <c r="BE362" s="663"/>
      <c r="BF362" s="663"/>
      <c r="BG362" s="663"/>
      <c r="BH362" s="663"/>
      <c r="BI362" s="663"/>
      <c r="BJ362" s="663"/>
      <c r="BK362" s="663"/>
      <c r="BL362" s="663"/>
      <c r="BM362" s="663"/>
      <c r="BN362" s="663"/>
      <c r="BO362" s="663"/>
      <c r="BP362" s="663"/>
      <c r="BQ362" s="663"/>
      <c r="BR362" s="663"/>
      <c r="BS362" s="663"/>
      <c r="BT362" s="663"/>
      <c r="BU362" s="663"/>
      <c r="BV362" s="663"/>
      <c r="BW362" s="663"/>
      <c r="BX362" s="663"/>
      <c r="BY362" s="663"/>
      <c r="BZ362" s="663"/>
      <c r="CA362" s="663"/>
      <c r="CB362" s="663"/>
      <c r="CC362" s="663"/>
      <c r="CD362" s="663"/>
      <c r="CE362" s="663"/>
      <c r="CF362" s="663"/>
      <c r="CG362" s="663"/>
      <c r="CH362" s="663"/>
      <c r="CI362" s="663"/>
      <c r="CJ362" s="663"/>
      <c r="CK362" s="663"/>
      <c r="CL362" s="663"/>
      <c r="CM362" s="663"/>
      <c r="CN362" s="663"/>
      <c r="CO362" s="663"/>
      <c r="CP362" s="663"/>
      <c r="CQ362" s="663"/>
      <c r="CR362" s="663"/>
      <c r="CS362" s="663"/>
      <c r="CT362" s="663"/>
      <c r="CU362" s="663"/>
      <c r="CV362" s="663"/>
      <c r="CW362" s="663"/>
      <c r="CX362" s="663"/>
      <c r="CY362" s="663"/>
      <c r="CZ362" s="663"/>
      <c r="DA362" s="663"/>
      <c r="DB362" s="663"/>
      <c r="DC362" s="663"/>
      <c r="DD362" s="663"/>
      <c r="DE362" s="663"/>
      <c r="DF362" s="663"/>
      <c r="DG362" s="663"/>
      <c r="DH362" s="663"/>
      <c r="DI362" s="663"/>
      <c r="DJ362" s="663"/>
      <c r="DK362" s="663"/>
      <c r="DL362" s="663"/>
      <c r="DM362" s="663"/>
      <c r="DN362" s="663"/>
      <c r="DO362" s="663"/>
      <c r="DP362" s="663"/>
      <c r="DQ362" s="663"/>
      <c r="DR362" s="663"/>
      <c r="DS362" s="663"/>
      <c r="DT362" s="663"/>
      <c r="DU362" s="663"/>
      <c r="DV362" s="663"/>
      <c r="DW362" s="663"/>
      <c r="DX362" s="663"/>
      <c r="DY362" s="663"/>
      <c r="DZ362" s="663"/>
      <c r="EA362" s="663"/>
      <c r="EB362" s="663"/>
      <c r="EC362" s="663"/>
      <c r="ED362" s="663"/>
      <c r="EE362" s="663"/>
      <c r="EF362" s="663"/>
      <c r="EG362" s="663"/>
      <c r="EH362" s="663"/>
      <c r="EI362" s="663"/>
      <c r="EJ362" s="663"/>
      <c r="EK362" s="663"/>
      <c r="EL362" s="663"/>
      <c r="EM362" s="663"/>
      <c r="EN362" s="663"/>
      <c r="EO362" s="663"/>
      <c r="EP362" s="663"/>
      <c r="EQ362" s="663"/>
      <c r="ER362" s="663"/>
      <c r="ES362" s="663"/>
      <c r="ET362" s="663"/>
      <c r="EU362" s="663"/>
      <c r="EV362" s="663"/>
      <c r="EW362" s="663"/>
      <c r="EX362" s="663"/>
      <c r="EY362" s="663"/>
      <c r="EZ362" s="663"/>
      <c r="FA362" s="663"/>
      <c r="FB362" s="663"/>
      <c r="FC362" s="663"/>
      <c r="FD362" s="663"/>
      <c r="FE362" s="663"/>
      <c r="FF362" s="663"/>
      <c r="FG362" s="663"/>
      <c r="FH362" s="663"/>
      <c r="FI362" s="663"/>
      <c r="FJ362" s="663"/>
      <c r="FK362" s="663"/>
      <c r="FL362" s="663"/>
      <c r="FM362" s="663"/>
      <c r="FN362" s="663"/>
      <c r="FO362" s="663"/>
      <c r="FP362" s="663"/>
      <c r="FQ362" s="663"/>
      <c r="FR362" s="663"/>
      <c r="FS362" s="663"/>
      <c r="FT362" s="663"/>
      <c r="FU362" s="663"/>
      <c r="FV362" s="663"/>
      <c r="FW362" s="663"/>
      <c r="FX362" s="663"/>
      <c r="FY362" s="663"/>
      <c r="FZ362" s="663"/>
      <c r="GA362" s="663"/>
      <c r="GB362" s="663"/>
      <c r="GC362" s="663"/>
      <c r="GD362" s="663"/>
      <c r="GE362" s="663"/>
      <c r="GF362" s="663"/>
      <c r="GG362" s="663"/>
    </row>
    <row r="363" spans="1:189">
      <c r="A363" s="670"/>
      <c r="B363" s="670"/>
      <c r="C363" s="670"/>
      <c r="D363" s="670"/>
      <c r="E363" s="670"/>
      <c r="F363" s="670"/>
      <c r="G363" s="673"/>
      <c r="H363" s="627"/>
      <c r="I363" s="627"/>
      <c r="J363" s="672"/>
      <c r="K363" s="663"/>
      <c r="L363" s="663"/>
      <c r="M363" s="663"/>
      <c r="N363" s="663"/>
      <c r="O363" s="663"/>
      <c r="P363" s="663"/>
      <c r="Q363" s="663"/>
      <c r="R363" s="663"/>
      <c r="S363" s="663"/>
      <c r="T363" s="663"/>
      <c r="U363" s="663"/>
      <c r="V363" s="663"/>
      <c r="W363" s="663"/>
      <c r="X363" s="663"/>
      <c r="Y363" s="663"/>
      <c r="Z363" s="663"/>
      <c r="AA363" s="663"/>
      <c r="AB363" s="663"/>
      <c r="AC363" s="663"/>
      <c r="AD363" s="663"/>
      <c r="AE363" s="663"/>
      <c r="AF363" s="663"/>
      <c r="AG363" s="663"/>
      <c r="AH363" s="663"/>
      <c r="AI363" s="663"/>
      <c r="AJ363" s="663"/>
      <c r="AK363" s="663"/>
      <c r="AL363" s="663"/>
      <c r="AM363" s="663"/>
      <c r="AN363" s="663"/>
      <c r="AO363" s="663"/>
      <c r="AP363" s="663"/>
      <c r="AQ363" s="663"/>
      <c r="AR363" s="663"/>
      <c r="AS363" s="663"/>
      <c r="AT363" s="663"/>
      <c r="AU363" s="663"/>
      <c r="AV363" s="663"/>
      <c r="AW363" s="663"/>
      <c r="AX363" s="663"/>
      <c r="AY363" s="663"/>
      <c r="AZ363" s="663"/>
      <c r="BA363" s="663"/>
      <c r="BB363" s="663"/>
      <c r="BC363" s="663"/>
      <c r="BD363" s="663"/>
      <c r="BE363" s="663"/>
      <c r="BF363" s="663"/>
      <c r="BG363" s="663"/>
      <c r="BH363" s="663"/>
      <c r="BI363" s="663"/>
      <c r="BJ363" s="663"/>
      <c r="BK363" s="663"/>
      <c r="BL363" s="663"/>
      <c r="BM363" s="663"/>
      <c r="BN363" s="663"/>
      <c r="BO363" s="663"/>
      <c r="BP363" s="663"/>
      <c r="BQ363" s="663"/>
      <c r="BR363" s="663"/>
      <c r="BS363" s="663"/>
      <c r="BT363" s="663"/>
      <c r="BU363" s="663"/>
      <c r="BV363" s="663"/>
      <c r="BW363" s="663"/>
      <c r="BX363" s="663"/>
      <c r="BY363" s="663"/>
      <c r="BZ363" s="663"/>
      <c r="CA363" s="663"/>
      <c r="CB363" s="663"/>
      <c r="CC363" s="663"/>
      <c r="CD363" s="663"/>
      <c r="CE363" s="663"/>
      <c r="CF363" s="663"/>
      <c r="CG363" s="663"/>
      <c r="CH363" s="663"/>
      <c r="CI363" s="663"/>
      <c r="CJ363" s="663"/>
      <c r="CK363" s="663"/>
      <c r="CL363" s="663"/>
      <c r="CM363" s="663"/>
      <c r="CN363" s="663"/>
      <c r="CO363" s="663"/>
      <c r="CP363" s="663"/>
      <c r="CQ363" s="663"/>
      <c r="CR363" s="663"/>
      <c r="CS363" s="663"/>
      <c r="CT363" s="663"/>
      <c r="CU363" s="663"/>
      <c r="CV363" s="663"/>
      <c r="CW363" s="663"/>
      <c r="CX363" s="663"/>
      <c r="CY363" s="663"/>
      <c r="CZ363" s="663"/>
      <c r="DA363" s="663"/>
      <c r="DB363" s="663"/>
      <c r="DC363" s="663"/>
      <c r="DD363" s="663"/>
      <c r="DE363" s="663"/>
      <c r="DF363" s="663"/>
      <c r="DG363" s="663"/>
      <c r="DH363" s="663"/>
      <c r="DI363" s="663"/>
      <c r="DJ363" s="663"/>
      <c r="DK363" s="663"/>
      <c r="DL363" s="663"/>
      <c r="DM363" s="663"/>
      <c r="DN363" s="663"/>
      <c r="DO363" s="663"/>
      <c r="DP363" s="663"/>
      <c r="DQ363" s="663"/>
      <c r="DR363" s="663"/>
      <c r="DS363" s="663"/>
      <c r="DT363" s="663"/>
      <c r="DU363" s="663"/>
      <c r="DV363" s="663"/>
      <c r="DW363" s="663"/>
      <c r="DX363" s="663"/>
      <c r="DY363" s="663"/>
      <c r="DZ363" s="663"/>
      <c r="EA363" s="663"/>
      <c r="EB363" s="663"/>
      <c r="EC363" s="663"/>
      <c r="ED363" s="663"/>
      <c r="EE363" s="663"/>
      <c r="EF363" s="663"/>
      <c r="EG363" s="663"/>
      <c r="EH363" s="663"/>
      <c r="EI363" s="663"/>
      <c r="EJ363" s="663"/>
      <c r="EK363" s="663"/>
      <c r="EL363" s="663"/>
      <c r="EM363" s="663"/>
      <c r="EN363" s="663"/>
      <c r="EO363" s="663"/>
      <c r="EP363" s="663"/>
      <c r="EQ363" s="663"/>
      <c r="ER363" s="663"/>
      <c r="ES363" s="663"/>
      <c r="ET363" s="663"/>
      <c r="EU363" s="663"/>
      <c r="EV363" s="663"/>
      <c r="EW363" s="663"/>
      <c r="EX363" s="663"/>
      <c r="EY363" s="663"/>
      <c r="EZ363" s="663"/>
      <c r="FA363" s="663"/>
      <c r="FB363" s="663"/>
      <c r="FC363" s="663"/>
      <c r="FD363" s="663"/>
      <c r="FE363" s="663"/>
      <c r="FF363" s="663"/>
      <c r="FG363" s="663"/>
      <c r="FH363" s="663"/>
      <c r="FI363" s="663"/>
      <c r="FJ363" s="663"/>
      <c r="FK363" s="663"/>
      <c r="FL363" s="663"/>
      <c r="FM363" s="663"/>
      <c r="FN363" s="663"/>
      <c r="FO363" s="663"/>
      <c r="FP363" s="663"/>
      <c r="FQ363" s="663"/>
      <c r="FR363" s="663"/>
      <c r="FS363" s="663"/>
      <c r="FT363" s="663"/>
      <c r="FU363" s="663"/>
      <c r="FV363" s="663"/>
      <c r="FW363" s="663"/>
      <c r="FX363" s="663"/>
      <c r="FY363" s="663"/>
      <c r="FZ363" s="663"/>
      <c r="GA363" s="663"/>
      <c r="GB363" s="663"/>
      <c r="GC363" s="663"/>
      <c r="GD363" s="663"/>
      <c r="GE363" s="663"/>
      <c r="GF363" s="663"/>
      <c r="GG363" s="663"/>
    </row>
    <row r="364" spans="1:189">
      <c r="A364" s="670"/>
      <c r="B364" s="670"/>
      <c r="C364" s="670"/>
      <c r="D364" s="670"/>
      <c r="E364" s="670"/>
      <c r="F364" s="670"/>
      <c r="G364" s="673"/>
      <c r="H364" s="627"/>
      <c r="I364" s="627"/>
      <c r="J364" s="672"/>
      <c r="K364" s="663"/>
      <c r="L364" s="663"/>
      <c r="M364" s="663"/>
      <c r="N364" s="663"/>
      <c r="O364" s="663"/>
      <c r="P364" s="663"/>
      <c r="Q364" s="663"/>
      <c r="R364" s="663"/>
      <c r="S364" s="663"/>
      <c r="T364" s="663"/>
      <c r="U364" s="663"/>
      <c r="V364" s="663"/>
      <c r="W364" s="663"/>
      <c r="X364" s="663"/>
      <c r="Y364" s="663"/>
      <c r="Z364" s="663"/>
      <c r="AA364" s="663"/>
      <c r="AB364" s="663"/>
      <c r="AC364" s="663"/>
      <c r="AD364" s="663"/>
      <c r="AE364" s="663"/>
      <c r="AF364" s="663"/>
      <c r="AG364" s="663"/>
      <c r="AH364" s="663"/>
      <c r="AI364" s="663"/>
      <c r="AJ364" s="663"/>
      <c r="AK364" s="663"/>
      <c r="AL364" s="663"/>
      <c r="AM364" s="663"/>
      <c r="AN364" s="663"/>
      <c r="AO364" s="663"/>
      <c r="AP364" s="663"/>
      <c r="AQ364" s="663"/>
      <c r="AR364" s="663"/>
      <c r="AS364" s="663"/>
      <c r="AT364" s="663"/>
      <c r="AU364" s="663"/>
      <c r="AV364" s="663"/>
      <c r="AW364" s="663"/>
      <c r="AX364" s="663"/>
      <c r="AY364" s="663"/>
      <c r="AZ364" s="663"/>
      <c r="BA364" s="663"/>
      <c r="BB364" s="663"/>
      <c r="BC364" s="663"/>
      <c r="BD364" s="663"/>
      <c r="BE364" s="663"/>
      <c r="BF364" s="663"/>
      <c r="BG364" s="663"/>
      <c r="BH364" s="663"/>
      <c r="BI364" s="663"/>
      <c r="BJ364" s="663"/>
      <c r="BK364" s="663"/>
      <c r="BL364" s="663"/>
      <c r="BM364" s="663"/>
      <c r="BN364" s="663"/>
      <c r="BO364" s="663"/>
      <c r="BP364" s="663"/>
      <c r="BQ364" s="663"/>
      <c r="BR364" s="663"/>
      <c r="BS364" s="663"/>
      <c r="BT364" s="663"/>
      <c r="BU364" s="663"/>
      <c r="BV364" s="663"/>
      <c r="BW364" s="663"/>
      <c r="BX364" s="663"/>
      <c r="BY364" s="663"/>
      <c r="BZ364" s="663"/>
      <c r="CA364" s="663"/>
      <c r="CB364" s="663"/>
      <c r="CC364" s="663"/>
      <c r="CD364" s="663"/>
      <c r="CE364" s="663"/>
      <c r="CF364" s="663"/>
      <c r="CG364" s="663"/>
      <c r="CH364" s="663"/>
      <c r="CI364" s="663"/>
      <c r="CJ364" s="663"/>
      <c r="CK364" s="663"/>
      <c r="CL364" s="663"/>
      <c r="CM364" s="663"/>
      <c r="CN364" s="663"/>
      <c r="CO364" s="663"/>
      <c r="CP364" s="663"/>
      <c r="CQ364" s="663"/>
      <c r="CR364" s="663"/>
      <c r="CS364" s="663"/>
      <c r="CT364" s="663"/>
      <c r="CU364" s="663"/>
      <c r="CV364" s="663"/>
      <c r="CW364" s="663"/>
      <c r="CX364" s="663"/>
      <c r="CY364" s="663"/>
      <c r="CZ364" s="663"/>
      <c r="DA364" s="663"/>
      <c r="DB364" s="663"/>
      <c r="DC364" s="663"/>
      <c r="DD364" s="663"/>
      <c r="DE364" s="663"/>
      <c r="DF364" s="663"/>
      <c r="DG364" s="663"/>
      <c r="DH364" s="663"/>
      <c r="DI364" s="663"/>
      <c r="DJ364" s="663"/>
      <c r="DK364" s="663"/>
      <c r="DL364" s="663"/>
      <c r="DM364" s="663"/>
      <c r="DN364" s="663"/>
      <c r="DO364" s="663"/>
      <c r="DP364" s="663"/>
      <c r="DQ364" s="663"/>
      <c r="DR364" s="663"/>
      <c r="DS364" s="663"/>
      <c r="DT364" s="663"/>
      <c r="DU364" s="663"/>
      <c r="DV364" s="663"/>
      <c r="DW364" s="663"/>
      <c r="DX364" s="663"/>
      <c r="DY364" s="663"/>
      <c r="DZ364" s="663"/>
      <c r="EA364" s="663"/>
      <c r="EB364" s="663"/>
      <c r="EC364" s="663"/>
      <c r="ED364" s="663"/>
      <c r="EE364" s="663"/>
      <c r="EF364" s="663"/>
      <c r="EG364" s="663"/>
      <c r="EH364" s="663"/>
      <c r="EI364" s="663"/>
      <c r="EJ364" s="663"/>
      <c r="EK364" s="663"/>
      <c r="EL364" s="663"/>
      <c r="EM364" s="663"/>
      <c r="EN364" s="663"/>
      <c r="EO364" s="663"/>
      <c r="EP364" s="663"/>
      <c r="EQ364" s="663"/>
      <c r="ER364" s="663"/>
      <c r="ES364" s="663"/>
      <c r="ET364" s="663"/>
      <c r="EU364" s="663"/>
      <c r="EV364" s="663"/>
      <c r="EW364" s="663"/>
      <c r="EX364" s="663"/>
      <c r="EY364" s="663"/>
      <c r="EZ364" s="663"/>
      <c r="FA364" s="663"/>
      <c r="FB364" s="663"/>
      <c r="FC364" s="663"/>
      <c r="FD364" s="663"/>
      <c r="FE364" s="663"/>
      <c r="FF364" s="663"/>
      <c r="FG364" s="663"/>
      <c r="FH364" s="663"/>
      <c r="FI364" s="663"/>
      <c r="FJ364" s="663"/>
      <c r="FK364" s="663"/>
      <c r="FL364" s="663"/>
      <c r="FM364" s="663"/>
      <c r="FN364" s="663"/>
      <c r="FO364" s="663"/>
      <c r="FP364" s="663"/>
      <c r="FQ364" s="663"/>
      <c r="FR364" s="663"/>
      <c r="FS364" s="663"/>
      <c r="FT364" s="663"/>
      <c r="FU364" s="663"/>
      <c r="FV364" s="663"/>
      <c r="FW364" s="663"/>
      <c r="FX364" s="663"/>
      <c r="FY364" s="663"/>
      <c r="FZ364" s="663"/>
      <c r="GA364" s="663"/>
      <c r="GB364" s="663"/>
      <c r="GC364" s="663"/>
      <c r="GD364" s="663"/>
      <c r="GE364" s="663"/>
      <c r="GF364" s="663"/>
      <c r="GG364" s="663"/>
    </row>
    <row r="365" spans="1:189">
      <c r="A365" s="670"/>
      <c r="B365" s="670"/>
      <c r="C365" s="670"/>
      <c r="D365" s="670"/>
      <c r="E365" s="670"/>
      <c r="F365" s="670"/>
      <c r="G365" s="673"/>
      <c r="H365" s="627"/>
      <c r="I365" s="627"/>
      <c r="J365" s="672"/>
      <c r="K365" s="663"/>
      <c r="L365" s="663"/>
      <c r="M365" s="663"/>
      <c r="N365" s="663"/>
      <c r="O365" s="663"/>
      <c r="P365" s="663"/>
      <c r="Q365" s="663"/>
      <c r="R365" s="663"/>
      <c r="S365" s="663"/>
      <c r="T365" s="663"/>
      <c r="U365" s="663"/>
      <c r="V365" s="663"/>
      <c r="W365" s="663"/>
      <c r="X365" s="663"/>
      <c r="Y365" s="663"/>
      <c r="Z365" s="663"/>
      <c r="AA365" s="663"/>
      <c r="AB365" s="663"/>
      <c r="AC365" s="663"/>
      <c r="AD365" s="663"/>
      <c r="AE365" s="663"/>
      <c r="AF365" s="663"/>
      <c r="AG365" s="663"/>
      <c r="AH365" s="663"/>
      <c r="AI365" s="663"/>
      <c r="AJ365" s="663"/>
      <c r="AK365" s="663"/>
      <c r="AL365" s="663"/>
      <c r="AM365" s="663"/>
      <c r="AN365" s="663"/>
      <c r="AO365" s="663"/>
      <c r="AP365" s="663"/>
      <c r="AQ365" s="663"/>
      <c r="AR365" s="663"/>
      <c r="AS365" s="663"/>
      <c r="AT365" s="663"/>
      <c r="AU365" s="663"/>
      <c r="AV365" s="663"/>
      <c r="AW365" s="663"/>
      <c r="AX365" s="663"/>
      <c r="AY365" s="663"/>
      <c r="AZ365" s="663"/>
      <c r="BA365" s="663"/>
      <c r="BB365" s="663"/>
      <c r="BC365" s="663"/>
      <c r="BD365" s="663"/>
      <c r="BE365" s="663"/>
      <c r="BF365" s="663"/>
      <c r="BG365" s="663"/>
      <c r="BH365" s="663"/>
      <c r="BI365" s="663"/>
      <c r="BJ365" s="663"/>
      <c r="BK365" s="663"/>
      <c r="BL365" s="663"/>
      <c r="BM365" s="663"/>
      <c r="BN365" s="663"/>
      <c r="BO365" s="663"/>
      <c r="BP365" s="663"/>
      <c r="BQ365" s="663"/>
      <c r="BR365" s="663"/>
      <c r="BS365" s="663"/>
      <c r="BT365" s="663"/>
      <c r="BU365" s="663"/>
      <c r="BV365" s="663"/>
      <c r="BW365" s="663"/>
      <c r="BX365" s="663"/>
      <c r="BY365" s="663"/>
      <c r="BZ365" s="663"/>
      <c r="CA365" s="663"/>
      <c r="CB365" s="663"/>
      <c r="CC365" s="663"/>
      <c r="CD365" s="663"/>
      <c r="CE365" s="663"/>
      <c r="CF365" s="663"/>
      <c r="CG365" s="663"/>
      <c r="CH365" s="663"/>
      <c r="CI365" s="663"/>
      <c r="CJ365" s="663"/>
      <c r="CK365" s="663"/>
      <c r="CL365" s="663"/>
      <c r="CM365" s="663"/>
      <c r="CN365" s="663"/>
      <c r="CO365" s="663"/>
      <c r="CP365" s="663"/>
      <c r="CQ365" s="663"/>
      <c r="CR365" s="663"/>
      <c r="CS365" s="663"/>
      <c r="CT365" s="663"/>
      <c r="CU365" s="663"/>
      <c r="CV365" s="663"/>
      <c r="CW365" s="663"/>
      <c r="CX365" s="663"/>
      <c r="CY365" s="663"/>
      <c r="CZ365" s="663"/>
      <c r="DA365" s="663"/>
      <c r="DB365" s="663"/>
      <c r="DC365" s="663"/>
      <c r="DD365" s="663"/>
      <c r="DE365" s="663"/>
      <c r="DF365" s="663"/>
      <c r="DG365" s="663"/>
      <c r="DH365" s="663"/>
      <c r="DI365" s="663"/>
      <c r="DJ365" s="663"/>
      <c r="DK365" s="663"/>
      <c r="DL365" s="663"/>
      <c r="DM365" s="663"/>
      <c r="DN365" s="663"/>
      <c r="DO365" s="663"/>
      <c r="DP365" s="663"/>
      <c r="DQ365" s="663"/>
      <c r="DR365" s="663"/>
      <c r="DS365" s="663"/>
      <c r="DT365" s="663"/>
      <c r="DU365" s="663"/>
      <c r="DV365" s="663"/>
      <c r="DW365" s="663"/>
      <c r="DX365" s="663"/>
      <c r="DY365" s="663"/>
      <c r="DZ365" s="663"/>
      <c r="EA365" s="663"/>
      <c r="EB365" s="663"/>
      <c r="EC365" s="663"/>
      <c r="ED365" s="663"/>
      <c r="EE365" s="663"/>
      <c r="EF365" s="663"/>
      <c r="EG365" s="663"/>
      <c r="EH365" s="663"/>
      <c r="EI365" s="663"/>
      <c r="EJ365" s="663"/>
      <c r="EK365" s="663"/>
      <c r="EL365" s="663"/>
      <c r="EM365" s="663"/>
      <c r="EN365" s="663"/>
      <c r="EO365" s="663"/>
      <c r="EP365" s="663"/>
      <c r="EQ365" s="663"/>
      <c r="ER365" s="663"/>
      <c r="ES365" s="663"/>
      <c r="ET365" s="663"/>
      <c r="EU365" s="663"/>
      <c r="EV365" s="663"/>
      <c r="EW365" s="663"/>
      <c r="EX365" s="663"/>
      <c r="EY365" s="663"/>
      <c r="EZ365" s="663"/>
      <c r="FA365" s="663"/>
      <c r="FB365" s="663"/>
      <c r="FC365" s="663"/>
      <c r="FD365" s="663"/>
      <c r="FE365" s="663"/>
      <c r="FF365" s="663"/>
      <c r="FG365" s="663"/>
      <c r="FH365" s="663"/>
      <c r="FI365" s="663"/>
      <c r="FJ365" s="663"/>
      <c r="FK365" s="663"/>
      <c r="FL365" s="663"/>
      <c r="FM365" s="663"/>
      <c r="FN365" s="663"/>
      <c r="FO365" s="663"/>
      <c r="FP365" s="663"/>
      <c r="FQ365" s="663"/>
      <c r="FR365" s="663"/>
      <c r="FS365" s="663"/>
      <c r="FT365" s="663"/>
      <c r="FU365" s="663"/>
      <c r="FV365" s="663"/>
      <c r="FW365" s="663"/>
      <c r="FX365" s="663"/>
      <c r="FY365" s="663"/>
      <c r="FZ365" s="663"/>
      <c r="GA365" s="663"/>
      <c r="GB365" s="663"/>
      <c r="GC365" s="663"/>
      <c r="GD365" s="663"/>
      <c r="GE365" s="663"/>
      <c r="GF365" s="663"/>
      <c r="GG365" s="663"/>
    </row>
    <row r="366" spans="1:189">
      <c r="A366" s="670"/>
      <c r="B366" s="670"/>
      <c r="C366" s="670"/>
      <c r="D366" s="670"/>
      <c r="E366" s="670"/>
      <c r="F366" s="670"/>
      <c r="G366" s="673"/>
      <c r="H366" s="627"/>
      <c r="I366" s="627"/>
      <c r="J366" s="672"/>
      <c r="K366" s="663"/>
      <c r="L366" s="663"/>
      <c r="M366" s="663"/>
      <c r="N366" s="663"/>
      <c r="O366" s="663"/>
      <c r="P366" s="663"/>
      <c r="Q366" s="663"/>
      <c r="R366" s="663"/>
      <c r="S366" s="663"/>
      <c r="T366" s="663"/>
      <c r="U366" s="663"/>
      <c r="V366" s="663"/>
      <c r="W366" s="663"/>
      <c r="X366" s="663"/>
      <c r="Y366" s="663"/>
      <c r="Z366" s="663"/>
      <c r="AA366" s="663"/>
      <c r="AB366" s="663"/>
      <c r="AC366" s="663"/>
      <c r="AD366" s="663"/>
      <c r="AE366" s="663"/>
      <c r="AF366" s="663"/>
      <c r="AG366" s="663"/>
      <c r="AH366" s="663"/>
      <c r="AI366" s="663"/>
      <c r="AJ366" s="663"/>
      <c r="AK366" s="663"/>
      <c r="AL366" s="663"/>
      <c r="AM366" s="663"/>
      <c r="AN366" s="663"/>
      <c r="AO366" s="663"/>
      <c r="AP366" s="663"/>
      <c r="AQ366" s="663"/>
      <c r="AR366" s="663"/>
      <c r="AS366" s="663"/>
      <c r="AT366" s="663"/>
      <c r="AU366" s="663"/>
      <c r="AV366" s="663"/>
      <c r="AW366" s="663"/>
      <c r="AX366" s="663"/>
      <c r="AY366" s="663"/>
      <c r="AZ366" s="663"/>
      <c r="BA366" s="663"/>
      <c r="BB366" s="663"/>
      <c r="BC366" s="663"/>
      <c r="BD366" s="663"/>
      <c r="BE366" s="663"/>
      <c r="BF366" s="663"/>
      <c r="BG366" s="663"/>
      <c r="BH366" s="663"/>
      <c r="BI366" s="663"/>
      <c r="BJ366" s="663"/>
      <c r="BK366" s="663"/>
      <c r="BL366" s="663"/>
      <c r="BM366" s="663"/>
      <c r="BN366" s="663"/>
      <c r="BO366" s="663"/>
      <c r="BP366" s="663"/>
      <c r="BQ366" s="663"/>
      <c r="BR366" s="663"/>
      <c r="BS366" s="663"/>
      <c r="BT366" s="663"/>
      <c r="BU366" s="663"/>
      <c r="BV366" s="663"/>
      <c r="BW366" s="663"/>
      <c r="BX366" s="663"/>
      <c r="BY366" s="663"/>
      <c r="BZ366" s="663"/>
      <c r="CA366" s="663"/>
      <c r="CB366" s="663"/>
      <c r="CC366" s="663"/>
      <c r="CD366" s="663"/>
      <c r="CE366" s="663"/>
      <c r="CF366" s="663"/>
      <c r="CG366" s="663"/>
      <c r="CH366" s="663"/>
      <c r="CI366" s="663"/>
      <c r="CJ366" s="663"/>
      <c r="CK366" s="663"/>
      <c r="CL366" s="663"/>
      <c r="CM366" s="663"/>
      <c r="CN366" s="663"/>
      <c r="CO366" s="663"/>
      <c r="CP366" s="663"/>
      <c r="CQ366" s="663"/>
      <c r="CR366" s="663"/>
      <c r="CS366" s="663"/>
      <c r="CT366" s="663"/>
      <c r="CU366" s="663"/>
      <c r="CV366" s="663"/>
      <c r="CW366" s="663"/>
      <c r="CX366" s="663"/>
      <c r="CY366" s="663"/>
      <c r="CZ366" s="663"/>
      <c r="DA366" s="663"/>
      <c r="DB366" s="663"/>
      <c r="DC366" s="663"/>
      <c r="DD366" s="663"/>
      <c r="DE366" s="663"/>
      <c r="DF366" s="663"/>
      <c r="DG366" s="663"/>
      <c r="DH366" s="663"/>
      <c r="DI366" s="663"/>
      <c r="DJ366" s="663"/>
      <c r="DK366" s="663"/>
      <c r="DL366" s="663"/>
      <c r="DM366" s="663"/>
      <c r="DN366" s="663"/>
      <c r="DO366" s="663"/>
      <c r="DP366" s="663"/>
      <c r="DQ366" s="663"/>
      <c r="DR366" s="663"/>
      <c r="DS366" s="663"/>
      <c r="DT366" s="663"/>
      <c r="DU366" s="663"/>
      <c r="DV366" s="663"/>
      <c r="DW366" s="663"/>
      <c r="DX366" s="663"/>
      <c r="DY366" s="663"/>
      <c r="DZ366" s="663"/>
      <c r="EA366" s="663"/>
      <c r="EB366" s="663"/>
      <c r="EC366" s="663"/>
      <c r="ED366" s="663"/>
      <c r="EE366" s="663"/>
      <c r="EF366" s="663"/>
      <c r="EG366" s="663"/>
      <c r="EH366" s="663"/>
      <c r="EI366" s="663"/>
      <c r="EJ366" s="663"/>
      <c r="EK366" s="663"/>
      <c r="EL366" s="663"/>
      <c r="EM366" s="663"/>
      <c r="EN366" s="663"/>
      <c r="EO366" s="663"/>
      <c r="EP366" s="663"/>
      <c r="EQ366" s="663"/>
      <c r="ER366" s="663"/>
      <c r="ES366" s="663"/>
      <c r="ET366" s="663"/>
      <c r="EU366" s="663"/>
      <c r="EV366" s="663"/>
      <c r="EW366" s="663"/>
      <c r="EX366" s="663"/>
      <c r="EY366" s="663"/>
      <c r="EZ366" s="663"/>
      <c r="FA366" s="663"/>
      <c r="FB366" s="663"/>
      <c r="FC366" s="663"/>
      <c r="FD366" s="663"/>
      <c r="FE366" s="663"/>
      <c r="FF366" s="663"/>
      <c r="FG366" s="663"/>
      <c r="FH366" s="663"/>
      <c r="FI366" s="663"/>
      <c r="FJ366" s="663"/>
      <c r="FK366" s="663"/>
      <c r="FL366" s="663"/>
      <c r="FM366" s="663"/>
      <c r="FN366" s="663"/>
      <c r="FO366" s="663"/>
      <c r="FP366" s="663"/>
      <c r="FQ366" s="663"/>
      <c r="FR366" s="663"/>
      <c r="FS366" s="663"/>
      <c r="FT366" s="663"/>
      <c r="FU366" s="663"/>
      <c r="FV366" s="663"/>
      <c r="FW366" s="663"/>
      <c r="FX366" s="663"/>
      <c r="FY366" s="663"/>
      <c r="FZ366" s="663"/>
      <c r="GA366" s="663"/>
      <c r="GB366" s="663"/>
      <c r="GC366" s="663"/>
      <c r="GD366" s="663"/>
      <c r="GE366" s="663"/>
      <c r="GF366" s="663"/>
      <c r="GG366" s="663"/>
    </row>
    <row r="367" spans="1:189">
      <c r="A367" s="670"/>
      <c r="B367" s="670"/>
      <c r="C367" s="670"/>
      <c r="D367" s="670"/>
      <c r="E367" s="670"/>
      <c r="F367" s="670"/>
      <c r="G367" s="673"/>
      <c r="H367" s="627"/>
      <c r="I367" s="627"/>
      <c r="J367" s="672"/>
      <c r="K367" s="663"/>
      <c r="L367" s="663"/>
      <c r="M367" s="663"/>
      <c r="N367" s="663"/>
      <c r="O367" s="663"/>
      <c r="P367" s="663"/>
      <c r="Q367" s="663"/>
      <c r="R367" s="663"/>
      <c r="S367" s="663"/>
      <c r="T367" s="663"/>
      <c r="U367" s="663"/>
      <c r="V367" s="663"/>
      <c r="W367" s="663"/>
      <c r="X367" s="663"/>
      <c r="Y367" s="663"/>
      <c r="Z367" s="663"/>
      <c r="AA367" s="663"/>
      <c r="AB367" s="663"/>
      <c r="AC367" s="663"/>
      <c r="AD367" s="663"/>
      <c r="AE367" s="663"/>
      <c r="AF367" s="663"/>
      <c r="AG367" s="663"/>
      <c r="AH367" s="663"/>
      <c r="AI367" s="663"/>
      <c r="AJ367" s="663"/>
      <c r="AK367" s="663"/>
      <c r="AL367" s="663"/>
      <c r="AM367" s="663"/>
      <c r="AN367" s="663"/>
      <c r="AO367" s="663"/>
      <c r="AP367" s="663"/>
      <c r="AQ367" s="663"/>
      <c r="AR367" s="663"/>
      <c r="AS367" s="663"/>
      <c r="AT367" s="663"/>
      <c r="AU367" s="663"/>
      <c r="AV367" s="663"/>
      <c r="AW367" s="663"/>
      <c r="AX367" s="663"/>
      <c r="AY367" s="663"/>
      <c r="AZ367" s="663"/>
      <c r="BA367" s="663"/>
      <c r="BB367" s="663"/>
      <c r="BC367" s="663"/>
      <c r="BD367" s="663"/>
      <c r="BE367" s="663"/>
      <c r="BF367" s="663"/>
      <c r="BG367" s="663"/>
      <c r="BH367" s="663"/>
      <c r="BI367" s="663"/>
      <c r="BJ367" s="663"/>
      <c r="BK367" s="663"/>
      <c r="BL367" s="663"/>
      <c r="BM367" s="663"/>
      <c r="BN367" s="663"/>
      <c r="BO367" s="663"/>
      <c r="BP367" s="663"/>
      <c r="BQ367" s="663"/>
      <c r="BR367" s="663"/>
      <c r="BS367" s="663"/>
      <c r="BT367" s="663"/>
      <c r="BU367" s="663"/>
      <c r="BV367" s="663"/>
      <c r="BW367" s="663"/>
      <c r="BX367" s="663"/>
      <c r="BY367" s="663"/>
      <c r="BZ367" s="663"/>
      <c r="CA367" s="663"/>
      <c r="CB367" s="663"/>
      <c r="CC367" s="663"/>
      <c r="CD367" s="663"/>
      <c r="CE367" s="663"/>
      <c r="CF367" s="663"/>
      <c r="CG367" s="663"/>
      <c r="CH367" s="663"/>
      <c r="CI367" s="663"/>
      <c r="CJ367" s="663"/>
      <c r="CK367" s="663"/>
      <c r="CL367" s="663"/>
      <c r="CM367" s="663"/>
      <c r="CN367" s="663"/>
      <c r="CO367" s="663"/>
      <c r="CP367" s="663"/>
      <c r="CQ367" s="663"/>
      <c r="CR367" s="663"/>
      <c r="CS367" s="663"/>
      <c r="CT367" s="663"/>
      <c r="CU367" s="663"/>
      <c r="CV367" s="663"/>
      <c r="CW367" s="663"/>
      <c r="CX367" s="663"/>
      <c r="CY367" s="663"/>
      <c r="CZ367" s="663"/>
      <c r="DA367" s="663"/>
      <c r="DB367" s="663"/>
      <c r="DC367" s="663"/>
      <c r="DD367" s="663"/>
      <c r="DE367" s="663"/>
      <c r="DF367" s="663"/>
      <c r="DG367" s="663"/>
      <c r="DH367" s="663"/>
      <c r="DI367" s="663"/>
      <c r="DJ367" s="663"/>
      <c r="DK367" s="663"/>
      <c r="DL367" s="663"/>
      <c r="DM367" s="663"/>
      <c r="DN367" s="663"/>
      <c r="DO367" s="663"/>
      <c r="DP367" s="663"/>
      <c r="DQ367" s="663"/>
      <c r="DR367" s="663"/>
      <c r="DS367" s="663"/>
      <c r="DT367" s="663"/>
      <c r="DU367" s="663"/>
      <c r="DV367" s="663"/>
      <c r="DW367" s="663"/>
      <c r="DX367" s="663"/>
      <c r="DY367" s="663"/>
      <c r="DZ367" s="663"/>
      <c r="EA367" s="663"/>
      <c r="EB367" s="663"/>
      <c r="EC367" s="663"/>
      <c r="ED367" s="663"/>
      <c r="EE367" s="663"/>
      <c r="EF367" s="663"/>
      <c r="EG367" s="663"/>
      <c r="EH367" s="663"/>
      <c r="EI367" s="663"/>
      <c r="EJ367" s="663"/>
      <c r="EK367" s="663"/>
      <c r="EL367" s="663"/>
      <c r="EM367" s="663"/>
      <c r="EN367" s="663"/>
      <c r="EO367" s="663"/>
      <c r="EP367" s="663"/>
      <c r="EQ367" s="663"/>
      <c r="ER367" s="663"/>
      <c r="ES367" s="663"/>
      <c r="ET367" s="663"/>
      <c r="EU367" s="663"/>
      <c r="EV367" s="663"/>
      <c r="EW367" s="663"/>
      <c r="EX367" s="663"/>
      <c r="EY367" s="663"/>
      <c r="EZ367" s="663"/>
      <c r="FA367" s="663"/>
      <c r="FB367" s="663"/>
      <c r="FC367" s="663"/>
      <c r="FD367" s="663"/>
      <c r="FE367" s="663"/>
      <c r="FF367" s="663"/>
      <c r="FG367" s="663"/>
      <c r="FH367" s="663"/>
      <c r="FI367" s="663"/>
      <c r="FJ367" s="663"/>
      <c r="FK367" s="663"/>
      <c r="FL367" s="663"/>
      <c r="FM367" s="663"/>
      <c r="FN367" s="663"/>
      <c r="FO367" s="663"/>
      <c r="FP367" s="663"/>
      <c r="FQ367" s="663"/>
      <c r="FR367" s="663"/>
      <c r="FS367" s="663"/>
      <c r="FT367" s="663"/>
      <c r="FU367" s="663"/>
      <c r="FV367" s="663"/>
      <c r="FW367" s="663"/>
      <c r="FX367" s="663"/>
      <c r="FY367" s="663"/>
      <c r="FZ367" s="663"/>
      <c r="GA367" s="663"/>
      <c r="GB367" s="663"/>
      <c r="GC367" s="663"/>
      <c r="GD367" s="663"/>
      <c r="GE367" s="663"/>
      <c r="GF367" s="663"/>
      <c r="GG367" s="663"/>
    </row>
    <row r="368" spans="1:189">
      <c r="A368" s="670"/>
      <c r="B368" s="670"/>
      <c r="C368" s="670"/>
      <c r="D368" s="670"/>
      <c r="E368" s="670"/>
      <c r="F368" s="670"/>
      <c r="G368" s="673"/>
      <c r="H368" s="627"/>
      <c r="I368" s="627"/>
      <c r="J368" s="672"/>
      <c r="K368" s="663"/>
      <c r="L368" s="663"/>
      <c r="M368" s="663"/>
      <c r="N368" s="663"/>
      <c r="O368" s="663"/>
      <c r="P368" s="663"/>
      <c r="Q368" s="663"/>
      <c r="R368" s="663"/>
      <c r="S368" s="663"/>
      <c r="T368" s="663"/>
      <c r="U368" s="663"/>
      <c r="V368" s="663"/>
      <c r="W368" s="663"/>
      <c r="X368" s="663"/>
      <c r="Y368" s="663"/>
      <c r="Z368" s="663"/>
      <c r="AA368" s="663"/>
      <c r="AB368" s="663"/>
      <c r="AC368" s="663"/>
      <c r="AD368" s="663"/>
      <c r="AE368" s="663"/>
      <c r="AF368" s="663"/>
      <c r="AG368" s="663"/>
      <c r="AH368" s="663"/>
      <c r="AI368" s="663"/>
      <c r="AJ368" s="663"/>
      <c r="AK368" s="663"/>
      <c r="AL368" s="663"/>
      <c r="AM368" s="663"/>
      <c r="AN368" s="663"/>
      <c r="AO368" s="663"/>
      <c r="AP368" s="663"/>
      <c r="AQ368" s="663"/>
      <c r="AR368" s="663"/>
      <c r="AS368" s="663"/>
      <c r="AT368" s="663"/>
      <c r="AU368" s="663"/>
      <c r="AV368" s="663"/>
      <c r="AW368" s="663"/>
      <c r="AX368" s="663"/>
      <c r="AY368" s="663"/>
      <c r="AZ368" s="663"/>
      <c r="BA368" s="663"/>
      <c r="BB368" s="663"/>
      <c r="BC368" s="663"/>
      <c r="BD368" s="663"/>
      <c r="BE368" s="663"/>
      <c r="BF368" s="663"/>
      <c r="BG368" s="663"/>
      <c r="BH368" s="663"/>
      <c r="BI368" s="663"/>
      <c r="BJ368" s="663"/>
      <c r="BK368" s="663"/>
      <c r="BL368" s="663"/>
      <c r="BM368" s="663"/>
      <c r="BN368" s="663"/>
      <c r="BO368" s="663"/>
      <c r="BP368" s="663"/>
      <c r="BQ368" s="663"/>
      <c r="BR368" s="663"/>
      <c r="BS368" s="663"/>
      <c r="BT368" s="663"/>
      <c r="BU368" s="663"/>
      <c r="BV368" s="663"/>
      <c r="BW368" s="663"/>
      <c r="BX368" s="663"/>
      <c r="BY368" s="663"/>
      <c r="BZ368" s="663"/>
      <c r="CA368" s="663"/>
      <c r="CB368" s="663"/>
      <c r="CC368" s="663"/>
      <c r="CD368" s="663"/>
      <c r="CE368" s="663"/>
      <c r="CF368" s="663"/>
      <c r="CG368" s="663"/>
      <c r="CH368" s="663"/>
      <c r="CI368" s="663"/>
      <c r="CJ368" s="663"/>
      <c r="CK368" s="663"/>
      <c r="CL368" s="663"/>
      <c r="CM368" s="663"/>
      <c r="CN368" s="663"/>
      <c r="CO368" s="663"/>
      <c r="CP368" s="663"/>
      <c r="CQ368" s="663"/>
      <c r="CR368" s="663"/>
      <c r="CS368" s="663"/>
      <c r="CT368" s="663"/>
      <c r="CU368" s="663"/>
      <c r="CV368" s="663"/>
      <c r="CW368" s="663"/>
      <c r="CX368" s="663"/>
      <c r="CY368" s="663"/>
      <c r="CZ368" s="663"/>
      <c r="DA368" s="663"/>
      <c r="DB368" s="663"/>
      <c r="DC368" s="663"/>
      <c r="DD368" s="663"/>
      <c r="DE368" s="663"/>
      <c r="DF368" s="663"/>
      <c r="DG368" s="663"/>
      <c r="DH368" s="663"/>
      <c r="DI368" s="663"/>
      <c r="DJ368" s="663"/>
      <c r="DK368" s="663"/>
      <c r="DL368" s="663"/>
      <c r="DM368" s="663"/>
      <c r="DN368" s="663"/>
      <c r="DO368" s="663"/>
      <c r="DP368" s="663"/>
      <c r="DQ368" s="663"/>
      <c r="DR368" s="663"/>
      <c r="DS368" s="663"/>
      <c r="DT368" s="663"/>
      <c r="DU368" s="663"/>
      <c r="DV368" s="663"/>
      <c r="DW368" s="663"/>
      <c r="DX368" s="663"/>
      <c r="DY368" s="663"/>
      <c r="DZ368" s="663"/>
      <c r="EA368" s="663"/>
      <c r="EB368" s="663"/>
      <c r="EC368" s="663"/>
      <c r="ED368" s="663"/>
      <c r="EE368" s="663"/>
      <c r="EF368" s="663"/>
      <c r="EG368" s="663"/>
      <c r="EH368" s="663"/>
      <c r="EI368" s="663"/>
      <c r="EJ368" s="663"/>
      <c r="EK368" s="663"/>
      <c r="EL368" s="663"/>
      <c r="EM368" s="663"/>
      <c r="EN368" s="663"/>
      <c r="EO368" s="663"/>
      <c r="EP368" s="663"/>
      <c r="EQ368" s="663"/>
      <c r="ER368" s="663"/>
      <c r="ES368" s="663"/>
      <c r="ET368" s="663"/>
      <c r="EU368" s="663"/>
      <c r="EV368" s="663"/>
      <c r="EW368" s="663"/>
      <c r="EX368" s="663"/>
      <c r="EY368" s="663"/>
      <c r="EZ368" s="663"/>
      <c r="FA368" s="663"/>
      <c r="FB368" s="663"/>
      <c r="FC368" s="663"/>
      <c r="FD368" s="663"/>
      <c r="FE368" s="663"/>
      <c r="FF368" s="663"/>
      <c r="FG368" s="663"/>
      <c r="FH368" s="663"/>
      <c r="FI368" s="663"/>
      <c r="FJ368" s="663"/>
      <c r="FK368" s="663"/>
      <c r="FL368" s="663"/>
      <c r="FM368" s="663"/>
      <c r="FN368" s="663"/>
      <c r="FO368" s="663"/>
      <c r="FP368" s="663"/>
      <c r="FQ368" s="663"/>
      <c r="FR368" s="663"/>
      <c r="FS368" s="663"/>
      <c r="FT368" s="663"/>
      <c r="FU368" s="663"/>
      <c r="FV368" s="663"/>
      <c r="FW368" s="663"/>
      <c r="FX368" s="663"/>
      <c r="FY368" s="663"/>
      <c r="FZ368" s="663"/>
      <c r="GA368" s="663"/>
      <c r="GB368" s="663"/>
      <c r="GC368" s="663"/>
      <c r="GD368" s="663"/>
      <c r="GE368" s="663"/>
      <c r="GF368" s="663"/>
      <c r="GG368" s="663"/>
    </row>
    <row r="369" spans="1:189">
      <c r="A369" s="670"/>
      <c r="B369" s="670"/>
      <c r="C369" s="670"/>
      <c r="D369" s="670"/>
      <c r="E369" s="670"/>
      <c r="F369" s="670"/>
      <c r="G369" s="673"/>
      <c r="H369" s="627"/>
      <c r="I369" s="627"/>
      <c r="J369" s="672"/>
      <c r="K369" s="663"/>
      <c r="L369" s="663"/>
      <c r="M369" s="663"/>
      <c r="N369" s="663"/>
      <c r="O369" s="663"/>
      <c r="P369" s="663"/>
      <c r="Q369" s="663"/>
      <c r="R369" s="663"/>
      <c r="S369" s="663"/>
      <c r="T369" s="663"/>
      <c r="U369" s="663"/>
      <c r="V369" s="663"/>
      <c r="W369" s="663"/>
      <c r="X369" s="663"/>
      <c r="Y369" s="663"/>
      <c r="Z369" s="663"/>
      <c r="AA369" s="663"/>
      <c r="AB369" s="663"/>
      <c r="AC369" s="663"/>
      <c r="AD369" s="663"/>
      <c r="AE369" s="663"/>
      <c r="AF369" s="663"/>
      <c r="AG369" s="663"/>
      <c r="AH369" s="663"/>
      <c r="AI369" s="663"/>
      <c r="AJ369" s="663"/>
      <c r="AK369" s="663"/>
      <c r="AL369" s="663"/>
      <c r="AM369" s="663"/>
      <c r="AN369" s="663"/>
      <c r="AO369" s="663"/>
      <c r="AP369" s="663"/>
      <c r="AQ369" s="663"/>
      <c r="AR369" s="663"/>
      <c r="AS369" s="663"/>
      <c r="AT369" s="663"/>
      <c r="AU369" s="663"/>
      <c r="AV369" s="663"/>
      <c r="AW369" s="663"/>
      <c r="AX369" s="663"/>
      <c r="AY369" s="663"/>
      <c r="AZ369" s="663"/>
      <c r="BA369" s="663"/>
      <c r="BB369" s="663"/>
      <c r="BC369" s="663"/>
      <c r="BD369" s="663"/>
      <c r="BE369" s="663"/>
      <c r="BF369" s="663"/>
      <c r="BG369" s="663"/>
      <c r="BH369" s="663"/>
      <c r="BI369" s="663"/>
      <c r="BJ369" s="663"/>
      <c r="BK369" s="663"/>
      <c r="BL369" s="663"/>
      <c r="BM369" s="663"/>
      <c r="BN369" s="663"/>
      <c r="BO369" s="663"/>
      <c r="BP369" s="663"/>
      <c r="BQ369" s="663"/>
      <c r="BR369" s="663"/>
      <c r="BS369" s="663"/>
      <c r="BT369" s="663"/>
      <c r="BU369" s="663"/>
      <c r="BV369" s="663"/>
      <c r="BW369" s="663"/>
      <c r="BX369" s="663"/>
      <c r="BY369" s="663"/>
      <c r="BZ369" s="663"/>
      <c r="CA369" s="663"/>
      <c r="CB369" s="663"/>
      <c r="CC369" s="663"/>
      <c r="CD369" s="663"/>
      <c r="CE369" s="663"/>
      <c r="CF369" s="663"/>
      <c r="CG369" s="663"/>
      <c r="CH369" s="663"/>
      <c r="CI369" s="663"/>
      <c r="CJ369" s="663"/>
      <c r="CK369" s="663"/>
      <c r="CL369" s="663"/>
      <c r="CM369" s="663"/>
      <c r="CN369" s="663"/>
      <c r="CO369" s="663"/>
      <c r="CP369" s="663"/>
      <c r="CQ369" s="663"/>
      <c r="CR369" s="663"/>
      <c r="CS369" s="663"/>
      <c r="CT369" s="663"/>
      <c r="CU369" s="663"/>
      <c r="CV369" s="663"/>
      <c r="CW369" s="663"/>
      <c r="CX369" s="663"/>
      <c r="CY369" s="663"/>
      <c r="CZ369" s="663"/>
      <c r="DA369" s="663"/>
      <c r="DB369" s="663"/>
      <c r="DC369" s="663"/>
      <c r="DD369" s="663"/>
      <c r="DE369" s="663"/>
      <c r="DF369" s="663"/>
      <c r="DG369" s="663"/>
      <c r="DH369" s="663"/>
      <c r="DI369" s="663"/>
      <c r="DJ369" s="663"/>
      <c r="DK369" s="663"/>
      <c r="DL369" s="663"/>
      <c r="DM369" s="663"/>
      <c r="DN369" s="663"/>
      <c r="DO369" s="663"/>
      <c r="DP369" s="663"/>
      <c r="DQ369" s="663"/>
      <c r="DR369" s="663"/>
      <c r="DS369" s="663"/>
      <c r="DT369" s="663"/>
      <c r="DU369" s="663"/>
      <c r="DV369" s="663"/>
      <c r="DW369" s="663"/>
      <c r="DX369" s="663"/>
      <c r="DY369" s="663"/>
      <c r="DZ369" s="663"/>
      <c r="EA369" s="663"/>
      <c r="EB369" s="663"/>
      <c r="EC369" s="663"/>
      <c r="ED369" s="663"/>
      <c r="EE369" s="663"/>
      <c r="EF369" s="663"/>
      <c r="EG369" s="663"/>
      <c r="EH369" s="663"/>
      <c r="EI369" s="663"/>
      <c r="EJ369" s="663"/>
      <c r="EK369" s="663"/>
      <c r="EL369" s="663"/>
      <c r="EM369" s="663"/>
      <c r="EN369" s="663"/>
      <c r="EO369" s="663"/>
      <c r="EP369" s="663"/>
      <c r="EQ369" s="663"/>
      <c r="ER369" s="663"/>
      <c r="ES369" s="663"/>
      <c r="ET369" s="663"/>
      <c r="EU369" s="663"/>
      <c r="EV369" s="663"/>
      <c r="EW369" s="663"/>
      <c r="EX369" s="663"/>
      <c r="EY369" s="663"/>
      <c r="EZ369" s="663"/>
      <c r="FA369" s="663"/>
      <c r="FB369" s="663"/>
      <c r="FC369" s="663"/>
      <c r="FD369" s="663"/>
      <c r="FE369" s="663"/>
      <c r="FF369" s="663"/>
      <c r="FG369" s="663"/>
      <c r="FH369" s="663"/>
      <c r="FI369" s="663"/>
      <c r="FJ369" s="663"/>
      <c r="FK369" s="663"/>
      <c r="FL369" s="663"/>
      <c r="FM369" s="663"/>
      <c r="FN369" s="663"/>
      <c r="FO369" s="663"/>
      <c r="FP369" s="663"/>
      <c r="FQ369" s="663"/>
      <c r="FR369" s="663"/>
      <c r="FS369" s="663"/>
      <c r="FT369" s="663"/>
      <c r="FU369" s="663"/>
      <c r="FV369" s="663"/>
      <c r="FW369" s="663"/>
      <c r="FX369" s="663"/>
      <c r="FY369" s="663"/>
      <c r="FZ369" s="663"/>
      <c r="GA369" s="663"/>
      <c r="GB369" s="663"/>
      <c r="GC369" s="663"/>
      <c r="GD369" s="663"/>
      <c r="GE369" s="663"/>
      <c r="GF369" s="663"/>
      <c r="GG369" s="663"/>
    </row>
    <row r="370" spans="1:189">
      <c r="A370" s="670"/>
      <c r="B370" s="670"/>
      <c r="C370" s="670"/>
      <c r="D370" s="670"/>
      <c r="E370" s="670"/>
      <c r="F370" s="670"/>
      <c r="G370" s="673"/>
      <c r="H370" s="627"/>
      <c r="I370" s="627"/>
      <c r="J370" s="672"/>
      <c r="K370" s="663"/>
      <c r="L370" s="663"/>
      <c r="M370" s="663"/>
      <c r="N370" s="663"/>
      <c r="O370" s="663"/>
      <c r="P370" s="663"/>
      <c r="Q370" s="663"/>
      <c r="R370" s="663"/>
      <c r="S370" s="663"/>
      <c r="T370" s="663"/>
      <c r="U370" s="663"/>
      <c r="V370" s="663"/>
      <c r="W370" s="663"/>
      <c r="X370" s="663"/>
      <c r="Y370" s="663"/>
      <c r="Z370" s="663"/>
      <c r="AA370" s="663"/>
      <c r="AB370" s="663"/>
      <c r="AC370" s="663"/>
      <c r="AD370" s="663"/>
      <c r="AE370" s="663"/>
      <c r="AF370" s="663"/>
      <c r="AG370" s="663"/>
      <c r="AH370" s="663"/>
      <c r="AI370" s="663"/>
      <c r="AJ370" s="663"/>
      <c r="AK370" s="663"/>
      <c r="AL370" s="663"/>
      <c r="AM370" s="663"/>
      <c r="AN370" s="663"/>
      <c r="AO370" s="663"/>
      <c r="AP370" s="663"/>
      <c r="AQ370" s="663"/>
      <c r="AR370" s="663"/>
      <c r="AS370" s="663"/>
      <c r="AT370" s="663"/>
      <c r="AU370" s="663"/>
      <c r="AV370" s="663"/>
      <c r="AW370" s="663"/>
      <c r="AX370" s="663"/>
      <c r="AY370" s="663"/>
      <c r="AZ370" s="663"/>
      <c r="BA370" s="663"/>
      <c r="BB370" s="663"/>
      <c r="BC370" s="663"/>
      <c r="BD370" s="663"/>
      <c r="BE370" s="663"/>
      <c r="BF370" s="663"/>
      <c r="BG370" s="663"/>
      <c r="BH370" s="663"/>
      <c r="BI370" s="663"/>
      <c r="BJ370" s="663"/>
      <c r="BK370" s="663"/>
      <c r="BL370" s="663"/>
      <c r="BM370" s="663"/>
      <c r="BN370" s="663"/>
      <c r="BO370" s="663"/>
      <c r="BP370" s="663"/>
      <c r="BQ370" s="663"/>
      <c r="BR370" s="663"/>
      <c r="BS370" s="663"/>
      <c r="BT370" s="663"/>
      <c r="BU370" s="663"/>
      <c r="BV370" s="663"/>
      <c r="BW370" s="663"/>
      <c r="BX370" s="663"/>
      <c r="BY370" s="663"/>
      <c r="BZ370" s="663"/>
      <c r="CA370" s="663"/>
      <c r="CB370" s="663"/>
      <c r="CC370" s="663"/>
      <c r="CD370" s="663"/>
      <c r="CE370" s="663"/>
      <c r="CF370" s="663"/>
      <c r="CG370" s="663"/>
      <c r="CH370" s="663"/>
      <c r="CI370" s="663"/>
      <c r="CJ370" s="663"/>
      <c r="CK370" s="663"/>
      <c r="CL370" s="663"/>
      <c r="CM370" s="663"/>
      <c r="CN370" s="663"/>
      <c r="CO370" s="663"/>
      <c r="CP370" s="663"/>
      <c r="CQ370" s="663"/>
      <c r="CR370" s="663"/>
      <c r="CS370" s="663"/>
      <c r="CT370" s="663"/>
      <c r="CU370" s="663"/>
      <c r="CV370" s="663"/>
      <c r="CW370" s="663"/>
      <c r="CX370" s="663"/>
      <c r="CY370" s="663"/>
      <c r="CZ370" s="663"/>
      <c r="DA370" s="663"/>
      <c r="DB370" s="663"/>
      <c r="DC370" s="663"/>
      <c r="DD370" s="663"/>
      <c r="DE370" s="663"/>
      <c r="DF370" s="663"/>
      <c r="DG370" s="663"/>
      <c r="DH370" s="663"/>
      <c r="DI370" s="663"/>
      <c r="DJ370" s="663"/>
      <c r="DK370" s="663"/>
      <c r="DL370" s="663"/>
      <c r="DM370" s="663"/>
      <c r="DN370" s="663"/>
      <c r="DO370" s="663"/>
      <c r="DP370" s="663"/>
      <c r="DQ370" s="663"/>
      <c r="DR370" s="663"/>
      <c r="DS370" s="663"/>
      <c r="DT370" s="663"/>
      <c r="DU370" s="663"/>
      <c r="DV370" s="663"/>
      <c r="DW370" s="663"/>
      <c r="DX370" s="663"/>
      <c r="DY370" s="663"/>
      <c r="DZ370" s="663"/>
      <c r="EA370" s="663"/>
      <c r="EB370" s="663"/>
      <c r="EC370" s="663"/>
      <c r="ED370" s="663"/>
      <c r="EE370" s="663"/>
      <c r="EF370" s="663"/>
      <c r="EG370" s="663"/>
      <c r="EH370" s="663"/>
      <c r="EI370" s="663"/>
      <c r="EJ370" s="663"/>
      <c r="EK370" s="663"/>
      <c r="EL370" s="663"/>
      <c r="EM370" s="663"/>
      <c r="EN370" s="663"/>
      <c r="EO370" s="663"/>
      <c r="EP370" s="663"/>
      <c r="EQ370" s="663"/>
      <c r="ER370" s="663"/>
      <c r="ES370" s="663"/>
      <c r="ET370" s="663"/>
      <c r="EU370" s="663"/>
      <c r="EV370" s="663"/>
      <c r="EW370" s="663"/>
      <c r="EX370" s="663"/>
      <c r="EY370" s="663"/>
      <c r="EZ370" s="663"/>
      <c r="FA370" s="663"/>
      <c r="FB370" s="663"/>
      <c r="FC370" s="663"/>
      <c r="FD370" s="663"/>
      <c r="FE370" s="663"/>
      <c r="FF370" s="663"/>
      <c r="FG370" s="663"/>
      <c r="FH370" s="663"/>
      <c r="FI370" s="663"/>
      <c r="FJ370" s="663"/>
      <c r="FK370" s="663"/>
      <c r="FL370" s="663"/>
      <c r="FM370" s="663"/>
      <c r="FN370" s="663"/>
      <c r="FO370" s="663"/>
      <c r="FP370" s="663"/>
      <c r="FQ370" s="663"/>
      <c r="FR370" s="663"/>
      <c r="FS370" s="663"/>
      <c r="FT370" s="663"/>
      <c r="FU370" s="663"/>
      <c r="FV370" s="663"/>
      <c r="FW370" s="663"/>
      <c r="FX370" s="663"/>
      <c r="FY370" s="663"/>
      <c r="FZ370" s="663"/>
      <c r="GA370" s="663"/>
      <c r="GB370" s="663"/>
      <c r="GC370" s="663"/>
      <c r="GD370" s="663"/>
      <c r="GE370" s="663"/>
      <c r="GF370" s="663"/>
      <c r="GG370" s="663"/>
    </row>
    <row r="371" spans="1:189">
      <c r="A371" s="670"/>
      <c r="B371" s="670"/>
      <c r="C371" s="670"/>
      <c r="D371" s="670"/>
      <c r="E371" s="670"/>
      <c r="F371" s="670"/>
      <c r="G371" s="673"/>
      <c r="H371" s="627"/>
      <c r="I371" s="627"/>
      <c r="J371" s="672"/>
      <c r="K371" s="663"/>
      <c r="L371" s="663"/>
      <c r="M371" s="663"/>
      <c r="N371" s="663"/>
      <c r="O371" s="663"/>
      <c r="P371" s="663"/>
      <c r="Q371" s="663"/>
      <c r="R371" s="663"/>
      <c r="S371" s="663"/>
      <c r="T371" s="663"/>
      <c r="U371" s="663"/>
      <c r="V371" s="663"/>
      <c r="W371" s="663"/>
      <c r="X371" s="663"/>
      <c r="Y371" s="663"/>
      <c r="Z371" s="663"/>
      <c r="AA371" s="663"/>
      <c r="AB371" s="663"/>
      <c r="AC371" s="663"/>
      <c r="AD371" s="663"/>
      <c r="AE371" s="663"/>
      <c r="AF371" s="663"/>
      <c r="AG371" s="663"/>
      <c r="AH371" s="663"/>
      <c r="AI371" s="663"/>
      <c r="AJ371" s="663"/>
      <c r="AK371" s="663"/>
      <c r="AL371" s="663"/>
      <c r="AM371" s="663"/>
      <c r="AN371" s="663"/>
      <c r="AO371" s="663"/>
      <c r="AP371" s="663"/>
      <c r="AQ371" s="663"/>
      <c r="AR371" s="663"/>
      <c r="AS371" s="663"/>
      <c r="AT371" s="663"/>
      <c r="AU371" s="663"/>
      <c r="AV371" s="663"/>
      <c r="AW371" s="663"/>
      <c r="AX371" s="663"/>
      <c r="AY371" s="663"/>
      <c r="AZ371" s="663"/>
      <c r="BA371" s="663"/>
      <c r="BB371" s="663"/>
      <c r="BC371" s="663"/>
      <c r="BD371" s="663"/>
      <c r="BE371" s="663"/>
      <c r="BF371" s="663"/>
      <c r="BG371" s="663"/>
      <c r="BH371" s="663"/>
      <c r="BI371" s="663"/>
      <c r="BJ371" s="663"/>
      <c r="BK371" s="663"/>
      <c r="BL371" s="663"/>
      <c r="BM371" s="663"/>
      <c r="BN371" s="663"/>
      <c r="BO371" s="663"/>
      <c r="BP371" s="663"/>
      <c r="BQ371" s="663"/>
      <c r="BR371" s="663"/>
      <c r="BS371" s="663"/>
      <c r="BT371" s="663"/>
      <c r="BU371" s="663"/>
      <c r="BV371" s="663"/>
      <c r="BW371" s="663"/>
      <c r="BX371" s="663"/>
      <c r="BY371" s="663"/>
      <c r="BZ371" s="663"/>
      <c r="CA371" s="663"/>
      <c r="CB371" s="663"/>
      <c r="CC371" s="663"/>
      <c r="CD371" s="663"/>
      <c r="CE371" s="663"/>
      <c r="CF371" s="663"/>
      <c r="CG371" s="663"/>
      <c r="CH371" s="663"/>
      <c r="CI371" s="663"/>
      <c r="CJ371" s="663"/>
      <c r="CK371" s="663"/>
      <c r="CL371" s="663"/>
      <c r="CM371" s="663"/>
      <c r="CN371" s="663"/>
      <c r="CO371" s="663"/>
      <c r="CP371" s="663"/>
      <c r="CQ371" s="663"/>
      <c r="CR371" s="663"/>
      <c r="CS371" s="663"/>
      <c r="CT371" s="663"/>
      <c r="CU371" s="663"/>
      <c r="CV371" s="663"/>
      <c r="CW371" s="663"/>
      <c r="CX371" s="663"/>
      <c r="CY371" s="663"/>
      <c r="CZ371" s="663"/>
      <c r="DA371" s="663"/>
      <c r="DB371" s="663"/>
      <c r="DC371" s="663"/>
      <c r="DD371" s="663"/>
      <c r="DE371" s="663"/>
      <c r="DF371" s="663"/>
      <c r="DG371" s="663"/>
      <c r="DH371" s="663"/>
      <c r="DI371" s="663"/>
      <c r="DJ371" s="663"/>
      <c r="DK371" s="663"/>
      <c r="DL371" s="663"/>
      <c r="DM371" s="663"/>
      <c r="DN371" s="663"/>
      <c r="DO371" s="663"/>
      <c r="DP371" s="663"/>
      <c r="DQ371" s="663"/>
      <c r="DR371" s="663"/>
      <c r="DS371" s="663"/>
      <c r="DT371" s="663"/>
      <c r="DU371" s="663"/>
      <c r="DV371" s="663"/>
      <c r="DW371" s="663"/>
      <c r="DX371" s="663"/>
      <c r="DY371" s="663"/>
      <c r="DZ371" s="663"/>
      <c r="EA371" s="663"/>
      <c r="EB371" s="663"/>
      <c r="EC371" s="663"/>
      <c r="ED371" s="663"/>
      <c r="EE371" s="663"/>
      <c r="EF371" s="663"/>
      <c r="EG371" s="663"/>
      <c r="EH371" s="663"/>
      <c r="EI371" s="663"/>
      <c r="EJ371" s="663"/>
      <c r="EK371" s="663"/>
      <c r="EL371" s="663"/>
      <c r="EM371" s="663"/>
      <c r="EN371" s="663"/>
      <c r="EO371" s="663"/>
      <c r="EP371" s="663"/>
      <c r="EQ371" s="663"/>
      <c r="ER371" s="663"/>
      <c r="ES371" s="663"/>
      <c r="ET371" s="663"/>
      <c r="EU371" s="663"/>
      <c r="EV371" s="663"/>
      <c r="EW371" s="663"/>
      <c r="EX371" s="663"/>
      <c r="EY371" s="663"/>
      <c r="EZ371" s="663"/>
      <c r="FA371" s="663"/>
      <c r="FB371" s="663"/>
      <c r="FC371" s="663"/>
      <c r="FD371" s="663"/>
      <c r="FE371" s="663"/>
      <c r="FF371" s="663"/>
      <c r="FG371" s="663"/>
      <c r="FH371" s="663"/>
      <c r="FI371" s="663"/>
      <c r="FJ371" s="663"/>
      <c r="FK371" s="663"/>
      <c r="FL371" s="663"/>
      <c r="FM371" s="663"/>
      <c r="FN371" s="663"/>
      <c r="FO371" s="663"/>
      <c r="FP371" s="663"/>
      <c r="FQ371" s="663"/>
      <c r="FR371" s="663"/>
      <c r="FS371" s="663"/>
      <c r="FT371" s="663"/>
      <c r="FU371" s="663"/>
      <c r="FV371" s="663"/>
      <c r="FW371" s="663"/>
      <c r="FX371" s="663"/>
      <c r="FY371" s="663"/>
      <c r="FZ371" s="663"/>
      <c r="GA371" s="663"/>
      <c r="GB371" s="663"/>
      <c r="GC371" s="663"/>
      <c r="GD371" s="663"/>
      <c r="GE371" s="663"/>
      <c r="GF371" s="663"/>
      <c r="GG371" s="663"/>
    </row>
    <row r="372" spans="1:189">
      <c r="A372" s="670"/>
      <c r="B372" s="670"/>
      <c r="C372" s="670"/>
      <c r="D372" s="670"/>
      <c r="E372" s="670"/>
      <c r="F372" s="670"/>
      <c r="G372" s="673"/>
      <c r="H372" s="627"/>
      <c r="I372" s="627"/>
      <c r="J372" s="672"/>
      <c r="K372" s="663"/>
      <c r="L372" s="663"/>
      <c r="M372" s="663"/>
      <c r="N372" s="663"/>
      <c r="O372" s="663"/>
      <c r="P372" s="663"/>
      <c r="Q372" s="663"/>
      <c r="R372" s="663"/>
      <c r="S372" s="663"/>
      <c r="T372" s="663"/>
      <c r="U372" s="663"/>
      <c r="V372" s="663"/>
      <c r="W372" s="663"/>
      <c r="X372" s="663"/>
      <c r="Y372" s="663"/>
      <c r="Z372" s="663"/>
      <c r="AA372" s="663"/>
      <c r="AB372" s="663"/>
      <c r="AC372" s="663"/>
      <c r="AD372" s="663"/>
      <c r="AE372" s="663"/>
      <c r="AF372" s="663"/>
      <c r="AG372" s="663"/>
      <c r="AH372" s="663"/>
      <c r="AI372" s="663"/>
      <c r="AJ372" s="663"/>
      <c r="AK372" s="663"/>
      <c r="AL372" s="663"/>
      <c r="AM372" s="663"/>
      <c r="AN372" s="663"/>
      <c r="AO372" s="663"/>
      <c r="AP372" s="663"/>
      <c r="AQ372" s="663"/>
      <c r="AR372" s="663"/>
      <c r="AS372" s="663"/>
      <c r="AT372" s="663"/>
      <c r="AU372" s="663"/>
      <c r="AV372" s="663"/>
      <c r="AW372" s="663"/>
      <c r="AX372" s="663"/>
      <c r="AY372" s="663"/>
      <c r="AZ372" s="663"/>
      <c r="BA372" s="663"/>
      <c r="BB372" s="663"/>
      <c r="BC372" s="663"/>
      <c r="BD372" s="663"/>
      <c r="BE372" s="663"/>
      <c r="BF372" s="663"/>
      <c r="BG372" s="663"/>
      <c r="BH372" s="663"/>
      <c r="BI372" s="663"/>
      <c r="BJ372" s="663"/>
      <c r="BK372" s="663"/>
      <c r="BL372" s="663"/>
      <c r="BM372" s="663"/>
      <c r="BN372" s="663"/>
      <c r="BO372" s="663"/>
      <c r="BP372" s="663"/>
      <c r="BQ372" s="663"/>
      <c r="BR372" s="663"/>
      <c r="BS372" s="663"/>
      <c r="BT372" s="663"/>
      <c r="BU372" s="663"/>
      <c r="BV372" s="663"/>
      <c r="BW372" s="663"/>
      <c r="BX372" s="663"/>
      <c r="BY372" s="663"/>
      <c r="BZ372" s="663"/>
      <c r="CA372" s="663"/>
      <c r="CB372" s="663"/>
      <c r="CC372" s="663"/>
      <c r="CD372" s="663"/>
      <c r="CE372" s="663"/>
      <c r="CF372" s="663"/>
      <c r="CG372" s="663"/>
      <c r="CH372" s="663"/>
      <c r="CI372" s="663"/>
      <c r="CJ372" s="663"/>
      <c r="CK372" s="663"/>
      <c r="CL372" s="663"/>
      <c r="CM372" s="663"/>
      <c r="CN372" s="663"/>
      <c r="CO372" s="663"/>
      <c r="CP372" s="663"/>
      <c r="CQ372" s="663"/>
      <c r="CR372" s="663"/>
      <c r="CS372" s="663"/>
      <c r="CT372" s="663"/>
      <c r="CU372" s="663"/>
      <c r="CV372" s="663"/>
      <c r="CW372" s="663"/>
      <c r="CX372" s="663"/>
      <c r="CY372" s="663"/>
      <c r="CZ372" s="663"/>
      <c r="DA372" s="663"/>
      <c r="DB372" s="663"/>
      <c r="DC372" s="663"/>
      <c r="DD372" s="663"/>
      <c r="DE372" s="663"/>
      <c r="DF372" s="663"/>
      <c r="DG372" s="663"/>
      <c r="DH372" s="663"/>
      <c r="DI372" s="663"/>
      <c r="DJ372" s="663"/>
      <c r="DK372" s="663"/>
      <c r="DL372" s="663"/>
      <c r="DM372" s="663"/>
      <c r="DN372" s="663"/>
      <c r="DO372" s="663"/>
      <c r="DP372" s="663"/>
      <c r="DQ372" s="663"/>
      <c r="DR372" s="663"/>
      <c r="DS372" s="663"/>
      <c r="DT372" s="663"/>
      <c r="DU372" s="663"/>
      <c r="DV372" s="663"/>
      <c r="DW372" s="663"/>
      <c r="DX372" s="663"/>
      <c r="DY372" s="663"/>
      <c r="DZ372" s="663"/>
      <c r="EA372" s="663"/>
      <c r="EB372" s="663"/>
      <c r="EC372" s="663"/>
      <c r="ED372" s="663"/>
      <c r="EE372" s="663"/>
      <c r="EF372" s="663"/>
      <c r="EG372" s="663"/>
      <c r="EH372" s="663"/>
      <c r="EI372" s="663"/>
      <c r="EJ372" s="663"/>
      <c r="EK372" s="663"/>
      <c r="EL372" s="663"/>
      <c r="EM372" s="663"/>
      <c r="EN372" s="663"/>
      <c r="EO372" s="663"/>
      <c r="EP372" s="663"/>
      <c r="EQ372" s="663"/>
      <c r="ER372" s="663"/>
      <c r="ES372" s="663"/>
      <c r="ET372" s="663"/>
      <c r="EU372" s="663"/>
      <c r="EV372" s="663"/>
      <c r="EW372" s="663"/>
      <c r="EX372" s="663"/>
      <c r="EY372" s="663"/>
      <c r="EZ372" s="663"/>
      <c r="FA372" s="663"/>
      <c r="FB372" s="663"/>
      <c r="FC372" s="663"/>
      <c r="FD372" s="663"/>
      <c r="FE372" s="663"/>
      <c r="FF372" s="663"/>
      <c r="FG372" s="663"/>
      <c r="FH372" s="663"/>
      <c r="FI372" s="663"/>
      <c r="FJ372" s="663"/>
      <c r="FK372" s="663"/>
      <c r="FL372" s="663"/>
      <c r="FM372" s="663"/>
      <c r="FN372" s="663"/>
      <c r="FO372" s="663"/>
      <c r="FP372" s="663"/>
      <c r="FQ372" s="663"/>
      <c r="FR372" s="663"/>
      <c r="FS372" s="663"/>
      <c r="FT372" s="663"/>
      <c r="FU372" s="663"/>
      <c r="FV372" s="663"/>
      <c r="FW372" s="663"/>
      <c r="FX372" s="663"/>
      <c r="FY372" s="663"/>
      <c r="FZ372" s="663"/>
      <c r="GA372" s="663"/>
      <c r="GB372" s="663"/>
      <c r="GC372" s="663"/>
      <c r="GD372" s="663"/>
      <c r="GE372" s="663"/>
      <c r="GF372" s="663"/>
      <c r="GG372" s="663"/>
    </row>
    <row r="373" spans="1:189">
      <c r="A373" s="670"/>
      <c r="B373" s="670"/>
      <c r="C373" s="670"/>
      <c r="D373" s="670"/>
      <c r="E373" s="670"/>
      <c r="F373" s="670"/>
      <c r="G373" s="673"/>
      <c r="H373" s="627"/>
      <c r="I373" s="627"/>
      <c r="J373" s="672"/>
      <c r="K373" s="663"/>
      <c r="L373" s="663"/>
      <c r="M373" s="663"/>
      <c r="N373" s="663"/>
      <c r="O373" s="663"/>
      <c r="P373" s="663"/>
      <c r="Q373" s="663"/>
      <c r="R373" s="663"/>
      <c r="S373" s="663"/>
      <c r="T373" s="663"/>
      <c r="U373" s="663"/>
      <c r="V373" s="663"/>
      <c r="W373" s="663"/>
      <c r="X373" s="663"/>
      <c r="Y373" s="663"/>
      <c r="Z373" s="663"/>
      <c r="AA373" s="663"/>
      <c r="AB373" s="663"/>
      <c r="AC373" s="663"/>
      <c r="AD373" s="663"/>
      <c r="AE373" s="663"/>
      <c r="AF373" s="663"/>
      <c r="AG373" s="663"/>
      <c r="AH373" s="663"/>
      <c r="AI373" s="663"/>
      <c r="AJ373" s="663"/>
      <c r="AK373" s="663"/>
      <c r="AL373" s="663"/>
      <c r="AM373" s="663"/>
      <c r="AN373" s="663"/>
      <c r="AO373" s="663"/>
      <c r="AP373" s="663"/>
      <c r="AQ373" s="663"/>
      <c r="AR373" s="663"/>
      <c r="AS373" s="663"/>
      <c r="AT373" s="663"/>
      <c r="AU373" s="663"/>
      <c r="AV373" s="663"/>
      <c r="AW373" s="663"/>
      <c r="AX373" s="663"/>
      <c r="AY373" s="663"/>
      <c r="AZ373" s="663"/>
      <c r="BA373" s="663"/>
      <c r="BB373" s="663"/>
      <c r="BC373" s="663"/>
      <c r="BD373" s="663"/>
      <c r="BE373" s="663"/>
      <c r="BF373" s="663"/>
      <c r="BG373" s="663"/>
      <c r="BH373" s="663"/>
      <c r="BI373" s="663"/>
      <c r="BJ373" s="663"/>
      <c r="BK373" s="663"/>
      <c r="BL373" s="663"/>
      <c r="BM373" s="663"/>
      <c r="BN373" s="663"/>
      <c r="BO373" s="663"/>
      <c r="BP373" s="663"/>
      <c r="BQ373" s="663"/>
      <c r="BR373" s="663"/>
      <c r="BS373" s="663"/>
      <c r="BT373" s="663"/>
      <c r="BU373" s="663"/>
      <c r="BV373" s="663"/>
      <c r="BW373" s="663"/>
      <c r="BX373" s="663"/>
      <c r="BY373" s="663"/>
      <c r="BZ373" s="663"/>
      <c r="CA373" s="663"/>
      <c r="CB373" s="663"/>
      <c r="CC373" s="663"/>
      <c r="CD373" s="663"/>
      <c r="CE373" s="663"/>
      <c r="CF373" s="663"/>
      <c r="CG373" s="663"/>
      <c r="CH373" s="663"/>
      <c r="CI373" s="663"/>
      <c r="CJ373" s="663"/>
      <c r="CK373" s="663"/>
      <c r="CL373" s="663"/>
      <c r="CM373" s="663"/>
      <c r="CN373" s="663"/>
      <c r="CO373" s="663"/>
      <c r="CP373" s="663"/>
      <c r="CQ373" s="663"/>
      <c r="CR373" s="663"/>
      <c r="CS373" s="663"/>
      <c r="CT373" s="663"/>
      <c r="CU373" s="663"/>
      <c r="CV373" s="663"/>
      <c r="CW373" s="663"/>
      <c r="CX373" s="663"/>
      <c r="CY373" s="663"/>
      <c r="CZ373" s="663"/>
      <c r="DA373" s="663"/>
      <c r="DB373" s="663"/>
      <c r="DC373" s="663"/>
      <c r="DD373" s="663"/>
      <c r="DE373" s="663"/>
      <c r="DF373" s="663"/>
      <c r="DG373" s="663"/>
      <c r="DH373" s="663"/>
      <c r="DI373" s="663"/>
      <c r="DJ373" s="663"/>
      <c r="DK373" s="663"/>
      <c r="DL373" s="663"/>
      <c r="DM373" s="663"/>
      <c r="DN373" s="663"/>
      <c r="DO373" s="663"/>
      <c r="DP373" s="663"/>
      <c r="DQ373" s="663"/>
      <c r="DR373" s="663"/>
      <c r="DS373" s="663"/>
      <c r="DT373" s="663"/>
      <c r="DU373" s="663"/>
      <c r="DV373" s="663"/>
      <c r="DW373" s="663"/>
      <c r="DX373" s="663"/>
      <c r="DY373" s="663"/>
      <c r="DZ373" s="663"/>
      <c r="EA373" s="663"/>
      <c r="EB373" s="663"/>
      <c r="EC373" s="663"/>
      <c r="ED373" s="663"/>
      <c r="EE373" s="663"/>
      <c r="EF373" s="663"/>
      <c r="EG373" s="663"/>
      <c r="EH373" s="663"/>
      <c r="EI373" s="663"/>
      <c r="EJ373" s="663"/>
      <c r="EK373" s="663"/>
      <c r="EL373" s="663"/>
      <c r="EM373" s="663"/>
      <c r="EN373" s="663"/>
      <c r="EO373" s="663"/>
      <c r="EP373" s="663"/>
      <c r="EQ373" s="663"/>
      <c r="ER373" s="663"/>
      <c r="ES373" s="663"/>
      <c r="ET373" s="663"/>
      <c r="EU373" s="663"/>
      <c r="EV373" s="663"/>
      <c r="EW373" s="663"/>
      <c r="EX373" s="663"/>
      <c r="EY373" s="663"/>
      <c r="EZ373" s="663"/>
      <c r="FA373" s="663"/>
      <c r="FB373" s="663"/>
      <c r="FC373" s="663"/>
      <c r="FD373" s="663"/>
      <c r="FE373" s="663"/>
      <c r="FF373" s="663"/>
      <c r="FG373" s="663"/>
      <c r="FH373" s="663"/>
      <c r="FI373" s="663"/>
      <c r="FJ373" s="663"/>
      <c r="FK373" s="663"/>
      <c r="FL373" s="663"/>
      <c r="FM373" s="663"/>
      <c r="FN373" s="663"/>
      <c r="FO373" s="663"/>
      <c r="FP373" s="663"/>
      <c r="FQ373" s="663"/>
      <c r="FR373" s="663"/>
      <c r="FS373" s="663"/>
      <c r="FT373" s="663"/>
      <c r="FU373" s="663"/>
      <c r="FV373" s="663"/>
      <c r="FW373" s="663"/>
      <c r="FX373" s="663"/>
      <c r="FY373" s="663"/>
      <c r="FZ373" s="663"/>
      <c r="GA373" s="663"/>
      <c r="GB373" s="663"/>
      <c r="GC373" s="663"/>
      <c r="GD373" s="663"/>
      <c r="GE373" s="663"/>
      <c r="GF373" s="663"/>
      <c r="GG373" s="663"/>
    </row>
    <row r="374" spans="1:189">
      <c r="A374" s="670"/>
      <c r="B374" s="670"/>
      <c r="C374" s="670"/>
      <c r="D374" s="670"/>
      <c r="E374" s="670"/>
      <c r="F374" s="670"/>
      <c r="G374" s="673"/>
      <c r="H374" s="627"/>
      <c r="I374" s="627"/>
      <c r="J374" s="672"/>
      <c r="K374" s="663"/>
      <c r="L374" s="663"/>
      <c r="M374" s="663"/>
      <c r="N374" s="663"/>
      <c r="O374" s="663"/>
      <c r="P374" s="663"/>
      <c r="Q374" s="663"/>
      <c r="R374" s="663"/>
      <c r="S374" s="663"/>
      <c r="T374" s="663"/>
      <c r="U374" s="663"/>
      <c r="V374" s="663"/>
      <c r="W374" s="663"/>
      <c r="X374" s="663"/>
      <c r="Y374" s="663"/>
      <c r="Z374" s="663"/>
      <c r="AA374" s="663"/>
      <c r="AB374" s="663"/>
      <c r="AC374" s="663"/>
      <c r="AD374" s="663"/>
      <c r="AE374" s="663"/>
      <c r="AF374" s="663"/>
      <c r="AG374" s="663"/>
      <c r="AH374" s="663"/>
      <c r="AI374" s="663"/>
      <c r="AJ374" s="663"/>
      <c r="AK374" s="663"/>
      <c r="AL374" s="663"/>
      <c r="AM374" s="663"/>
      <c r="AN374" s="663"/>
      <c r="AO374" s="663"/>
      <c r="AP374" s="663"/>
      <c r="AQ374" s="663"/>
      <c r="AR374" s="663"/>
      <c r="AS374" s="663"/>
      <c r="AT374" s="663"/>
      <c r="AU374" s="663"/>
      <c r="AV374" s="663"/>
      <c r="AW374" s="663"/>
      <c r="AX374" s="663"/>
      <c r="AY374" s="663"/>
      <c r="AZ374" s="663"/>
      <c r="BA374" s="663"/>
      <c r="BB374" s="663"/>
      <c r="BC374" s="663"/>
      <c r="BD374" s="663"/>
      <c r="BE374" s="663"/>
      <c r="BF374" s="663"/>
      <c r="BG374" s="663"/>
      <c r="BH374" s="663"/>
      <c r="BI374" s="663"/>
      <c r="BJ374" s="663"/>
      <c r="BK374" s="663"/>
      <c r="BL374" s="663"/>
      <c r="BM374" s="663"/>
      <c r="BN374" s="663"/>
      <c r="BO374" s="663"/>
      <c r="BP374" s="663"/>
      <c r="BQ374" s="663"/>
      <c r="BR374" s="663"/>
      <c r="BS374" s="663"/>
      <c r="BT374" s="663"/>
      <c r="BU374" s="663"/>
      <c r="BV374" s="663"/>
      <c r="BW374" s="663"/>
      <c r="BX374" s="663"/>
      <c r="BY374" s="663"/>
      <c r="BZ374" s="663"/>
      <c r="CA374" s="663"/>
      <c r="CB374" s="663"/>
      <c r="CC374" s="663"/>
      <c r="CD374" s="663"/>
      <c r="CE374" s="663"/>
      <c r="CF374" s="663"/>
      <c r="CG374" s="663"/>
      <c r="CH374" s="663"/>
      <c r="CI374" s="663"/>
      <c r="CJ374" s="663"/>
      <c r="CK374" s="663"/>
      <c r="CL374" s="663"/>
      <c r="CM374" s="663"/>
      <c r="CN374" s="663"/>
      <c r="CO374" s="663"/>
      <c r="CP374" s="663"/>
      <c r="CQ374" s="663"/>
      <c r="CR374" s="663"/>
      <c r="CS374" s="663"/>
      <c r="CT374" s="663"/>
      <c r="CU374" s="663"/>
      <c r="CV374" s="663"/>
      <c r="CW374" s="663"/>
      <c r="CX374" s="663"/>
      <c r="CY374" s="663"/>
      <c r="CZ374" s="663"/>
      <c r="DA374" s="663"/>
      <c r="DB374" s="663"/>
      <c r="DC374" s="663"/>
      <c r="DD374" s="663"/>
      <c r="DE374" s="663"/>
      <c r="DF374" s="663"/>
      <c r="DG374" s="663"/>
      <c r="DH374" s="663"/>
      <c r="DI374" s="663"/>
      <c r="DJ374" s="663"/>
      <c r="DK374" s="663"/>
      <c r="DL374" s="663"/>
      <c r="DM374" s="663"/>
      <c r="DN374" s="663"/>
      <c r="DO374" s="663"/>
      <c r="DP374" s="663"/>
      <c r="DQ374" s="663"/>
      <c r="DR374" s="663"/>
      <c r="DS374" s="663"/>
      <c r="DT374" s="663"/>
      <c r="DU374" s="663"/>
      <c r="DV374" s="663"/>
      <c r="DW374" s="663"/>
      <c r="DX374" s="663"/>
      <c r="DY374" s="663"/>
      <c r="DZ374" s="663"/>
      <c r="EA374" s="663"/>
      <c r="EB374" s="663"/>
      <c r="EC374" s="663"/>
      <c r="ED374" s="663"/>
      <c r="EE374" s="663"/>
      <c r="EF374" s="663"/>
      <c r="EG374" s="663"/>
      <c r="EH374" s="663"/>
      <c r="EI374" s="663"/>
      <c r="EJ374" s="663"/>
      <c r="EK374" s="663"/>
      <c r="EL374" s="663"/>
      <c r="EM374" s="663"/>
      <c r="EN374" s="663"/>
      <c r="EO374" s="663"/>
      <c r="EP374" s="663"/>
      <c r="EQ374" s="663"/>
      <c r="ER374" s="663"/>
      <c r="ES374" s="663"/>
      <c r="ET374" s="663"/>
      <c r="EU374" s="663"/>
      <c r="EV374" s="663"/>
      <c r="EW374" s="663"/>
      <c r="EX374" s="663"/>
      <c r="EY374" s="663"/>
      <c r="EZ374" s="663"/>
      <c r="FA374" s="663"/>
      <c r="FB374" s="663"/>
      <c r="FC374" s="663"/>
      <c r="FD374" s="663"/>
      <c r="FE374" s="663"/>
      <c r="FF374" s="663"/>
      <c r="FG374" s="663"/>
      <c r="FH374" s="663"/>
      <c r="FI374" s="663"/>
      <c r="FJ374" s="663"/>
      <c r="FK374" s="663"/>
      <c r="FL374" s="663"/>
      <c r="FM374" s="663"/>
      <c r="FN374" s="663"/>
      <c r="FO374" s="663"/>
      <c r="FP374" s="663"/>
      <c r="FQ374" s="663"/>
      <c r="FR374" s="663"/>
      <c r="FS374" s="663"/>
      <c r="FT374" s="663"/>
      <c r="FU374" s="663"/>
      <c r="FV374" s="663"/>
      <c r="FW374" s="663"/>
      <c r="FX374" s="663"/>
      <c r="FY374" s="663"/>
      <c r="FZ374" s="663"/>
      <c r="GA374" s="663"/>
      <c r="GB374" s="663"/>
      <c r="GC374" s="663"/>
      <c r="GD374" s="663"/>
      <c r="GE374" s="663"/>
      <c r="GF374" s="663"/>
      <c r="GG374" s="663"/>
    </row>
    <row r="375" spans="1:189">
      <c r="A375" s="670"/>
      <c r="B375" s="670"/>
      <c r="C375" s="670"/>
      <c r="D375" s="670"/>
      <c r="E375" s="670"/>
      <c r="F375" s="670"/>
      <c r="G375" s="673"/>
      <c r="H375" s="627"/>
      <c r="I375" s="627"/>
      <c r="J375" s="672"/>
      <c r="K375" s="663"/>
      <c r="L375" s="663"/>
      <c r="M375" s="663"/>
      <c r="N375" s="663"/>
      <c r="O375" s="663"/>
      <c r="P375" s="663"/>
      <c r="Q375" s="663"/>
      <c r="R375" s="663"/>
      <c r="S375" s="663"/>
      <c r="T375" s="663"/>
      <c r="U375" s="663"/>
      <c r="V375" s="663"/>
      <c r="W375" s="663"/>
      <c r="X375" s="663"/>
      <c r="Y375" s="663"/>
      <c r="Z375" s="663"/>
      <c r="AA375" s="663"/>
      <c r="AB375" s="663"/>
      <c r="AC375" s="663"/>
      <c r="AD375" s="663"/>
      <c r="AE375" s="663"/>
      <c r="AF375" s="663"/>
      <c r="AG375" s="663"/>
      <c r="AH375" s="663"/>
      <c r="AI375" s="663"/>
      <c r="AJ375" s="663"/>
      <c r="AK375" s="663"/>
      <c r="AL375" s="663"/>
      <c r="AM375" s="663"/>
      <c r="AN375" s="663"/>
      <c r="AO375" s="663"/>
      <c r="AP375" s="663"/>
      <c r="AQ375" s="663"/>
      <c r="AR375" s="663"/>
      <c r="AS375" s="663"/>
      <c r="AT375" s="663"/>
      <c r="AU375" s="663"/>
      <c r="AV375" s="663"/>
      <c r="AW375" s="663"/>
      <c r="AX375" s="663"/>
      <c r="AY375" s="663"/>
      <c r="AZ375" s="663"/>
      <c r="BA375" s="663"/>
      <c r="BB375" s="663"/>
      <c r="BC375" s="663"/>
      <c r="BD375" s="663"/>
      <c r="BE375" s="663"/>
      <c r="BF375" s="663"/>
      <c r="BG375" s="663"/>
      <c r="BH375" s="663"/>
      <c r="BI375" s="663"/>
      <c r="BJ375" s="663"/>
      <c r="BK375" s="663"/>
      <c r="BL375" s="663"/>
      <c r="BM375" s="663"/>
      <c r="BN375" s="663"/>
      <c r="BO375" s="663"/>
      <c r="BP375" s="663"/>
      <c r="BQ375" s="663"/>
      <c r="BR375" s="663"/>
      <c r="BS375" s="663"/>
      <c r="BT375" s="663"/>
      <c r="BU375" s="663"/>
      <c r="BV375" s="663"/>
      <c r="BW375" s="663"/>
      <c r="BX375" s="663"/>
      <c r="BY375" s="663"/>
      <c r="BZ375" s="663"/>
      <c r="CA375" s="663"/>
      <c r="CB375" s="663"/>
      <c r="CC375" s="663"/>
      <c r="CD375" s="663"/>
      <c r="CE375" s="663"/>
      <c r="CF375" s="663"/>
      <c r="CG375" s="663"/>
      <c r="CH375" s="663"/>
      <c r="CI375" s="663"/>
      <c r="CJ375" s="663"/>
      <c r="CK375" s="663"/>
      <c r="CL375" s="663"/>
      <c r="CM375" s="663"/>
      <c r="CN375" s="663"/>
      <c r="CO375" s="663"/>
      <c r="CP375" s="663"/>
      <c r="CQ375" s="663"/>
      <c r="CR375" s="663"/>
      <c r="CS375" s="663"/>
      <c r="CT375" s="663"/>
      <c r="CU375" s="663"/>
      <c r="CV375" s="663"/>
      <c r="CW375" s="663"/>
      <c r="CX375" s="663"/>
      <c r="CY375" s="663"/>
      <c r="CZ375" s="663"/>
      <c r="DA375" s="663"/>
      <c r="DB375" s="663"/>
      <c r="DC375" s="663"/>
      <c r="DD375" s="663"/>
      <c r="DE375" s="663"/>
      <c r="DF375" s="663"/>
      <c r="DG375" s="663"/>
      <c r="DH375" s="663"/>
      <c r="DI375" s="663"/>
      <c r="DJ375" s="663"/>
      <c r="DK375" s="663"/>
      <c r="DL375" s="663"/>
      <c r="DM375" s="663"/>
      <c r="DN375" s="663"/>
      <c r="DO375" s="663"/>
      <c r="DP375" s="663"/>
      <c r="DQ375" s="663"/>
      <c r="DR375" s="663"/>
      <c r="DS375" s="663"/>
      <c r="DT375" s="663"/>
      <c r="DU375" s="663"/>
      <c r="DV375" s="663"/>
      <c r="DW375" s="663"/>
      <c r="DX375" s="663"/>
      <c r="DY375" s="663"/>
      <c r="DZ375" s="663"/>
      <c r="EA375" s="663"/>
      <c r="EB375" s="663"/>
      <c r="EC375" s="663"/>
      <c r="ED375" s="663"/>
      <c r="EE375" s="663"/>
      <c r="EF375" s="663"/>
      <c r="EG375" s="663"/>
      <c r="EH375" s="663"/>
      <c r="EI375" s="663"/>
      <c r="EJ375" s="663"/>
      <c r="EK375" s="663"/>
      <c r="EL375" s="663"/>
      <c r="EM375" s="663"/>
      <c r="EN375" s="663"/>
      <c r="EO375" s="663"/>
      <c r="EP375" s="663"/>
      <c r="EQ375" s="663"/>
      <c r="ER375" s="663"/>
      <c r="ES375" s="663"/>
      <c r="ET375" s="663"/>
      <c r="EU375" s="663"/>
      <c r="EV375" s="663"/>
      <c r="EW375" s="663"/>
      <c r="EX375" s="663"/>
      <c r="EY375" s="663"/>
      <c r="EZ375" s="663"/>
      <c r="FA375" s="663"/>
      <c r="FB375" s="663"/>
      <c r="FC375" s="663"/>
      <c r="FD375" s="663"/>
      <c r="FE375" s="663"/>
      <c r="FF375" s="663"/>
      <c r="FG375" s="663"/>
      <c r="FH375" s="663"/>
      <c r="FI375" s="663"/>
      <c r="FJ375" s="663"/>
      <c r="FK375" s="663"/>
      <c r="FL375" s="663"/>
      <c r="FM375" s="663"/>
      <c r="FN375" s="663"/>
      <c r="FO375" s="663"/>
      <c r="FP375" s="663"/>
      <c r="FQ375" s="663"/>
      <c r="FR375" s="663"/>
      <c r="FS375" s="663"/>
      <c r="FT375" s="663"/>
      <c r="FU375" s="663"/>
      <c r="FV375" s="663"/>
      <c r="FW375" s="663"/>
      <c r="FX375" s="663"/>
      <c r="FY375" s="663"/>
      <c r="FZ375" s="663"/>
      <c r="GA375" s="663"/>
      <c r="GB375" s="663"/>
      <c r="GC375" s="663"/>
      <c r="GD375" s="663"/>
      <c r="GE375" s="663"/>
      <c r="GF375" s="663"/>
      <c r="GG375" s="663"/>
    </row>
    <row r="376" spans="1:189">
      <c r="A376" s="670"/>
      <c r="B376" s="670"/>
      <c r="C376" s="670"/>
      <c r="D376" s="670"/>
      <c r="E376" s="670"/>
      <c r="F376" s="670"/>
      <c r="G376" s="673"/>
      <c r="H376" s="627"/>
      <c r="I376" s="627"/>
      <c r="J376" s="672"/>
      <c r="K376" s="663"/>
      <c r="L376" s="663"/>
      <c r="M376" s="663"/>
      <c r="N376" s="663"/>
      <c r="O376" s="663"/>
      <c r="P376" s="663"/>
      <c r="Q376" s="663"/>
      <c r="R376" s="663"/>
      <c r="S376" s="663"/>
      <c r="T376" s="663"/>
      <c r="U376" s="663"/>
      <c r="V376" s="663"/>
      <c r="W376" s="663"/>
      <c r="X376" s="663"/>
      <c r="Y376" s="663"/>
      <c r="Z376" s="663"/>
      <c r="AA376" s="663"/>
      <c r="AB376" s="663"/>
      <c r="AC376" s="663"/>
      <c r="AD376" s="663"/>
      <c r="AE376" s="663"/>
      <c r="AF376" s="663"/>
      <c r="AG376" s="663"/>
      <c r="AH376" s="663"/>
      <c r="AI376" s="663"/>
      <c r="AJ376" s="663"/>
      <c r="AK376" s="663"/>
      <c r="AL376" s="663"/>
      <c r="AM376" s="663"/>
      <c r="AN376" s="663"/>
      <c r="AO376" s="663"/>
      <c r="AP376" s="663"/>
      <c r="AQ376" s="663"/>
      <c r="AR376" s="663"/>
      <c r="AS376" s="663"/>
      <c r="AT376" s="663"/>
      <c r="AU376" s="663"/>
      <c r="AV376" s="663"/>
      <c r="AW376" s="663"/>
      <c r="AX376" s="663"/>
      <c r="AY376" s="663"/>
      <c r="AZ376" s="663"/>
      <c r="BA376" s="663"/>
      <c r="BB376" s="663"/>
      <c r="BC376" s="663"/>
      <c r="BD376" s="663"/>
      <c r="BE376" s="663"/>
      <c r="BF376" s="663"/>
      <c r="BG376" s="663"/>
      <c r="BH376" s="663"/>
      <c r="BI376" s="663"/>
      <c r="BJ376" s="663"/>
      <c r="BK376" s="663"/>
      <c r="BL376" s="663"/>
      <c r="BM376" s="663"/>
      <c r="BN376" s="663"/>
      <c r="BO376" s="663"/>
      <c r="BP376" s="663"/>
      <c r="BQ376" s="663"/>
      <c r="BR376" s="663"/>
      <c r="BS376" s="663"/>
      <c r="BT376" s="663"/>
      <c r="BU376" s="663"/>
      <c r="BV376" s="663"/>
      <c r="BW376" s="663"/>
      <c r="BX376" s="663"/>
      <c r="BY376" s="663"/>
      <c r="BZ376" s="663"/>
      <c r="CA376" s="663"/>
      <c r="CB376" s="663"/>
      <c r="CC376" s="663"/>
      <c r="CD376" s="663"/>
      <c r="CE376" s="663"/>
      <c r="CF376" s="663"/>
      <c r="CG376" s="663"/>
      <c r="CH376" s="663"/>
      <c r="CI376" s="663"/>
      <c r="CJ376" s="663"/>
      <c r="CK376" s="663"/>
      <c r="CL376" s="663"/>
      <c r="CM376" s="663"/>
      <c r="CN376" s="663"/>
      <c r="CO376" s="663"/>
      <c r="CP376" s="663"/>
      <c r="CQ376" s="663"/>
      <c r="CR376" s="663"/>
      <c r="CS376" s="663"/>
      <c r="CT376" s="663"/>
      <c r="CU376" s="663"/>
      <c r="CV376" s="663"/>
      <c r="CW376" s="663"/>
      <c r="CX376" s="663"/>
      <c r="CY376" s="663"/>
      <c r="CZ376" s="663"/>
      <c r="DA376" s="663"/>
      <c r="DB376" s="663"/>
      <c r="DC376" s="663"/>
      <c r="DD376" s="663"/>
      <c r="DE376" s="663"/>
      <c r="DF376" s="663"/>
      <c r="DG376" s="663"/>
      <c r="DH376" s="663"/>
      <c r="DI376" s="663"/>
      <c r="DJ376" s="663"/>
      <c r="DK376" s="663"/>
      <c r="DL376" s="663"/>
      <c r="DM376" s="663"/>
      <c r="DN376" s="663"/>
      <c r="DO376" s="663"/>
      <c r="DP376" s="663"/>
      <c r="DQ376" s="663"/>
      <c r="DR376" s="663"/>
      <c r="DS376" s="663"/>
      <c r="DT376" s="663"/>
      <c r="DU376" s="663"/>
      <c r="DV376" s="663"/>
      <c r="DW376" s="663"/>
      <c r="DX376" s="663"/>
      <c r="DY376" s="663"/>
      <c r="DZ376" s="663"/>
      <c r="EA376" s="663"/>
      <c r="EB376" s="663"/>
      <c r="EC376" s="663"/>
      <c r="ED376" s="663"/>
      <c r="EE376" s="663"/>
      <c r="EF376" s="663"/>
      <c r="EG376" s="663"/>
      <c r="EH376" s="663"/>
      <c r="EI376" s="663"/>
      <c r="EJ376" s="663"/>
      <c r="EK376" s="663"/>
      <c r="EL376" s="663"/>
      <c r="EM376" s="663"/>
      <c r="EN376" s="663"/>
      <c r="EO376" s="663"/>
      <c r="EP376" s="663"/>
      <c r="EQ376" s="663"/>
      <c r="ER376" s="663"/>
      <c r="ES376" s="663"/>
      <c r="ET376" s="663"/>
      <c r="EU376" s="663"/>
      <c r="EV376" s="663"/>
      <c r="EW376" s="663"/>
      <c r="EX376" s="663"/>
      <c r="EY376" s="663"/>
      <c r="EZ376" s="663"/>
      <c r="FA376" s="663"/>
      <c r="FB376" s="663"/>
      <c r="FC376" s="663"/>
      <c r="FD376" s="663"/>
      <c r="FE376" s="663"/>
      <c r="FF376" s="663"/>
      <c r="FG376" s="663"/>
      <c r="FH376" s="663"/>
      <c r="FI376" s="663"/>
      <c r="FJ376" s="663"/>
      <c r="FK376" s="663"/>
      <c r="FL376" s="663"/>
      <c r="FM376" s="663"/>
      <c r="FN376" s="663"/>
      <c r="FO376" s="663"/>
      <c r="FP376" s="663"/>
      <c r="FQ376" s="663"/>
      <c r="FR376" s="663"/>
      <c r="FS376" s="663"/>
      <c r="FT376" s="663"/>
      <c r="FU376" s="663"/>
      <c r="FV376" s="663"/>
      <c r="FW376" s="663"/>
      <c r="FX376" s="663"/>
      <c r="FY376" s="663"/>
      <c r="FZ376" s="663"/>
      <c r="GA376" s="663"/>
      <c r="GB376" s="663"/>
      <c r="GC376" s="663"/>
      <c r="GD376" s="663"/>
      <c r="GE376" s="663"/>
      <c r="GF376" s="663"/>
      <c r="GG376" s="663"/>
    </row>
    <row r="377" spans="1:189">
      <c r="A377" s="670"/>
      <c r="B377" s="670"/>
      <c r="C377" s="670"/>
      <c r="D377" s="670"/>
      <c r="E377" s="670"/>
      <c r="F377" s="670"/>
      <c r="G377" s="673"/>
      <c r="H377" s="627"/>
      <c r="I377" s="627"/>
      <c r="J377" s="672"/>
      <c r="K377" s="663"/>
      <c r="L377" s="663"/>
      <c r="M377" s="663"/>
      <c r="N377" s="663"/>
      <c r="O377" s="663"/>
      <c r="P377" s="663"/>
      <c r="Q377" s="663"/>
      <c r="R377" s="663"/>
      <c r="S377" s="663"/>
      <c r="T377" s="663"/>
      <c r="U377" s="663"/>
      <c r="V377" s="663"/>
      <c r="W377" s="663"/>
      <c r="X377" s="663"/>
      <c r="Y377" s="663"/>
      <c r="Z377" s="663"/>
      <c r="AA377" s="663"/>
      <c r="AB377" s="663"/>
      <c r="AC377" s="663"/>
      <c r="AD377" s="663"/>
      <c r="AE377" s="663"/>
      <c r="AF377" s="663"/>
      <c r="AG377" s="663"/>
      <c r="AH377" s="663"/>
      <c r="AI377" s="663"/>
      <c r="AJ377" s="663"/>
      <c r="AK377" s="663"/>
      <c r="AL377" s="663"/>
      <c r="AM377" s="663"/>
      <c r="AN377" s="663"/>
      <c r="AO377" s="663"/>
      <c r="AP377" s="663"/>
      <c r="AQ377" s="663"/>
      <c r="AR377" s="663"/>
      <c r="AS377" s="663"/>
      <c r="AT377" s="663"/>
      <c r="AU377" s="663"/>
      <c r="AV377" s="663"/>
      <c r="AW377" s="663"/>
      <c r="AX377" s="663"/>
      <c r="AY377" s="663"/>
      <c r="AZ377" s="663"/>
      <c r="BA377" s="663"/>
      <c r="BB377" s="663"/>
      <c r="BC377" s="663"/>
      <c r="BD377" s="663"/>
      <c r="BE377" s="663"/>
      <c r="BF377" s="663"/>
      <c r="BG377" s="663"/>
      <c r="BH377" s="663"/>
      <c r="BI377" s="663"/>
      <c r="BJ377" s="663"/>
      <c r="BK377" s="663"/>
      <c r="BL377" s="663"/>
      <c r="BM377" s="663"/>
      <c r="BN377" s="663"/>
      <c r="BO377" s="663"/>
      <c r="BP377" s="663"/>
      <c r="BQ377" s="663"/>
      <c r="BR377" s="663"/>
      <c r="BS377" s="663"/>
      <c r="BT377" s="663"/>
      <c r="BU377" s="663"/>
      <c r="BV377" s="663"/>
      <c r="BW377" s="663"/>
      <c r="BX377" s="663"/>
      <c r="BY377" s="663"/>
      <c r="BZ377" s="663"/>
      <c r="CA377" s="663"/>
      <c r="CB377" s="663"/>
      <c r="CC377" s="663"/>
      <c r="CD377" s="663"/>
      <c r="CE377" s="663"/>
      <c r="CF377" s="663"/>
      <c r="CG377" s="663"/>
      <c r="CH377" s="663"/>
      <c r="CI377" s="663"/>
      <c r="CJ377" s="663"/>
      <c r="CK377" s="663"/>
      <c r="CL377" s="663"/>
      <c r="CM377" s="663"/>
      <c r="CN377" s="663"/>
      <c r="CO377" s="663"/>
      <c r="CP377" s="663"/>
      <c r="CQ377" s="663"/>
      <c r="CR377" s="663"/>
      <c r="CS377" s="663"/>
      <c r="CT377" s="663"/>
      <c r="CU377" s="663"/>
      <c r="CV377" s="663"/>
      <c r="CW377" s="663"/>
      <c r="CX377" s="663"/>
      <c r="CY377" s="663"/>
      <c r="CZ377" s="663"/>
      <c r="DA377" s="663"/>
      <c r="DB377" s="663"/>
      <c r="DC377" s="663"/>
      <c r="DD377" s="663"/>
      <c r="DE377" s="663"/>
      <c r="DF377" s="663"/>
      <c r="DG377" s="663"/>
      <c r="DH377" s="663"/>
      <c r="DI377" s="663"/>
      <c r="DJ377" s="663"/>
      <c r="DK377" s="663"/>
      <c r="DL377" s="663"/>
      <c r="DM377" s="663"/>
      <c r="DN377" s="663"/>
      <c r="DO377" s="663"/>
      <c r="DP377" s="663"/>
      <c r="DQ377" s="663"/>
      <c r="DR377" s="663"/>
      <c r="DS377" s="663"/>
      <c r="DT377" s="663"/>
      <c r="DU377" s="663"/>
      <c r="DV377" s="663"/>
      <c r="DW377" s="663"/>
      <c r="DX377" s="663"/>
      <c r="DY377" s="663"/>
      <c r="DZ377" s="663"/>
      <c r="EA377" s="663"/>
      <c r="EB377" s="663"/>
      <c r="EC377" s="663"/>
      <c r="ED377" s="663"/>
      <c r="EE377" s="663"/>
      <c r="EF377" s="663"/>
      <c r="EG377" s="663"/>
      <c r="EH377" s="663"/>
      <c r="EI377" s="663"/>
      <c r="EJ377" s="663"/>
      <c r="EK377" s="663"/>
      <c r="EL377" s="663"/>
      <c r="EM377" s="663"/>
      <c r="EN377" s="663"/>
      <c r="EO377" s="663"/>
      <c r="EP377" s="663"/>
      <c r="EQ377" s="663"/>
      <c r="ER377" s="663"/>
      <c r="ES377" s="663"/>
      <c r="ET377" s="663"/>
      <c r="EU377" s="663"/>
      <c r="EV377" s="663"/>
      <c r="EW377" s="663"/>
      <c r="EX377" s="663"/>
      <c r="EY377" s="663"/>
      <c r="EZ377" s="663"/>
      <c r="FA377" s="663"/>
      <c r="FB377" s="663"/>
      <c r="FC377" s="663"/>
      <c r="FD377" s="663"/>
      <c r="FE377" s="663"/>
      <c r="FF377" s="663"/>
      <c r="FG377" s="663"/>
      <c r="FH377" s="663"/>
      <c r="FI377" s="663"/>
      <c r="FJ377" s="663"/>
      <c r="FK377" s="663"/>
      <c r="FL377" s="663"/>
      <c r="FM377" s="663"/>
      <c r="FN377" s="663"/>
      <c r="FO377" s="663"/>
      <c r="FP377" s="663"/>
      <c r="FQ377" s="663"/>
      <c r="FR377" s="663"/>
      <c r="FS377" s="663"/>
      <c r="FT377" s="663"/>
      <c r="FU377" s="663"/>
      <c r="FV377" s="663"/>
      <c r="FW377" s="663"/>
      <c r="FX377" s="663"/>
      <c r="FY377" s="663"/>
      <c r="FZ377" s="663"/>
      <c r="GA377" s="663"/>
      <c r="GB377" s="663"/>
      <c r="GC377" s="663"/>
      <c r="GD377" s="663"/>
      <c r="GE377" s="663"/>
      <c r="GF377" s="663"/>
      <c r="GG377" s="663"/>
    </row>
    <row r="378" spans="1:189">
      <c r="A378" s="670"/>
      <c r="B378" s="670"/>
      <c r="C378" s="670"/>
      <c r="D378" s="670"/>
      <c r="E378" s="670"/>
      <c r="F378" s="670"/>
      <c r="G378" s="673"/>
      <c r="H378" s="627"/>
      <c r="I378" s="627"/>
      <c r="J378" s="672"/>
      <c r="K378" s="663"/>
      <c r="L378" s="663"/>
      <c r="M378" s="663"/>
      <c r="N378" s="663"/>
      <c r="O378" s="663"/>
      <c r="P378" s="663"/>
      <c r="Q378" s="663"/>
      <c r="R378" s="663"/>
      <c r="S378" s="663"/>
      <c r="T378" s="663"/>
      <c r="U378" s="663"/>
      <c r="V378" s="663"/>
      <c r="W378" s="663"/>
      <c r="X378" s="663"/>
      <c r="Y378" s="663"/>
      <c r="Z378" s="663"/>
      <c r="AA378" s="663"/>
      <c r="AB378" s="663"/>
      <c r="AC378" s="663"/>
      <c r="AD378" s="663"/>
      <c r="AE378" s="663"/>
      <c r="AF378" s="663"/>
      <c r="AG378" s="663"/>
      <c r="AH378" s="663"/>
      <c r="AI378" s="663"/>
      <c r="AJ378" s="663"/>
      <c r="AK378" s="663"/>
      <c r="AL378" s="663"/>
      <c r="AM378" s="663"/>
      <c r="AN378" s="663"/>
      <c r="AO378" s="663"/>
      <c r="AP378" s="663"/>
      <c r="AQ378" s="663"/>
      <c r="AR378" s="663"/>
      <c r="AS378" s="663"/>
      <c r="AT378" s="663"/>
      <c r="AU378" s="663"/>
      <c r="AV378" s="663"/>
      <c r="AW378" s="663"/>
      <c r="AX378" s="663"/>
      <c r="AY378" s="663"/>
      <c r="AZ378" s="663"/>
      <c r="BA378" s="663"/>
      <c r="BB378" s="663"/>
      <c r="BC378" s="663"/>
      <c r="BD378" s="663"/>
      <c r="BE378" s="663"/>
      <c r="BF378" s="663"/>
      <c r="BG378" s="663"/>
      <c r="BH378" s="663"/>
      <c r="BI378" s="663"/>
      <c r="BJ378" s="663"/>
      <c r="BK378" s="663"/>
      <c r="BL378" s="663"/>
      <c r="BM378" s="663"/>
      <c r="BN378" s="663"/>
      <c r="BO378" s="663"/>
      <c r="BP378" s="663"/>
      <c r="BQ378" s="663"/>
      <c r="BR378" s="663"/>
      <c r="BS378" s="663"/>
      <c r="BT378" s="663"/>
      <c r="BU378" s="663"/>
      <c r="BV378" s="663"/>
      <c r="BW378" s="663"/>
      <c r="BX378" s="663"/>
      <c r="BY378" s="663"/>
      <c r="BZ378" s="663"/>
      <c r="CA378" s="663"/>
      <c r="CB378" s="663"/>
      <c r="CC378" s="663"/>
      <c r="CD378" s="663"/>
      <c r="CE378" s="663"/>
      <c r="CF378" s="663"/>
      <c r="CG378" s="663"/>
      <c r="CH378" s="663"/>
      <c r="CI378" s="663"/>
      <c r="CJ378" s="663"/>
      <c r="CK378" s="663"/>
      <c r="CL378" s="663"/>
      <c r="CM378" s="663"/>
      <c r="CN378" s="663"/>
      <c r="CO378" s="663"/>
      <c r="CP378" s="663"/>
      <c r="CQ378" s="663"/>
      <c r="CR378" s="663"/>
      <c r="CS378" s="663"/>
      <c r="CT378" s="663"/>
      <c r="CU378" s="663"/>
      <c r="CV378" s="663"/>
      <c r="CW378" s="663"/>
      <c r="CX378" s="663"/>
      <c r="CY378" s="663"/>
      <c r="CZ378" s="663"/>
      <c r="DA378" s="663"/>
      <c r="DB378" s="663"/>
      <c r="DC378" s="663"/>
      <c r="DD378" s="663"/>
      <c r="DE378" s="663"/>
      <c r="DF378" s="663"/>
      <c r="DG378" s="663"/>
      <c r="DH378" s="663"/>
      <c r="DI378" s="663"/>
      <c r="DJ378" s="663"/>
      <c r="DK378" s="663"/>
      <c r="DL378" s="663"/>
      <c r="DM378" s="663"/>
      <c r="DN378" s="663"/>
      <c r="DO378" s="663"/>
      <c r="DP378" s="663"/>
      <c r="DQ378" s="663"/>
      <c r="DR378" s="663"/>
      <c r="DS378" s="663"/>
      <c r="DT378" s="663"/>
      <c r="DU378" s="663"/>
      <c r="DV378" s="663"/>
      <c r="DW378" s="663"/>
      <c r="DX378" s="663"/>
      <c r="DY378" s="663"/>
      <c r="DZ378" s="663"/>
      <c r="EA378" s="663"/>
      <c r="EB378" s="663"/>
      <c r="EC378" s="663"/>
      <c r="ED378" s="663"/>
      <c r="EE378" s="663"/>
      <c r="EF378" s="663"/>
      <c r="EG378" s="663"/>
      <c r="EH378" s="663"/>
      <c r="EI378" s="663"/>
      <c r="EJ378" s="663"/>
      <c r="EK378" s="663"/>
      <c r="EL378" s="663"/>
      <c r="EM378" s="663"/>
      <c r="EN378" s="663"/>
      <c r="EO378" s="663"/>
      <c r="EP378" s="663"/>
      <c r="EQ378" s="663"/>
      <c r="ER378" s="663"/>
      <c r="ES378" s="663"/>
      <c r="ET378" s="663"/>
      <c r="EU378" s="663"/>
      <c r="EV378" s="663"/>
      <c r="EW378" s="663"/>
      <c r="EX378" s="663"/>
      <c r="EY378" s="663"/>
      <c r="EZ378" s="663"/>
      <c r="FA378" s="663"/>
      <c r="FB378" s="663"/>
      <c r="FC378" s="663"/>
      <c r="FD378" s="663"/>
      <c r="FE378" s="663"/>
      <c r="FF378" s="663"/>
      <c r="FG378" s="663"/>
      <c r="FH378" s="663"/>
      <c r="FI378" s="663"/>
      <c r="FJ378" s="663"/>
      <c r="FK378" s="663"/>
      <c r="FL378" s="663"/>
      <c r="FM378" s="663"/>
      <c r="FN378" s="663"/>
      <c r="FO378" s="663"/>
      <c r="FP378" s="663"/>
      <c r="FQ378" s="663"/>
      <c r="FR378" s="663"/>
      <c r="FS378" s="663"/>
      <c r="FT378" s="663"/>
      <c r="FU378" s="663"/>
      <c r="FV378" s="663"/>
      <c r="FW378" s="663"/>
      <c r="FX378" s="663"/>
      <c r="FY378" s="663"/>
      <c r="FZ378" s="663"/>
      <c r="GA378" s="663"/>
      <c r="GB378" s="663"/>
      <c r="GC378" s="663"/>
      <c r="GD378" s="663"/>
      <c r="GE378" s="663"/>
      <c r="GF378" s="663"/>
      <c r="GG378" s="663"/>
    </row>
    <row r="379" spans="1:189">
      <c r="A379" s="670"/>
      <c r="B379" s="670"/>
      <c r="C379" s="670"/>
      <c r="D379" s="670"/>
      <c r="E379" s="670"/>
      <c r="F379" s="670"/>
      <c r="G379" s="673"/>
      <c r="H379" s="627"/>
      <c r="I379" s="627"/>
      <c r="J379" s="672"/>
      <c r="K379" s="663"/>
      <c r="L379" s="663"/>
      <c r="M379" s="663"/>
      <c r="N379" s="663"/>
      <c r="O379" s="663"/>
      <c r="P379" s="663"/>
      <c r="Q379" s="663"/>
      <c r="R379" s="663"/>
      <c r="S379" s="663"/>
      <c r="T379" s="663"/>
      <c r="U379" s="663"/>
      <c r="V379" s="663"/>
      <c r="W379" s="663"/>
      <c r="X379" s="663"/>
      <c r="Y379" s="663"/>
      <c r="Z379" s="663"/>
      <c r="AA379" s="663"/>
      <c r="AB379" s="663"/>
      <c r="AC379" s="663"/>
      <c r="AD379" s="663"/>
      <c r="AE379" s="663"/>
      <c r="AF379" s="663"/>
      <c r="AG379" s="663"/>
      <c r="AH379" s="663"/>
      <c r="AI379" s="663"/>
      <c r="AJ379" s="663"/>
      <c r="AK379" s="663"/>
      <c r="AL379" s="663"/>
      <c r="AM379" s="663"/>
      <c r="AN379" s="663"/>
      <c r="AO379" s="663"/>
      <c r="AP379" s="663"/>
      <c r="AQ379" s="663"/>
      <c r="AR379" s="663"/>
      <c r="AS379" s="663"/>
      <c r="AT379" s="663"/>
      <c r="AU379" s="663"/>
      <c r="AV379" s="663"/>
      <c r="AW379" s="663"/>
      <c r="AX379" s="663"/>
      <c r="AY379" s="663"/>
      <c r="AZ379" s="663"/>
      <c r="BA379" s="663"/>
      <c r="BB379" s="663"/>
      <c r="BC379" s="663"/>
      <c r="BD379" s="663"/>
      <c r="BE379" s="663"/>
      <c r="BF379" s="663"/>
      <c r="BG379" s="663"/>
      <c r="BH379" s="663"/>
      <c r="BI379" s="663"/>
      <c r="BJ379" s="663"/>
      <c r="BK379" s="663"/>
      <c r="BL379" s="663"/>
      <c r="BM379" s="663"/>
      <c r="BN379" s="663"/>
      <c r="BO379" s="663"/>
      <c r="BP379" s="663"/>
      <c r="BQ379" s="663"/>
      <c r="BR379" s="663"/>
      <c r="BS379" s="663"/>
      <c r="BT379" s="663"/>
      <c r="BU379" s="663"/>
      <c r="BV379" s="663"/>
      <c r="BW379" s="663"/>
      <c r="BX379" s="663"/>
      <c r="BY379" s="663"/>
      <c r="BZ379" s="663"/>
      <c r="CA379" s="663"/>
      <c r="CB379" s="663"/>
      <c r="CC379" s="663"/>
      <c r="CD379" s="663"/>
      <c r="CE379" s="663"/>
      <c r="CF379" s="663"/>
      <c r="CG379" s="663"/>
      <c r="CH379" s="663"/>
      <c r="CI379" s="663"/>
      <c r="CJ379" s="663"/>
      <c r="CK379" s="663"/>
      <c r="CL379" s="663"/>
      <c r="CM379" s="663"/>
      <c r="CN379" s="663"/>
      <c r="CO379" s="663"/>
      <c r="CP379" s="663"/>
      <c r="CQ379" s="663"/>
      <c r="CR379" s="663"/>
      <c r="CS379" s="663"/>
      <c r="CT379" s="663"/>
      <c r="CU379" s="663"/>
      <c r="CV379" s="663"/>
      <c r="CW379" s="663"/>
      <c r="CX379" s="663"/>
      <c r="CY379" s="663"/>
      <c r="CZ379" s="663"/>
      <c r="DA379" s="663"/>
      <c r="DB379" s="663"/>
      <c r="DC379" s="663"/>
      <c r="DD379" s="663"/>
      <c r="DE379" s="663"/>
      <c r="DF379" s="663"/>
      <c r="DG379" s="663"/>
      <c r="DH379" s="663"/>
      <c r="DI379" s="663"/>
      <c r="DJ379" s="663"/>
      <c r="DK379" s="663"/>
      <c r="DL379" s="663"/>
      <c r="DM379" s="663"/>
      <c r="DN379" s="663"/>
      <c r="DO379" s="663"/>
      <c r="DP379" s="663"/>
      <c r="DQ379" s="663"/>
      <c r="DR379" s="663"/>
      <c r="DS379" s="663"/>
      <c r="DT379" s="663"/>
      <c r="DU379" s="663"/>
      <c r="DV379" s="663"/>
      <c r="DW379" s="663"/>
      <c r="DX379" s="663"/>
      <c r="DY379" s="663"/>
      <c r="DZ379" s="663"/>
      <c r="EA379" s="663"/>
      <c r="EB379" s="663"/>
      <c r="EC379" s="663"/>
      <c r="ED379" s="663"/>
      <c r="EE379" s="663"/>
      <c r="EF379" s="663"/>
      <c r="EG379" s="663"/>
      <c r="EH379" s="663"/>
      <c r="EI379" s="663"/>
      <c r="EJ379" s="663"/>
      <c r="EK379" s="663"/>
      <c r="EL379" s="663"/>
      <c r="EM379" s="663"/>
      <c r="EN379" s="663"/>
      <c r="EO379" s="663"/>
      <c r="EP379" s="663"/>
      <c r="EQ379" s="663"/>
      <c r="ER379" s="663"/>
      <c r="ES379" s="663"/>
      <c r="ET379" s="663"/>
      <c r="EU379" s="663"/>
      <c r="EV379" s="663"/>
      <c r="EW379" s="663"/>
      <c r="EX379" s="663"/>
      <c r="EY379" s="663"/>
      <c r="EZ379" s="663"/>
      <c r="FA379" s="663"/>
      <c r="FB379" s="663"/>
      <c r="FC379" s="663"/>
      <c r="FD379" s="663"/>
      <c r="FE379" s="663"/>
      <c r="FF379" s="663"/>
      <c r="FG379" s="663"/>
      <c r="FH379" s="663"/>
      <c r="FI379" s="663"/>
      <c r="FJ379" s="663"/>
      <c r="FK379" s="663"/>
      <c r="FL379" s="663"/>
      <c r="FM379" s="663"/>
      <c r="FN379" s="663"/>
      <c r="FO379" s="663"/>
      <c r="FP379" s="663"/>
      <c r="FQ379" s="663"/>
      <c r="FR379" s="663"/>
      <c r="FS379" s="663"/>
      <c r="FT379" s="663"/>
      <c r="FU379" s="663"/>
      <c r="FV379" s="663"/>
      <c r="FW379" s="663"/>
      <c r="FX379" s="663"/>
      <c r="FY379" s="663"/>
      <c r="FZ379" s="663"/>
      <c r="GA379" s="663"/>
      <c r="GB379" s="663"/>
      <c r="GC379" s="663"/>
      <c r="GD379" s="663"/>
      <c r="GE379" s="663"/>
      <c r="GF379" s="663"/>
      <c r="GG379" s="663"/>
    </row>
    <row r="380" spans="1:189">
      <c r="A380" s="670"/>
      <c r="B380" s="670"/>
      <c r="C380" s="670"/>
      <c r="D380" s="670"/>
      <c r="E380" s="670"/>
      <c r="F380" s="670"/>
      <c r="G380" s="673"/>
      <c r="H380" s="627"/>
      <c r="I380" s="627"/>
      <c r="J380" s="672"/>
      <c r="K380" s="663"/>
      <c r="L380" s="663"/>
      <c r="M380" s="663"/>
      <c r="N380" s="663"/>
      <c r="O380" s="663"/>
      <c r="P380" s="663"/>
      <c r="Q380" s="663"/>
      <c r="R380" s="663"/>
      <c r="S380" s="663"/>
      <c r="T380" s="663"/>
      <c r="U380" s="663"/>
      <c r="V380" s="663"/>
      <c r="W380" s="663"/>
      <c r="X380" s="663"/>
      <c r="Y380" s="663"/>
      <c r="Z380" s="663"/>
      <c r="AA380" s="663"/>
      <c r="AB380" s="663"/>
      <c r="AC380" s="663"/>
      <c r="AD380" s="663"/>
      <c r="AE380" s="663"/>
      <c r="AF380" s="663"/>
      <c r="AG380" s="663"/>
      <c r="AH380" s="663"/>
      <c r="AI380" s="663"/>
      <c r="AJ380" s="663"/>
      <c r="AK380" s="663"/>
      <c r="AL380" s="663"/>
      <c r="AM380" s="663"/>
      <c r="AN380" s="663"/>
      <c r="AO380" s="663"/>
      <c r="AP380" s="663"/>
      <c r="AQ380" s="663"/>
      <c r="AR380" s="663"/>
      <c r="AS380" s="663"/>
      <c r="AT380" s="663"/>
      <c r="AU380" s="663"/>
      <c r="AV380" s="663"/>
      <c r="AW380" s="663"/>
      <c r="AX380" s="663"/>
      <c r="AY380" s="663"/>
      <c r="AZ380" s="663"/>
      <c r="BA380" s="663"/>
      <c r="BB380" s="663"/>
      <c r="BC380" s="663"/>
      <c r="BD380" s="663"/>
      <c r="BE380" s="663"/>
      <c r="BF380" s="663"/>
      <c r="BG380" s="663"/>
      <c r="BH380" s="663"/>
      <c r="BI380" s="663"/>
      <c r="BJ380" s="663"/>
      <c r="BK380" s="663"/>
      <c r="BL380" s="663"/>
      <c r="BM380" s="663"/>
      <c r="BN380" s="663"/>
      <c r="BO380" s="663"/>
      <c r="BP380" s="663"/>
      <c r="BQ380" s="663"/>
      <c r="BR380" s="663"/>
      <c r="BS380" s="663"/>
      <c r="BT380" s="663"/>
      <c r="BU380" s="663"/>
      <c r="BV380" s="663"/>
      <c r="BW380" s="663"/>
      <c r="BX380" s="663"/>
      <c r="BY380" s="663"/>
      <c r="BZ380" s="663"/>
      <c r="CA380" s="663"/>
      <c r="CB380" s="663"/>
      <c r="CC380" s="663"/>
      <c r="CD380" s="663"/>
      <c r="CE380" s="663"/>
      <c r="CF380" s="663"/>
      <c r="CG380" s="663"/>
      <c r="CH380" s="663"/>
      <c r="CI380" s="663"/>
      <c r="CJ380" s="663"/>
      <c r="CK380" s="663"/>
      <c r="CL380" s="663"/>
      <c r="CM380" s="663"/>
      <c r="CN380" s="663"/>
      <c r="CO380" s="663"/>
      <c r="CP380" s="663"/>
      <c r="CQ380" s="663"/>
      <c r="CR380" s="663"/>
      <c r="CS380" s="663"/>
      <c r="CT380" s="663"/>
      <c r="CU380" s="663"/>
      <c r="CV380" s="663"/>
      <c r="CW380" s="663"/>
      <c r="CX380" s="663"/>
      <c r="CY380" s="663"/>
      <c r="CZ380" s="663"/>
      <c r="DA380" s="663"/>
      <c r="DB380" s="663"/>
      <c r="DC380" s="663"/>
      <c r="DD380" s="663"/>
      <c r="DE380" s="663"/>
      <c r="DF380" s="663"/>
      <c r="DG380" s="663"/>
      <c r="DH380" s="663"/>
      <c r="DI380" s="663"/>
      <c r="DJ380" s="663"/>
      <c r="DK380" s="663"/>
      <c r="DL380" s="663"/>
      <c r="DM380" s="663"/>
      <c r="DN380" s="663"/>
      <c r="DO380" s="663"/>
      <c r="DP380" s="663"/>
      <c r="DQ380" s="663"/>
      <c r="DR380" s="663"/>
      <c r="DS380" s="663"/>
      <c r="DT380" s="663"/>
      <c r="DU380" s="663"/>
      <c r="DV380" s="663"/>
      <c r="DW380" s="663"/>
      <c r="DX380" s="663"/>
      <c r="DY380" s="663"/>
      <c r="DZ380" s="663"/>
      <c r="EA380" s="663"/>
      <c r="EB380" s="663"/>
      <c r="EC380" s="663"/>
      <c r="ED380" s="663"/>
      <c r="EE380" s="663"/>
      <c r="EF380" s="663"/>
      <c r="EG380" s="663"/>
      <c r="EH380" s="663"/>
      <c r="EI380" s="663"/>
      <c r="EJ380" s="663"/>
      <c r="EK380" s="663"/>
      <c r="EL380" s="663"/>
      <c r="EM380" s="663"/>
      <c r="EN380" s="663"/>
      <c r="EO380" s="663"/>
      <c r="EP380" s="663"/>
      <c r="EQ380" s="663"/>
      <c r="ER380" s="663"/>
      <c r="ES380" s="663"/>
      <c r="ET380" s="663"/>
      <c r="EU380" s="663"/>
      <c r="EV380" s="663"/>
      <c r="EW380" s="663"/>
      <c r="EX380" s="663"/>
      <c r="EY380" s="663"/>
      <c r="EZ380" s="663"/>
      <c r="FA380" s="663"/>
      <c r="FB380" s="663"/>
      <c r="FC380" s="663"/>
      <c r="FD380" s="663"/>
      <c r="FE380" s="663"/>
      <c r="FF380" s="663"/>
      <c r="FG380" s="663"/>
      <c r="FH380" s="663"/>
      <c r="FI380" s="663"/>
      <c r="FJ380" s="663"/>
      <c r="FK380" s="663"/>
      <c r="FL380" s="663"/>
      <c r="FM380" s="663"/>
      <c r="FN380" s="663"/>
      <c r="FO380" s="663"/>
      <c r="FP380" s="663"/>
      <c r="FQ380" s="663"/>
      <c r="FR380" s="663"/>
      <c r="FS380" s="663"/>
      <c r="FT380" s="663"/>
      <c r="FU380" s="663"/>
      <c r="FV380" s="663"/>
      <c r="FW380" s="663"/>
      <c r="FX380" s="663"/>
      <c r="FY380" s="663"/>
      <c r="FZ380" s="663"/>
      <c r="GA380" s="663"/>
      <c r="GB380" s="663"/>
      <c r="GC380" s="663"/>
      <c r="GD380" s="663"/>
      <c r="GE380" s="663"/>
      <c r="GF380" s="663"/>
      <c r="GG380" s="663"/>
    </row>
    <row r="381" spans="1:189">
      <c r="A381" s="670"/>
      <c r="B381" s="670"/>
      <c r="C381" s="670"/>
      <c r="D381" s="670"/>
      <c r="E381" s="670"/>
      <c r="F381" s="670"/>
      <c r="G381" s="673"/>
      <c r="H381" s="627"/>
      <c r="I381" s="627"/>
      <c r="J381" s="672"/>
      <c r="K381" s="663"/>
      <c r="L381" s="663"/>
      <c r="M381" s="663"/>
      <c r="N381" s="663"/>
      <c r="O381" s="663"/>
      <c r="P381" s="663"/>
      <c r="Q381" s="663"/>
      <c r="R381" s="663"/>
      <c r="S381" s="663"/>
      <c r="T381" s="663"/>
      <c r="U381" s="663"/>
      <c r="V381" s="663"/>
      <c r="W381" s="663"/>
      <c r="X381" s="663"/>
      <c r="Y381" s="663"/>
      <c r="Z381" s="663"/>
      <c r="AA381" s="663"/>
      <c r="AB381" s="663"/>
      <c r="AC381" s="663"/>
      <c r="AD381" s="663"/>
      <c r="AE381" s="663"/>
      <c r="AF381" s="663"/>
      <c r="AG381" s="663"/>
      <c r="AH381" s="663"/>
      <c r="AI381" s="663"/>
      <c r="AJ381" s="663"/>
      <c r="AK381" s="663"/>
      <c r="AL381" s="663"/>
      <c r="AM381" s="663"/>
      <c r="AN381" s="663"/>
      <c r="AO381" s="663"/>
      <c r="AP381" s="663"/>
      <c r="AQ381" s="663"/>
      <c r="AR381" s="663"/>
      <c r="AS381" s="663"/>
      <c r="AT381" s="663"/>
      <c r="AU381" s="663"/>
      <c r="AV381" s="663"/>
      <c r="AW381" s="663"/>
      <c r="AX381" s="663"/>
      <c r="AY381" s="663"/>
      <c r="AZ381" s="663"/>
      <c r="BA381" s="663"/>
      <c r="BB381" s="663"/>
      <c r="BC381" s="663"/>
      <c r="BD381" s="663"/>
      <c r="BE381" s="663"/>
      <c r="BF381" s="663"/>
      <c r="BG381" s="663"/>
      <c r="BH381" s="663"/>
      <c r="BI381" s="663"/>
      <c r="BJ381" s="663"/>
      <c r="BK381" s="663"/>
      <c r="BL381" s="663"/>
      <c r="BM381" s="663"/>
      <c r="BN381" s="663"/>
      <c r="BO381" s="663"/>
      <c r="BP381" s="663"/>
      <c r="BQ381" s="663"/>
      <c r="BR381" s="663"/>
      <c r="BS381" s="663"/>
      <c r="BT381" s="663"/>
      <c r="BU381" s="663"/>
      <c r="BV381" s="663"/>
      <c r="BW381" s="663"/>
      <c r="BX381" s="663"/>
      <c r="BY381" s="663"/>
      <c r="BZ381" s="663"/>
      <c r="CA381" s="663"/>
      <c r="CB381" s="663"/>
      <c r="CC381" s="663"/>
      <c r="CD381" s="663"/>
      <c r="CE381" s="663"/>
      <c r="CF381" s="663"/>
      <c r="CG381" s="663"/>
      <c r="CH381" s="663"/>
      <c r="CI381" s="663"/>
      <c r="CJ381" s="663"/>
      <c r="CK381" s="663"/>
      <c r="CL381" s="663"/>
      <c r="CM381" s="663"/>
      <c r="CN381" s="663"/>
      <c r="CO381" s="663"/>
      <c r="CP381" s="663"/>
      <c r="CQ381" s="663"/>
      <c r="CR381" s="663"/>
      <c r="CS381" s="663"/>
      <c r="CT381" s="663"/>
      <c r="CU381" s="663"/>
      <c r="CV381" s="663"/>
      <c r="CW381" s="663"/>
      <c r="CX381" s="663"/>
      <c r="CY381" s="663"/>
      <c r="CZ381" s="663"/>
      <c r="DA381" s="663"/>
      <c r="DB381" s="663"/>
      <c r="DC381" s="663"/>
      <c r="DD381" s="663"/>
      <c r="DE381" s="663"/>
      <c r="DF381" s="663"/>
      <c r="DG381" s="663"/>
      <c r="DH381" s="663"/>
      <c r="DI381" s="663"/>
      <c r="DJ381" s="663"/>
      <c r="DK381" s="663"/>
      <c r="DL381" s="663"/>
      <c r="DM381" s="663"/>
      <c r="DN381" s="663"/>
      <c r="DO381" s="663"/>
      <c r="DP381" s="663"/>
      <c r="DQ381" s="663"/>
      <c r="DR381" s="663"/>
      <c r="DS381" s="663"/>
      <c r="DT381" s="663"/>
      <c r="DU381" s="663"/>
      <c r="DV381" s="663"/>
      <c r="DW381" s="663"/>
      <c r="DX381" s="663"/>
      <c r="DY381" s="663"/>
      <c r="DZ381" s="663"/>
      <c r="EA381" s="663"/>
      <c r="EB381" s="663"/>
      <c r="EC381" s="663"/>
      <c r="ED381" s="663"/>
      <c r="EE381" s="663"/>
      <c r="EF381" s="663"/>
      <c r="EG381" s="663"/>
      <c r="EH381" s="663"/>
      <c r="EI381" s="663"/>
      <c r="EJ381" s="663"/>
      <c r="EK381" s="663"/>
      <c r="EL381" s="663"/>
      <c r="EM381" s="663"/>
      <c r="EN381" s="663"/>
      <c r="EO381" s="663"/>
      <c r="EP381" s="663"/>
      <c r="EQ381" s="663"/>
      <c r="ER381" s="663"/>
      <c r="ES381" s="663"/>
      <c r="ET381" s="663"/>
      <c r="EU381" s="663"/>
      <c r="EV381" s="663"/>
      <c r="EW381" s="663"/>
      <c r="EX381" s="663"/>
      <c r="EY381" s="663"/>
      <c r="EZ381" s="663"/>
      <c r="FA381" s="663"/>
      <c r="FB381" s="663"/>
      <c r="FC381" s="663"/>
      <c r="FD381" s="663"/>
      <c r="FE381" s="663"/>
      <c r="FF381" s="663"/>
      <c r="FG381" s="663"/>
      <c r="FH381" s="663"/>
      <c r="FI381" s="663"/>
      <c r="FJ381" s="663"/>
      <c r="FK381" s="663"/>
      <c r="FL381" s="663"/>
      <c r="FM381" s="663"/>
      <c r="FN381" s="663"/>
      <c r="FO381" s="663"/>
      <c r="FP381" s="663"/>
      <c r="FQ381" s="663"/>
      <c r="FR381" s="663"/>
      <c r="FS381" s="663"/>
      <c r="FT381" s="663"/>
      <c r="FU381" s="663"/>
      <c r="FV381" s="663"/>
      <c r="FW381" s="663"/>
      <c r="FX381" s="663"/>
      <c r="FY381" s="663"/>
      <c r="FZ381" s="663"/>
      <c r="GA381" s="663"/>
      <c r="GB381" s="663"/>
      <c r="GC381" s="663"/>
      <c r="GD381" s="663"/>
      <c r="GE381" s="663"/>
      <c r="GF381" s="663"/>
      <c r="GG381" s="663"/>
    </row>
    <row r="382" spans="1:189">
      <c r="A382" s="670"/>
      <c r="B382" s="670"/>
      <c r="C382" s="670"/>
      <c r="D382" s="670"/>
      <c r="E382" s="670"/>
      <c r="F382" s="670"/>
      <c r="G382" s="673"/>
      <c r="H382" s="627"/>
      <c r="I382" s="627"/>
      <c r="J382" s="672"/>
      <c r="K382" s="663"/>
      <c r="L382" s="663"/>
      <c r="M382" s="663"/>
      <c r="N382" s="663"/>
      <c r="O382" s="663"/>
      <c r="P382" s="663"/>
      <c r="Q382" s="663"/>
      <c r="R382" s="663"/>
      <c r="S382" s="663"/>
      <c r="T382" s="663"/>
      <c r="U382" s="663"/>
      <c r="V382" s="663"/>
      <c r="W382" s="663"/>
      <c r="X382" s="663"/>
      <c r="Y382" s="663"/>
      <c r="Z382" s="663"/>
      <c r="AA382" s="663"/>
      <c r="AB382" s="663"/>
      <c r="AC382" s="663"/>
      <c r="AD382" s="663"/>
      <c r="AE382" s="663"/>
      <c r="AF382" s="663"/>
      <c r="AG382" s="663"/>
      <c r="AH382" s="663"/>
      <c r="AI382" s="663"/>
      <c r="AJ382" s="663"/>
      <c r="AK382" s="663"/>
      <c r="AL382" s="663"/>
      <c r="AM382" s="663"/>
      <c r="AN382" s="663"/>
      <c r="AO382" s="663"/>
      <c r="AP382" s="663"/>
      <c r="AQ382" s="663"/>
      <c r="AR382" s="663"/>
      <c r="AS382" s="663"/>
      <c r="AT382" s="663"/>
      <c r="AU382" s="663"/>
      <c r="AV382" s="663"/>
      <c r="AW382" s="663"/>
      <c r="AX382" s="663"/>
      <c r="AY382" s="663"/>
      <c r="AZ382" s="663"/>
      <c r="BA382" s="663"/>
      <c r="BB382" s="663"/>
      <c r="BC382" s="663"/>
      <c r="BD382" s="663"/>
      <c r="BE382" s="663"/>
      <c r="BF382" s="663"/>
      <c r="BG382" s="663"/>
      <c r="BH382" s="663"/>
      <c r="BI382" s="663"/>
      <c r="BJ382" s="663"/>
      <c r="BK382" s="663"/>
      <c r="BL382" s="663"/>
      <c r="BM382" s="663"/>
      <c r="BN382" s="663"/>
      <c r="BO382" s="663"/>
      <c r="BP382" s="663"/>
      <c r="BQ382" s="663"/>
      <c r="BR382" s="663"/>
      <c r="BS382" s="663"/>
      <c r="BT382" s="663"/>
      <c r="BU382" s="663"/>
      <c r="BV382" s="663"/>
      <c r="BW382" s="663"/>
      <c r="BX382" s="663"/>
      <c r="BY382" s="663"/>
      <c r="BZ382" s="663"/>
      <c r="CA382" s="663"/>
      <c r="CB382" s="663"/>
      <c r="CC382" s="663"/>
      <c r="CD382" s="663"/>
      <c r="CE382" s="663"/>
      <c r="CF382" s="663"/>
      <c r="CG382" s="663"/>
      <c r="CH382" s="663"/>
      <c r="CI382" s="663"/>
      <c r="CJ382" s="663"/>
      <c r="CK382" s="663"/>
      <c r="CL382" s="663"/>
      <c r="CM382" s="663"/>
      <c r="CN382" s="663"/>
      <c r="CO382" s="663"/>
      <c r="CP382" s="663"/>
      <c r="CQ382" s="663"/>
      <c r="CR382" s="663"/>
      <c r="CS382" s="663"/>
      <c r="CT382" s="663"/>
      <c r="CU382" s="663"/>
      <c r="CV382" s="663"/>
      <c r="CW382" s="663"/>
      <c r="CX382" s="663"/>
      <c r="CY382" s="663"/>
      <c r="CZ382" s="663"/>
      <c r="DA382" s="663"/>
      <c r="DB382" s="663"/>
      <c r="DC382" s="663"/>
      <c r="DD382" s="663"/>
      <c r="DE382" s="663"/>
      <c r="DF382" s="663"/>
      <c r="DG382" s="663"/>
      <c r="DH382" s="663"/>
      <c r="DI382" s="663"/>
      <c r="DJ382" s="663"/>
      <c r="DK382" s="663"/>
      <c r="DL382" s="663"/>
      <c r="DM382" s="663"/>
      <c r="DN382" s="663"/>
      <c r="DO382" s="663"/>
      <c r="DP382" s="663"/>
      <c r="DQ382" s="663"/>
      <c r="DR382" s="663"/>
      <c r="DS382" s="663"/>
      <c r="DT382" s="663"/>
      <c r="DU382" s="663"/>
      <c r="DV382" s="663"/>
      <c r="DW382" s="663"/>
      <c r="DX382" s="663"/>
      <c r="DY382" s="663"/>
      <c r="DZ382" s="663"/>
      <c r="EA382" s="663"/>
      <c r="EB382" s="663"/>
      <c r="EC382" s="663"/>
      <c r="ED382" s="663"/>
      <c r="EE382" s="663"/>
      <c r="EF382" s="663"/>
      <c r="EG382" s="663"/>
      <c r="EH382" s="663"/>
      <c r="EI382" s="663"/>
      <c r="EJ382" s="663"/>
      <c r="EK382" s="663"/>
      <c r="EL382" s="663"/>
      <c r="EM382" s="663"/>
      <c r="EN382" s="663"/>
      <c r="EO382" s="663"/>
      <c r="EP382" s="663"/>
      <c r="EQ382" s="663"/>
      <c r="ER382" s="663"/>
      <c r="ES382" s="663"/>
      <c r="ET382" s="663"/>
      <c r="EU382" s="663"/>
      <c r="EV382" s="663"/>
      <c r="EW382" s="663"/>
      <c r="EX382" s="663"/>
      <c r="EY382" s="663"/>
      <c r="EZ382" s="663"/>
      <c r="FA382" s="663"/>
      <c r="FB382" s="663"/>
      <c r="FC382" s="663"/>
      <c r="FD382" s="663"/>
      <c r="FE382" s="663"/>
      <c r="FF382" s="663"/>
      <c r="FG382" s="663"/>
      <c r="FH382" s="663"/>
      <c r="FI382" s="663"/>
      <c r="FJ382" s="663"/>
      <c r="FK382" s="663"/>
      <c r="FL382" s="663"/>
      <c r="FM382" s="663"/>
      <c r="FN382" s="663"/>
      <c r="FO382" s="663"/>
      <c r="FP382" s="663"/>
      <c r="FQ382" s="663"/>
      <c r="FR382" s="663"/>
      <c r="FS382" s="663"/>
      <c r="FT382" s="663"/>
      <c r="FU382" s="663"/>
      <c r="FV382" s="663"/>
      <c r="FW382" s="663"/>
      <c r="FX382" s="663"/>
      <c r="FY382" s="663"/>
      <c r="FZ382" s="663"/>
      <c r="GA382" s="663"/>
      <c r="GB382" s="663"/>
      <c r="GC382" s="663"/>
      <c r="GD382" s="663"/>
      <c r="GE382" s="663"/>
      <c r="GF382" s="663"/>
      <c r="GG382" s="663"/>
    </row>
    <row r="383" spans="1:189">
      <c r="A383" s="670"/>
      <c r="B383" s="670"/>
      <c r="C383" s="670"/>
      <c r="D383" s="670"/>
      <c r="E383" s="670"/>
      <c r="F383" s="670"/>
      <c r="G383" s="673"/>
      <c r="H383" s="627"/>
      <c r="I383" s="627"/>
      <c r="J383" s="672"/>
      <c r="K383" s="663"/>
      <c r="L383" s="663"/>
      <c r="M383" s="663"/>
      <c r="N383" s="663"/>
      <c r="O383" s="663"/>
      <c r="P383" s="663"/>
      <c r="Q383" s="663"/>
      <c r="R383" s="663"/>
      <c r="S383" s="663"/>
      <c r="T383" s="663"/>
      <c r="U383" s="663"/>
      <c r="V383" s="663"/>
      <c r="W383" s="663"/>
      <c r="X383" s="663"/>
      <c r="Y383" s="663"/>
      <c r="Z383" s="663"/>
      <c r="AA383" s="663"/>
      <c r="AB383" s="663"/>
      <c r="AC383" s="663"/>
      <c r="AD383" s="663"/>
      <c r="AE383" s="663"/>
      <c r="AF383" s="663"/>
      <c r="AG383" s="663"/>
      <c r="AH383" s="663"/>
      <c r="AI383" s="663"/>
      <c r="AJ383" s="663"/>
      <c r="AK383" s="663"/>
      <c r="AL383" s="663"/>
      <c r="AM383" s="663"/>
      <c r="AN383" s="663"/>
      <c r="AO383" s="663"/>
      <c r="AP383" s="663"/>
      <c r="AQ383" s="663"/>
      <c r="AR383" s="663"/>
      <c r="AS383" s="663"/>
      <c r="AT383" s="663"/>
      <c r="AU383" s="663"/>
      <c r="AV383" s="663"/>
      <c r="AW383" s="663"/>
      <c r="AX383" s="663"/>
      <c r="AY383" s="663"/>
      <c r="AZ383" s="663"/>
      <c r="BA383" s="663"/>
      <c r="BB383" s="663"/>
      <c r="BC383" s="663"/>
      <c r="BD383" s="663"/>
      <c r="BE383" s="663"/>
      <c r="BF383" s="663"/>
      <c r="BG383" s="663"/>
      <c r="BH383" s="663"/>
      <c r="BI383" s="663"/>
      <c r="BJ383" s="663"/>
      <c r="BK383" s="663"/>
      <c r="BL383" s="663"/>
      <c r="BM383" s="663"/>
      <c r="BN383" s="663"/>
      <c r="BO383" s="663"/>
      <c r="BP383" s="663"/>
      <c r="BQ383" s="663"/>
      <c r="BR383" s="663"/>
      <c r="BS383" s="663"/>
      <c r="BT383" s="663"/>
      <c r="BU383" s="663"/>
      <c r="BV383" s="663"/>
      <c r="BW383" s="663"/>
      <c r="BX383" s="663"/>
      <c r="BY383" s="663"/>
      <c r="BZ383" s="663"/>
      <c r="CA383" s="663"/>
      <c r="CB383" s="663"/>
      <c r="CC383" s="663"/>
      <c r="CD383" s="663"/>
      <c r="CE383" s="663"/>
      <c r="CF383" s="663"/>
      <c r="CG383" s="663"/>
      <c r="CH383" s="663"/>
      <c r="CI383" s="663"/>
      <c r="CJ383" s="663"/>
      <c r="CK383" s="663"/>
      <c r="CL383" s="663"/>
      <c r="CM383" s="663"/>
      <c r="CN383" s="663"/>
      <c r="CO383" s="663"/>
      <c r="CP383" s="663"/>
      <c r="CQ383" s="663"/>
      <c r="CR383" s="663"/>
      <c r="CS383" s="663"/>
      <c r="CT383" s="663"/>
      <c r="CU383" s="663"/>
      <c r="CV383" s="663"/>
      <c r="CW383" s="663"/>
      <c r="CX383" s="663"/>
      <c r="CY383" s="663"/>
      <c r="CZ383" s="663"/>
      <c r="DA383" s="663"/>
      <c r="DB383" s="663"/>
      <c r="DC383" s="663"/>
      <c r="DD383" s="663"/>
      <c r="DE383" s="663"/>
      <c r="DF383" s="663"/>
      <c r="DG383" s="663"/>
      <c r="DH383" s="663"/>
      <c r="DI383" s="663"/>
      <c r="DJ383" s="663"/>
      <c r="DK383" s="663"/>
      <c r="DL383" s="663"/>
      <c r="DM383" s="663"/>
      <c r="DN383" s="663"/>
      <c r="DO383" s="663"/>
      <c r="DP383" s="663"/>
      <c r="DQ383" s="663"/>
      <c r="DR383" s="663"/>
      <c r="DS383" s="663"/>
      <c r="DT383" s="663"/>
      <c r="DU383" s="663"/>
      <c r="DV383" s="663"/>
      <c r="DW383" s="663"/>
      <c r="DX383" s="663"/>
      <c r="DY383" s="663"/>
      <c r="DZ383" s="663"/>
      <c r="EA383" s="663"/>
      <c r="EB383" s="663"/>
      <c r="EC383" s="663"/>
      <c r="ED383" s="663"/>
      <c r="EE383" s="663"/>
      <c r="EF383" s="663"/>
      <c r="EG383" s="663"/>
      <c r="EH383" s="663"/>
      <c r="EI383" s="663"/>
      <c r="EJ383" s="663"/>
      <c r="EK383" s="663"/>
      <c r="EL383" s="663"/>
      <c r="EM383" s="663"/>
      <c r="EN383" s="663"/>
      <c r="EO383" s="663"/>
      <c r="EP383" s="663"/>
      <c r="EQ383" s="663"/>
      <c r="ER383" s="663"/>
      <c r="ES383" s="663"/>
      <c r="ET383" s="663"/>
      <c r="EU383" s="663"/>
      <c r="EV383" s="663"/>
      <c r="EW383" s="663"/>
      <c r="EX383" s="663"/>
      <c r="EY383" s="663"/>
      <c r="EZ383" s="663"/>
      <c r="FA383" s="663"/>
      <c r="FB383" s="663"/>
      <c r="FC383" s="663"/>
      <c r="FD383" s="663"/>
      <c r="FE383" s="663"/>
      <c r="FF383" s="663"/>
      <c r="FG383" s="663"/>
      <c r="FH383" s="663"/>
      <c r="FI383" s="663"/>
      <c r="FJ383" s="663"/>
      <c r="FK383" s="663"/>
      <c r="FL383" s="663"/>
      <c r="FM383" s="663"/>
      <c r="FN383" s="663"/>
      <c r="FO383" s="663"/>
      <c r="FP383" s="663"/>
      <c r="FQ383" s="663"/>
      <c r="FR383" s="663"/>
      <c r="FS383" s="663"/>
      <c r="FT383" s="663"/>
      <c r="FU383" s="663"/>
      <c r="FV383" s="663"/>
      <c r="FW383" s="663"/>
      <c r="FX383" s="663"/>
      <c r="FY383" s="663"/>
      <c r="FZ383" s="663"/>
      <c r="GA383" s="663"/>
      <c r="GB383" s="663"/>
      <c r="GC383" s="663"/>
      <c r="GD383" s="663"/>
      <c r="GE383" s="663"/>
      <c r="GF383" s="663"/>
      <c r="GG383" s="663"/>
    </row>
    <row r="384" spans="1:189">
      <c r="A384" s="670"/>
      <c r="B384" s="670"/>
      <c r="C384" s="670"/>
      <c r="D384" s="670"/>
      <c r="E384" s="670"/>
      <c r="F384" s="670"/>
      <c r="G384" s="673"/>
      <c r="H384" s="627"/>
      <c r="I384" s="627"/>
      <c r="J384" s="672"/>
      <c r="K384" s="663"/>
      <c r="L384" s="663"/>
      <c r="M384" s="663"/>
      <c r="N384" s="663"/>
      <c r="O384" s="663"/>
      <c r="P384" s="663"/>
      <c r="Q384" s="663"/>
      <c r="R384" s="663"/>
      <c r="S384" s="663"/>
      <c r="T384" s="663"/>
      <c r="U384" s="663"/>
      <c r="V384" s="663"/>
      <c r="W384" s="663"/>
      <c r="X384" s="663"/>
      <c r="Y384" s="663"/>
      <c r="Z384" s="663"/>
      <c r="AA384" s="663"/>
      <c r="AB384" s="663"/>
      <c r="AC384" s="663"/>
      <c r="AD384" s="663"/>
      <c r="AE384" s="663"/>
      <c r="AF384" s="663"/>
      <c r="AG384" s="663"/>
      <c r="AH384" s="663"/>
      <c r="AI384" s="663"/>
      <c r="AJ384" s="663"/>
      <c r="AK384" s="663"/>
      <c r="AL384" s="663"/>
      <c r="AM384" s="663"/>
      <c r="AN384" s="663"/>
      <c r="AO384" s="663"/>
      <c r="AP384" s="663"/>
      <c r="AQ384" s="663"/>
      <c r="AR384" s="663"/>
      <c r="AS384" s="663"/>
      <c r="AT384" s="663"/>
      <c r="AU384" s="663"/>
      <c r="AV384" s="663"/>
      <c r="AW384" s="663"/>
      <c r="AX384" s="663"/>
      <c r="AY384" s="663"/>
      <c r="AZ384" s="663"/>
      <c r="BA384" s="663"/>
      <c r="BB384" s="663"/>
      <c r="BC384" s="663"/>
      <c r="BD384" s="663"/>
      <c r="BE384" s="663"/>
      <c r="BF384" s="663"/>
      <c r="BG384" s="663"/>
      <c r="BH384" s="663"/>
      <c r="BI384" s="663"/>
      <c r="BJ384" s="663"/>
      <c r="BK384" s="663"/>
      <c r="BL384" s="663"/>
      <c r="BM384" s="663"/>
      <c r="BN384" s="663"/>
      <c r="BO384" s="663"/>
      <c r="BP384" s="663"/>
      <c r="BQ384" s="663"/>
      <c r="BR384" s="663"/>
      <c r="BS384" s="663"/>
      <c r="BT384" s="663"/>
      <c r="BU384" s="663"/>
      <c r="BV384" s="663"/>
      <c r="BW384" s="663"/>
      <c r="BX384" s="663"/>
      <c r="BY384" s="663"/>
      <c r="BZ384" s="663"/>
      <c r="CA384" s="663"/>
      <c r="CB384" s="663"/>
      <c r="CC384" s="663"/>
      <c r="CD384" s="663"/>
      <c r="CE384" s="663"/>
      <c r="CF384" s="663"/>
      <c r="CG384" s="663"/>
      <c r="CH384" s="663"/>
      <c r="CI384" s="663"/>
      <c r="CJ384" s="663"/>
      <c r="CK384" s="663"/>
      <c r="CL384" s="663"/>
      <c r="CM384" s="663"/>
      <c r="CN384" s="663"/>
      <c r="CO384" s="663"/>
      <c r="CP384" s="663"/>
      <c r="CQ384" s="663"/>
      <c r="CR384" s="663"/>
      <c r="CS384" s="663"/>
      <c r="CT384" s="663"/>
      <c r="CU384" s="663"/>
      <c r="CV384" s="663"/>
      <c r="CW384" s="663"/>
      <c r="CX384" s="663"/>
      <c r="CY384" s="663"/>
      <c r="CZ384" s="663"/>
      <c r="DA384" s="663"/>
      <c r="DB384" s="663"/>
      <c r="DC384" s="663"/>
      <c r="DD384" s="663"/>
      <c r="DE384" s="663"/>
      <c r="DF384" s="663"/>
      <c r="DG384" s="663"/>
      <c r="DH384" s="663"/>
      <c r="DI384" s="663"/>
      <c r="DJ384" s="663"/>
      <c r="DK384" s="663"/>
      <c r="DL384" s="663"/>
      <c r="DM384" s="663"/>
      <c r="DN384" s="663"/>
      <c r="DO384" s="663"/>
      <c r="DP384" s="663"/>
      <c r="DQ384" s="663"/>
      <c r="DR384" s="663"/>
      <c r="DS384" s="663"/>
      <c r="DT384" s="663"/>
      <c r="DU384" s="663"/>
      <c r="DV384" s="663"/>
      <c r="DW384" s="663"/>
      <c r="DX384" s="663"/>
      <c r="DY384" s="663"/>
      <c r="DZ384" s="663"/>
      <c r="EA384" s="663"/>
      <c r="EB384" s="663"/>
      <c r="EC384" s="663"/>
      <c r="ED384" s="663"/>
      <c r="EE384" s="663"/>
      <c r="EF384" s="663"/>
      <c r="EG384" s="663"/>
      <c r="EH384" s="663"/>
      <c r="EI384" s="663"/>
      <c r="EJ384" s="663"/>
      <c r="EK384" s="663"/>
      <c r="EL384" s="663"/>
      <c r="EM384" s="663"/>
      <c r="EN384" s="663"/>
      <c r="EO384" s="663"/>
      <c r="EP384" s="663"/>
      <c r="EQ384" s="663"/>
      <c r="ER384" s="663"/>
      <c r="ES384" s="663"/>
      <c r="ET384" s="663"/>
      <c r="EU384" s="663"/>
      <c r="EV384" s="663"/>
      <c r="EW384" s="663"/>
      <c r="EX384" s="663"/>
      <c r="EY384" s="663"/>
      <c r="EZ384" s="663"/>
      <c r="FA384" s="663"/>
      <c r="FB384" s="663"/>
      <c r="FC384" s="663"/>
      <c r="FD384" s="663"/>
      <c r="FE384" s="663"/>
      <c r="FF384" s="663"/>
      <c r="FG384" s="663"/>
      <c r="FH384" s="663"/>
      <c r="FI384" s="663"/>
      <c r="FJ384" s="663"/>
      <c r="FK384" s="663"/>
      <c r="FL384" s="663"/>
      <c r="FM384" s="663"/>
      <c r="FN384" s="663"/>
      <c r="FO384" s="663"/>
      <c r="FP384" s="663"/>
      <c r="FQ384" s="663"/>
      <c r="FR384" s="663"/>
      <c r="FS384" s="663"/>
      <c r="FT384" s="663"/>
      <c r="FU384" s="663"/>
      <c r="FV384" s="663"/>
      <c r="FW384" s="663"/>
      <c r="FX384" s="663"/>
      <c r="FY384" s="663"/>
      <c r="FZ384" s="663"/>
      <c r="GA384" s="663"/>
      <c r="GB384" s="663"/>
      <c r="GC384" s="663"/>
      <c r="GD384" s="663"/>
      <c r="GE384" s="663"/>
      <c r="GF384" s="663"/>
      <c r="GG384" s="663"/>
    </row>
    <row r="385" spans="1:189">
      <c r="A385" s="670"/>
      <c r="B385" s="670"/>
      <c r="C385" s="670"/>
      <c r="D385" s="670"/>
      <c r="E385" s="670"/>
      <c r="F385" s="670"/>
      <c r="G385" s="673"/>
      <c r="H385" s="627"/>
      <c r="I385" s="627"/>
      <c r="J385" s="672"/>
      <c r="K385" s="663"/>
      <c r="L385" s="663"/>
      <c r="M385" s="663"/>
      <c r="N385" s="663"/>
      <c r="O385" s="663"/>
      <c r="P385" s="663"/>
      <c r="Q385" s="663"/>
      <c r="R385" s="663"/>
      <c r="S385" s="663"/>
      <c r="T385" s="663"/>
      <c r="U385" s="663"/>
      <c r="V385" s="663"/>
      <c r="W385" s="663"/>
      <c r="X385" s="663"/>
      <c r="Y385" s="663"/>
      <c r="Z385" s="663"/>
      <c r="AA385" s="663"/>
      <c r="AB385" s="663"/>
      <c r="AC385" s="663"/>
      <c r="AD385" s="663"/>
      <c r="AE385" s="663"/>
      <c r="AF385" s="663"/>
      <c r="AG385" s="663"/>
      <c r="AH385" s="663"/>
      <c r="AI385" s="663"/>
      <c r="AJ385" s="663"/>
      <c r="AK385" s="663"/>
      <c r="AL385" s="663"/>
      <c r="AM385" s="663"/>
      <c r="AN385" s="663"/>
      <c r="AO385" s="663"/>
      <c r="AP385" s="663"/>
      <c r="AQ385" s="663"/>
      <c r="AR385" s="663"/>
      <c r="AS385" s="663"/>
      <c r="AT385" s="663"/>
      <c r="AU385" s="663"/>
      <c r="AV385" s="663"/>
      <c r="AW385" s="663"/>
      <c r="AX385" s="663"/>
      <c r="AY385" s="663"/>
      <c r="AZ385" s="663"/>
      <c r="BA385" s="663"/>
      <c r="BB385" s="663"/>
      <c r="BC385" s="663"/>
      <c r="BD385" s="663"/>
      <c r="BE385" s="663"/>
      <c r="BF385" s="663"/>
      <c r="BG385" s="663"/>
      <c r="BH385" s="663"/>
      <c r="BI385" s="663"/>
      <c r="BJ385" s="663"/>
      <c r="BK385" s="663"/>
      <c r="BL385" s="663"/>
      <c r="BM385" s="663"/>
      <c r="BN385" s="663"/>
      <c r="BO385" s="663"/>
      <c r="BP385" s="663"/>
      <c r="BQ385" s="663"/>
      <c r="BR385" s="663"/>
      <c r="BS385" s="663"/>
      <c r="BT385" s="663"/>
      <c r="BU385" s="663"/>
      <c r="BV385" s="663"/>
      <c r="BW385" s="663"/>
      <c r="BX385" s="663"/>
      <c r="BY385" s="663"/>
      <c r="BZ385" s="663"/>
      <c r="CA385" s="663"/>
      <c r="CB385" s="663"/>
      <c r="CC385" s="663"/>
      <c r="CD385" s="663"/>
      <c r="CE385" s="663"/>
      <c r="CF385" s="663"/>
      <c r="CG385" s="663"/>
      <c r="CH385" s="663"/>
      <c r="CI385" s="663"/>
      <c r="CJ385" s="663"/>
      <c r="CK385" s="663"/>
      <c r="CL385" s="663"/>
      <c r="CM385" s="663"/>
      <c r="CN385" s="663"/>
      <c r="CO385" s="663"/>
      <c r="CP385" s="663"/>
      <c r="CQ385" s="663"/>
      <c r="CR385" s="663"/>
      <c r="CS385" s="663"/>
      <c r="CT385" s="663"/>
      <c r="CU385" s="663"/>
      <c r="CV385" s="663"/>
      <c r="CW385" s="663"/>
      <c r="CX385" s="663"/>
      <c r="CY385" s="663"/>
      <c r="CZ385" s="663"/>
      <c r="DA385" s="663"/>
      <c r="DB385" s="663"/>
      <c r="DC385" s="663"/>
      <c r="DD385" s="663"/>
      <c r="DE385" s="663"/>
      <c r="DF385" s="663"/>
      <c r="DG385" s="663"/>
      <c r="DH385" s="663"/>
      <c r="DI385" s="663"/>
      <c r="DJ385" s="663"/>
      <c r="DK385" s="663"/>
      <c r="DL385" s="663"/>
      <c r="DM385" s="663"/>
      <c r="DN385" s="663"/>
      <c r="DO385" s="663"/>
      <c r="DP385" s="663"/>
      <c r="DQ385" s="663"/>
      <c r="DR385" s="663"/>
      <c r="DS385" s="663"/>
      <c r="DT385" s="663"/>
      <c r="DU385" s="663"/>
      <c r="DV385" s="663"/>
      <c r="DW385" s="663"/>
      <c r="DX385" s="663"/>
      <c r="DY385" s="663"/>
      <c r="DZ385" s="663"/>
      <c r="EA385" s="663"/>
      <c r="EB385" s="663"/>
      <c r="EC385" s="663"/>
      <c r="ED385" s="663"/>
      <c r="EE385" s="663"/>
      <c r="EF385" s="663"/>
      <c r="EG385" s="663"/>
      <c r="EH385" s="663"/>
      <c r="EI385" s="663"/>
      <c r="EJ385" s="663"/>
      <c r="EK385" s="663"/>
      <c r="EL385" s="663"/>
      <c r="EM385" s="663"/>
      <c r="EN385" s="663"/>
      <c r="EO385" s="663"/>
      <c r="EP385" s="663"/>
      <c r="EQ385" s="663"/>
      <c r="ER385" s="663"/>
      <c r="ES385" s="663"/>
      <c r="ET385" s="663"/>
      <c r="EU385" s="663"/>
      <c r="EV385" s="663"/>
      <c r="EW385" s="663"/>
      <c r="EX385" s="663"/>
      <c r="EY385" s="663"/>
      <c r="EZ385" s="663"/>
      <c r="FA385" s="663"/>
      <c r="FB385" s="663"/>
      <c r="FC385" s="663"/>
      <c r="FD385" s="663"/>
      <c r="FE385" s="663"/>
      <c r="FF385" s="663"/>
      <c r="FG385" s="663"/>
      <c r="FH385" s="663"/>
      <c r="FI385" s="663"/>
      <c r="FJ385" s="663"/>
      <c r="FK385" s="663"/>
      <c r="FL385" s="663"/>
      <c r="FM385" s="663"/>
      <c r="FN385" s="663"/>
      <c r="FO385" s="663"/>
      <c r="FP385" s="663"/>
      <c r="FQ385" s="663"/>
      <c r="FR385" s="663"/>
      <c r="FS385" s="663"/>
      <c r="FT385" s="663"/>
      <c r="FU385" s="663"/>
      <c r="FV385" s="663"/>
      <c r="FW385" s="663"/>
      <c r="FX385" s="663"/>
      <c r="FY385" s="663"/>
      <c r="FZ385" s="663"/>
      <c r="GA385" s="663"/>
      <c r="GB385" s="663"/>
      <c r="GC385" s="663"/>
      <c r="GD385" s="663"/>
      <c r="GE385" s="663"/>
      <c r="GF385" s="663"/>
      <c r="GG385" s="663"/>
    </row>
    <row r="386" spans="1:189">
      <c r="A386" s="670"/>
      <c r="B386" s="670"/>
      <c r="C386" s="670"/>
      <c r="D386" s="670"/>
      <c r="E386" s="670"/>
      <c r="F386" s="670"/>
      <c r="G386" s="673"/>
      <c r="H386" s="627"/>
      <c r="I386" s="627"/>
      <c r="J386" s="672"/>
      <c r="K386" s="663"/>
      <c r="L386" s="663"/>
      <c r="M386" s="663"/>
      <c r="N386" s="663"/>
      <c r="O386" s="663"/>
      <c r="P386" s="663"/>
      <c r="Q386" s="663"/>
      <c r="R386" s="663"/>
      <c r="S386" s="663"/>
      <c r="T386" s="663"/>
      <c r="U386" s="663"/>
      <c r="V386" s="663"/>
      <c r="W386" s="663"/>
      <c r="X386" s="663"/>
      <c r="Y386" s="663"/>
      <c r="Z386" s="663"/>
      <c r="AA386" s="663"/>
      <c r="AB386" s="663"/>
      <c r="AC386" s="663"/>
      <c r="AD386" s="663"/>
      <c r="AE386" s="663"/>
      <c r="AF386" s="663"/>
      <c r="AG386" s="663"/>
      <c r="AH386" s="663"/>
      <c r="AI386" s="663"/>
      <c r="AJ386" s="663"/>
      <c r="AK386" s="663"/>
      <c r="AL386" s="663"/>
      <c r="AM386" s="663"/>
      <c r="AN386" s="663"/>
      <c r="AO386" s="663"/>
      <c r="AP386" s="663"/>
      <c r="AQ386" s="663"/>
      <c r="AR386" s="663"/>
      <c r="AS386" s="663"/>
      <c r="AT386" s="663"/>
      <c r="AU386" s="663"/>
      <c r="AV386" s="663"/>
      <c r="AW386" s="663"/>
      <c r="AX386" s="663"/>
      <c r="AY386" s="663"/>
      <c r="AZ386" s="663"/>
      <c r="BA386" s="663"/>
      <c r="BB386" s="663"/>
      <c r="BC386" s="663"/>
      <c r="BD386" s="663"/>
      <c r="BE386" s="663"/>
      <c r="BF386" s="663"/>
      <c r="BG386" s="663"/>
      <c r="BH386" s="663"/>
      <c r="BI386" s="663"/>
      <c r="BJ386" s="663"/>
      <c r="BK386" s="663"/>
      <c r="BL386" s="663"/>
      <c r="BM386" s="663"/>
      <c r="BN386" s="663"/>
      <c r="BO386" s="663"/>
      <c r="BP386" s="663"/>
      <c r="BQ386" s="663"/>
      <c r="BR386" s="663"/>
      <c r="BS386" s="663"/>
      <c r="BT386" s="663"/>
      <c r="BU386" s="663"/>
      <c r="BV386" s="663"/>
      <c r="BW386" s="663"/>
      <c r="BX386" s="663"/>
      <c r="BY386" s="663"/>
      <c r="BZ386" s="663"/>
      <c r="CA386" s="663"/>
      <c r="CB386" s="663"/>
      <c r="CC386" s="663"/>
      <c r="CD386" s="663"/>
      <c r="CE386" s="663"/>
      <c r="CF386" s="663"/>
      <c r="CG386" s="663"/>
      <c r="CH386" s="663"/>
      <c r="CI386" s="663"/>
      <c r="CJ386" s="663"/>
      <c r="CK386" s="663"/>
      <c r="CL386" s="663"/>
      <c r="CM386" s="663"/>
      <c r="CN386" s="663"/>
      <c r="CO386" s="663"/>
      <c r="CP386" s="663"/>
      <c r="CQ386" s="663"/>
      <c r="CR386" s="663"/>
      <c r="CS386" s="663"/>
      <c r="CT386" s="663"/>
      <c r="CU386" s="663"/>
      <c r="CV386" s="663"/>
      <c r="CW386" s="663"/>
      <c r="CX386" s="663"/>
      <c r="CY386" s="663"/>
      <c r="CZ386" s="663"/>
      <c r="DA386" s="663"/>
      <c r="DB386" s="663"/>
      <c r="DC386" s="663"/>
      <c r="DD386" s="663"/>
      <c r="DE386" s="663"/>
      <c r="DF386" s="663"/>
      <c r="DG386" s="663"/>
      <c r="DH386" s="663"/>
      <c r="DI386" s="663"/>
      <c r="DJ386" s="663"/>
      <c r="DK386" s="663"/>
      <c r="DL386" s="663"/>
      <c r="DM386" s="663"/>
      <c r="DN386" s="663"/>
      <c r="DO386" s="663"/>
      <c r="DP386" s="663"/>
      <c r="DQ386" s="663"/>
      <c r="DR386" s="663"/>
      <c r="DS386" s="663"/>
      <c r="DT386" s="663"/>
      <c r="DU386" s="663"/>
      <c r="DV386" s="663"/>
      <c r="DW386" s="663"/>
      <c r="DX386" s="663"/>
      <c r="DY386" s="663"/>
      <c r="DZ386" s="663"/>
      <c r="EA386" s="663"/>
      <c r="EB386" s="663"/>
      <c r="EC386" s="663"/>
      <c r="ED386" s="663"/>
      <c r="EE386" s="663"/>
      <c r="EF386" s="663"/>
      <c r="EG386" s="663"/>
      <c r="EH386" s="663"/>
      <c r="EI386" s="663"/>
      <c r="EJ386" s="663"/>
      <c r="EK386" s="663"/>
      <c r="EL386" s="663"/>
      <c r="EM386" s="663"/>
      <c r="EN386" s="663"/>
      <c r="EO386" s="663"/>
      <c r="EP386" s="663"/>
      <c r="EQ386" s="663"/>
      <c r="ER386" s="663"/>
      <c r="ES386" s="663"/>
      <c r="ET386" s="663"/>
      <c r="EU386" s="663"/>
      <c r="EV386" s="663"/>
      <c r="EW386" s="663"/>
      <c r="EX386" s="663"/>
      <c r="EY386" s="663"/>
      <c r="EZ386" s="663"/>
      <c r="FA386" s="663"/>
      <c r="FB386" s="663"/>
      <c r="FC386" s="663"/>
      <c r="FD386" s="663"/>
      <c r="FE386" s="663"/>
      <c r="FF386" s="663"/>
      <c r="FG386" s="663"/>
      <c r="FH386" s="663"/>
      <c r="FI386" s="663"/>
      <c r="FJ386" s="663"/>
      <c r="FK386" s="663"/>
      <c r="FL386" s="663"/>
      <c r="FM386" s="663"/>
      <c r="FN386" s="663"/>
      <c r="FO386" s="663"/>
      <c r="FP386" s="663"/>
      <c r="FQ386" s="663"/>
      <c r="FR386" s="663"/>
      <c r="FS386" s="663"/>
      <c r="FT386" s="663"/>
      <c r="FU386" s="663"/>
      <c r="FV386" s="663"/>
      <c r="FW386" s="663"/>
      <c r="FX386" s="663"/>
      <c r="FY386" s="663"/>
      <c r="FZ386" s="663"/>
      <c r="GA386" s="663"/>
      <c r="GB386" s="663"/>
      <c r="GC386" s="663"/>
      <c r="GD386" s="663"/>
      <c r="GE386" s="663"/>
      <c r="GF386" s="663"/>
      <c r="GG386" s="663"/>
    </row>
    <row r="387" spans="1:189">
      <c r="A387" s="670"/>
      <c r="B387" s="670"/>
      <c r="C387" s="670"/>
      <c r="D387" s="670"/>
      <c r="E387" s="670"/>
      <c r="F387" s="670"/>
      <c r="G387" s="673"/>
      <c r="H387" s="627"/>
      <c r="I387" s="627"/>
      <c r="J387" s="672"/>
      <c r="K387" s="663"/>
      <c r="L387" s="663"/>
      <c r="M387" s="663"/>
      <c r="N387" s="663"/>
      <c r="O387" s="663"/>
      <c r="P387" s="663"/>
      <c r="Q387" s="663"/>
      <c r="R387" s="663"/>
      <c r="S387" s="663"/>
      <c r="T387" s="663"/>
      <c r="U387" s="663"/>
      <c r="V387" s="663"/>
      <c r="W387" s="663"/>
      <c r="X387" s="663"/>
      <c r="Y387" s="663"/>
      <c r="Z387" s="663"/>
      <c r="AA387" s="663"/>
      <c r="AB387" s="663"/>
      <c r="AC387" s="663"/>
      <c r="AD387" s="663"/>
      <c r="AE387" s="663"/>
      <c r="AF387" s="663"/>
      <c r="AG387" s="663"/>
      <c r="AH387" s="663"/>
      <c r="AI387" s="663"/>
      <c r="AJ387" s="663"/>
      <c r="AK387" s="663"/>
      <c r="AL387" s="663"/>
      <c r="AM387" s="663"/>
      <c r="AN387" s="663"/>
      <c r="AO387" s="663"/>
      <c r="AP387" s="663"/>
      <c r="AQ387" s="663"/>
      <c r="AR387" s="663"/>
      <c r="AS387" s="663"/>
      <c r="AT387" s="663"/>
      <c r="AU387" s="663"/>
      <c r="AV387" s="663"/>
      <c r="AW387" s="663"/>
      <c r="AX387" s="663"/>
      <c r="AY387" s="663"/>
      <c r="AZ387" s="663"/>
      <c r="BA387" s="663"/>
      <c r="BB387" s="663"/>
      <c r="BC387" s="663"/>
      <c r="BD387" s="663"/>
      <c r="BE387" s="663"/>
      <c r="BF387" s="663"/>
      <c r="BG387" s="663"/>
      <c r="BH387" s="663"/>
      <c r="BI387" s="663"/>
      <c r="BJ387" s="663"/>
      <c r="BK387" s="663"/>
      <c r="BL387" s="663"/>
      <c r="BM387" s="663"/>
      <c r="BN387" s="663"/>
      <c r="BO387" s="663"/>
      <c r="BP387" s="663"/>
      <c r="BQ387" s="663"/>
      <c r="BR387" s="663"/>
      <c r="BS387" s="663"/>
      <c r="BT387" s="663"/>
      <c r="BU387" s="663"/>
      <c r="BV387" s="663"/>
      <c r="BW387" s="663"/>
      <c r="BX387" s="663"/>
      <c r="BY387" s="663"/>
      <c r="BZ387" s="663"/>
      <c r="CA387" s="663"/>
      <c r="CB387" s="663"/>
      <c r="CC387" s="663"/>
      <c r="CD387" s="663"/>
      <c r="CE387" s="663"/>
      <c r="CF387" s="663"/>
      <c r="CG387" s="663"/>
      <c r="CH387" s="663"/>
      <c r="CI387" s="663"/>
      <c r="CJ387" s="663"/>
      <c r="CK387" s="663"/>
      <c r="CL387" s="663"/>
      <c r="CM387" s="663"/>
      <c r="CN387" s="663"/>
      <c r="CO387" s="663"/>
      <c r="CP387" s="663"/>
      <c r="CQ387" s="663"/>
      <c r="CR387" s="663"/>
      <c r="CS387" s="663"/>
      <c r="CT387" s="663"/>
      <c r="CU387" s="663"/>
      <c r="CV387" s="663"/>
      <c r="CW387" s="663"/>
      <c r="CX387" s="663"/>
      <c r="CY387" s="663"/>
      <c r="CZ387" s="663"/>
      <c r="DA387" s="663"/>
      <c r="DB387" s="663"/>
      <c r="DC387" s="663"/>
      <c r="DD387" s="663"/>
      <c r="DE387" s="663"/>
      <c r="DF387" s="663"/>
      <c r="DG387" s="663"/>
      <c r="DH387" s="663"/>
      <c r="DI387" s="663"/>
      <c r="DJ387" s="663"/>
      <c r="DK387" s="663"/>
      <c r="DL387" s="663"/>
      <c r="DM387" s="663"/>
      <c r="DN387" s="663"/>
      <c r="DO387" s="663"/>
      <c r="DP387" s="663"/>
      <c r="DQ387" s="663"/>
      <c r="DR387" s="663"/>
      <c r="DS387" s="663"/>
      <c r="DT387" s="663"/>
      <c r="DU387" s="663"/>
      <c r="DV387" s="663"/>
      <c r="DW387" s="663"/>
      <c r="DX387" s="663"/>
      <c r="DY387" s="663"/>
      <c r="DZ387" s="663"/>
      <c r="EA387" s="663"/>
      <c r="EB387" s="663"/>
      <c r="EC387" s="663"/>
      <c r="ED387" s="663"/>
      <c r="EE387" s="663"/>
      <c r="EF387" s="663"/>
      <c r="EG387" s="663"/>
      <c r="EH387" s="663"/>
      <c r="EI387" s="663"/>
      <c r="EJ387" s="663"/>
      <c r="EK387" s="663"/>
      <c r="EL387" s="663"/>
      <c r="EM387" s="663"/>
      <c r="EN387" s="663"/>
      <c r="EO387" s="663"/>
      <c r="EP387" s="663"/>
      <c r="EQ387" s="663"/>
      <c r="ER387" s="663"/>
      <c r="ES387" s="663"/>
      <c r="ET387" s="663"/>
      <c r="EU387" s="663"/>
      <c r="EV387" s="663"/>
      <c r="EW387" s="663"/>
      <c r="EX387" s="663"/>
      <c r="EY387" s="663"/>
      <c r="EZ387" s="663"/>
      <c r="FA387" s="663"/>
      <c r="FB387" s="663"/>
      <c r="FC387" s="663"/>
      <c r="FD387" s="663"/>
      <c r="FE387" s="663"/>
      <c r="FF387" s="663"/>
      <c r="FG387" s="663"/>
      <c r="FH387" s="663"/>
      <c r="FI387" s="663"/>
      <c r="FJ387" s="663"/>
      <c r="FK387" s="663"/>
      <c r="FL387" s="663"/>
      <c r="FM387" s="663"/>
      <c r="FN387" s="663"/>
      <c r="FO387" s="663"/>
      <c r="FP387" s="663"/>
      <c r="FQ387" s="663"/>
      <c r="FR387" s="663"/>
      <c r="FS387" s="663"/>
      <c r="FT387" s="663"/>
      <c r="FU387" s="663"/>
      <c r="FV387" s="663"/>
      <c r="FW387" s="663"/>
      <c r="FX387" s="663"/>
      <c r="FY387" s="663"/>
      <c r="FZ387" s="663"/>
      <c r="GA387" s="663"/>
      <c r="GB387" s="663"/>
      <c r="GC387" s="663"/>
      <c r="GD387" s="663"/>
      <c r="GE387" s="663"/>
      <c r="GF387" s="663"/>
      <c r="GG387" s="663"/>
    </row>
    <row r="388" spans="1:189">
      <c r="A388" s="670"/>
      <c r="B388" s="670"/>
      <c r="C388" s="670"/>
      <c r="D388" s="670"/>
      <c r="E388" s="670"/>
      <c r="F388" s="670"/>
      <c r="G388" s="673"/>
      <c r="H388" s="627"/>
      <c r="I388" s="627"/>
      <c r="J388" s="672"/>
      <c r="K388" s="663"/>
      <c r="L388" s="663"/>
      <c r="M388" s="663"/>
      <c r="N388" s="663"/>
      <c r="O388" s="663"/>
      <c r="P388" s="663"/>
      <c r="Q388" s="663"/>
      <c r="R388" s="663"/>
      <c r="S388" s="663"/>
      <c r="T388" s="663"/>
      <c r="U388" s="663"/>
      <c r="V388" s="663"/>
      <c r="W388" s="663"/>
      <c r="X388" s="663"/>
      <c r="Y388" s="663"/>
      <c r="Z388" s="663"/>
      <c r="AA388" s="663"/>
      <c r="AB388" s="663"/>
      <c r="AC388" s="663"/>
      <c r="AD388" s="663"/>
      <c r="AE388" s="663"/>
      <c r="AF388" s="663"/>
      <c r="AG388" s="663"/>
      <c r="AH388" s="663"/>
      <c r="AI388" s="663"/>
      <c r="AJ388" s="663"/>
      <c r="AK388" s="663"/>
      <c r="AL388" s="663"/>
      <c r="AM388" s="663"/>
      <c r="AN388" s="663"/>
      <c r="AO388" s="663"/>
      <c r="AP388" s="663"/>
      <c r="AQ388" s="663"/>
      <c r="AR388" s="663"/>
      <c r="AS388" s="663"/>
      <c r="AT388" s="663"/>
      <c r="AU388" s="663"/>
      <c r="AV388" s="663"/>
      <c r="AW388" s="663"/>
      <c r="AX388" s="663"/>
      <c r="AY388" s="663"/>
      <c r="AZ388" s="663"/>
      <c r="BA388" s="663"/>
      <c r="BB388" s="663"/>
      <c r="BC388" s="663"/>
      <c r="BD388" s="663"/>
      <c r="BE388" s="663"/>
      <c r="BF388" s="663"/>
      <c r="BG388" s="663"/>
      <c r="BH388" s="663"/>
      <c r="BI388" s="663"/>
      <c r="BJ388" s="663"/>
      <c r="BK388" s="663"/>
      <c r="BL388" s="663"/>
      <c r="BM388" s="663"/>
      <c r="BN388" s="663"/>
      <c r="BO388" s="663"/>
      <c r="BP388" s="663"/>
      <c r="BQ388" s="663"/>
      <c r="BR388" s="663"/>
      <c r="BS388" s="663"/>
      <c r="BT388" s="663"/>
      <c r="BU388" s="663"/>
      <c r="BV388" s="663"/>
      <c r="BW388" s="663"/>
      <c r="BX388" s="663"/>
      <c r="BY388" s="663"/>
      <c r="BZ388" s="663"/>
      <c r="CA388" s="663"/>
      <c r="CB388" s="663"/>
      <c r="CC388" s="663"/>
      <c r="CD388" s="663"/>
      <c r="CE388" s="663"/>
      <c r="CF388" s="663"/>
      <c r="CG388" s="663"/>
      <c r="CH388" s="663"/>
      <c r="CI388" s="663"/>
      <c r="CJ388" s="663"/>
      <c r="CK388" s="663"/>
      <c r="CL388" s="663"/>
      <c r="CM388" s="663"/>
      <c r="CN388" s="663"/>
      <c r="CO388" s="663"/>
      <c r="CP388" s="663"/>
      <c r="CQ388" s="663"/>
      <c r="CR388" s="663"/>
      <c r="CS388" s="663"/>
      <c r="CT388" s="663"/>
      <c r="CU388" s="663"/>
      <c r="CV388" s="663"/>
      <c r="CW388" s="663"/>
      <c r="CX388" s="663"/>
      <c r="CY388" s="663"/>
      <c r="CZ388" s="663"/>
      <c r="DA388" s="663"/>
      <c r="DB388" s="663"/>
      <c r="DC388" s="663"/>
      <c r="DD388" s="663"/>
      <c r="DE388" s="663"/>
      <c r="DF388" s="663"/>
      <c r="DG388" s="663"/>
      <c r="DH388" s="663"/>
      <c r="DI388" s="663"/>
      <c r="DJ388" s="663"/>
      <c r="DK388" s="663"/>
      <c r="DL388" s="663"/>
      <c r="DM388" s="663"/>
      <c r="DN388" s="663"/>
      <c r="DO388" s="663"/>
      <c r="DP388" s="663"/>
      <c r="DQ388" s="663"/>
      <c r="DR388" s="663"/>
      <c r="DS388" s="663"/>
      <c r="DT388" s="663"/>
      <c r="DU388" s="663"/>
      <c r="DV388" s="663"/>
      <c r="DW388" s="663"/>
      <c r="DX388" s="663"/>
      <c r="DY388" s="663"/>
      <c r="DZ388" s="663"/>
      <c r="EA388" s="663"/>
      <c r="EB388" s="663"/>
      <c r="EC388" s="663"/>
      <c r="ED388" s="663"/>
      <c r="EE388" s="663"/>
      <c r="EF388" s="663"/>
      <c r="EG388" s="663"/>
      <c r="EH388" s="663"/>
      <c r="EI388" s="663"/>
      <c r="EJ388" s="663"/>
      <c r="EK388" s="663"/>
      <c r="EL388" s="663"/>
      <c r="EM388" s="663"/>
      <c r="EN388" s="663"/>
      <c r="EO388" s="663"/>
      <c r="EP388" s="663"/>
      <c r="EQ388" s="663"/>
      <c r="ER388" s="663"/>
      <c r="ES388" s="663"/>
      <c r="ET388" s="663"/>
      <c r="EU388" s="663"/>
      <c r="EV388" s="663"/>
      <c r="EW388" s="663"/>
      <c r="EX388" s="663"/>
      <c r="EY388" s="663"/>
      <c r="EZ388" s="663"/>
      <c r="FA388" s="663"/>
      <c r="FB388" s="663"/>
      <c r="FC388" s="663"/>
      <c r="FD388" s="663"/>
      <c r="FE388" s="663"/>
      <c r="FF388" s="663"/>
      <c r="FG388" s="663"/>
      <c r="FH388" s="663"/>
      <c r="FI388" s="663"/>
      <c r="FJ388" s="663"/>
      <c r="FK388" s="663"/>
      <c r="FL388" s="663"/>
      <c r="FM388" s="663"/>
      <c r="FN388" s="663"/>
      <c r="FO388" s="663"/>
      <c r="FP388" s="663"/>
      <c r="FQ388" s="663"/>
      <c r="FR388" s="663"/>
      <c r="FS388" s="663"/>
      <c r="FT388" s="663"/>
      <c r="FU388" s="663"/>
      <c r="FV388" s="663"/>
      <c r="FW388" s="663"/>
      <c r="FX388" s="663"/>
      <c r="FY388" s="663"/>
      <c r="FZ388" s="663"/>
      <c r="GA388" s="663"/>
      <c r="GB388" s="663"/>
      <c r="GC388" s="663"/>
      <c r="GD388" s="663"/>
      <c r="GE388" s="663"/>
      <c r="GF388" s="663"/>
      <c r="GG388" s="663"/>
    </row>
    <row r="389" spans="1:189">
      <c r="A389" s="670"/>
      <c r="B389" s="670"/>
      <c r="C389" s="670"/>
      <c r="D389" s="670"/>
      <c r="E389" s="670"/>
      <c r="F389" s="670"/>
      <c r="G389" s="673"/>
      <c r="H389" s="627"/>
      <c r="I389" s="627"/>
      <c r="J389" s="672"/>
      <c r="K389" s="663"/>
      <c r="L389" s="663"/>
      <c r="M389" s="663"/>
      <c r="N389" s="663"/>
      <c r="O389" s="663"/>
      <c r="P389" s="663"/>
      <c r="Q389" s="663"/>
      <c r="R389" s="663"/>
      <c r="S389" s="663"/>
      <c r="T389" s="663"/>
      <c r="U389" s="663"/>
      <c r="V389" s="663"/>
      <c r="W389" s="663"/>
      <c r="X389" s="663"/>
      <c r="Y389" s="663"/>
      <c r="Z389" s="663"/>
      <c r="AA389" s="663"/>
      <c r="AB389" s="663"/>
      <c r="AC389" s="663"/>
      <c r="AD389" s="663"/>
      <c r="AE389" s="663"/>
      <c r="AF389" s="663"/>
      <c r="AG389" s="663"/>
      <c r="AH389" s="663"/>
      <c r="AI389" s="663"/>
      <c r="AJ389" s="663"/>
      <c r="AK389" s="663"/>
      <c r="AL389" s="663"/>
      <c r="AM389" s="663"/>
      <c r="AN389" s="663"/>
      <c r="AO389" s="663"/>
      <c r="AP389" s="663"/>
      <c r="AQ389" s="663"/>
      <c r="AR389" s="663"/>
      <c r="AS389" s="663"/>
      <c r="AT389" s="663"/>
      <c r="AU389" s="663"/>
      <c r="AV389" s="663"/>
      <c r="AW389" s="663"/>
      <c r="AX389" s="663"/>
      <c r="AY389" s="663"/>
      <c r="AZ389" s="663"/>
      <c r="BA389" s="663"/>
      <c r="BB389" s="663"/>
      <c r="BC389" s="663"/>
      <c r="BD389" s="663"/>
      <c r="BE389" s="663"/>
      <c r="BF389" s="663"/>
      <c r="BG389" s="663"/>
      <c r="BH389" s="663"/>
      <c r="BI389" s="663"/>
      <c r="BJ389" s="663"/>
      <c r="BK389" s="663"/>
      <c r="BL389" s="663"/>
      <c r="BM389" s="663"/>
      <c r="BN389" s="663"/>
      <c r="BO389" s="663"/>
      <c r="BP389" s="663"/>
      <c r="BQ389" s="663"/>
      <c r="BR389" s="663"/>
      <c r="BS389" s="663"/>
      <c r="BT389" s="663"/>
      <c r="BU389" s="663"/>
      <c r="BV389" s="663"/>
      <c r="BW389" s="663"/>
      <c r="BX389" s="663"/>
      <c r="BY389" s="663"/>
      <c r="BZ389" s="663"/>
      <c r="CA389" s="663"/>
      <c r="CB389" s="663"/>
      <c r="CC389" s="663"/>
      <c r="CD389" s="663"/>
      <c r="CE389" s="663"/>
      <c r="CF389" s="663"/>
      <c r="CG389" s="663"/>
      <c r="CH389" s="663"/>
      <c r="CI389" s="663"/>
      <c r="CJ389" s="663"/>
      <c r="CK389" s="663"/>
      <c r="CL389" s="663"/>
      <c r="CM389" s="663"/>
      <c r="CN389" s="663"/>
      <c r="CO389" s="663"/>
      <c r="CP389" s="663"/>
      <c r="CQ389" s="663"/>
      <c r="CR389" s="663"/>
      <c r="CS389" s="663"/>
      <c r="CT389" s="663"/>
      <c r="CU389" s="663"/>
      <c r="CV389" s="663"/>
      <c r="CW389" s="663"/>
      <c r="CX389" s="663"/>
      <c r="CY389" s="663"/>
      <c r="CZ389" s="663"/>
      <c r="DA389" s="663"/>
      <c r="DB389" s="663"/>
      <c r="DC389" s="663"/>
      <c r="DD389" s="663"/>
      <c r="DE389" s="663"/>
      <c r="DF389" s="663"/>
      <c r="DG389" s="663"/>
      <c r="DH389" s="663"/>
      <c r="DI389" s="663"/>
      <c r="DJ389" s="663"/>
      <c r="DK389" s="663"/>
      <c r="DL389" s="663"/>
      <c r="DM389" s="663"/>
      <c r="DN389" s="663"/>
      <c r="DO389" s="663"/>
      <c r="DP389" s="663"/>
      <c r="DQ389" s="663"/>
      <c r="DR389" s="663"/>
      <c r="DS389" s="663"/>
      <c r="DT389" s="663"/>
      <c r="DU389" s="663"/>
      <c r="DV389" s="663"/>
      <c r="DW389" s="663"/>
      <c r="DX389" s="663"/>
      <c r="DY389" s="663"/>
      <c r="DZ389" s="663"/>
      <c r="EA389" s="663"/>
      <c r="EB389" s="663"/>
      <c r="EC389" s="663"/>
      <c r="ED389" s="663"/>
      <c r="EE389" s="663"/>
      <c r="EF389" s="663"/>
      <c r="EG389" s="663"/>
      <c r="EH389" s="663"/>
      <c r="EI389" s="663"/>
      <c r="EJ389" s="663"/>
      <c r="EK389" s="663"/>
      <c r="EL389" s="663"/>
      <c r="EM389" s="663"/>
      <c r="EN389" s="663"/>
      <c r="EO389" s="663"/>
      <c r="EP389" s="663"/>
      <c r="EQ389" s="663"/>
      <c r="ER389" s="663"/>
      <c r="ES389" s="663"/>
      <c r="ET389" s="663"/>
      <c r="EU389" s="663"/>
      <c r="EV389" s="663"/>
      <c r="EW389" s="663"/>
      <c r="EX389" s="663"/>
      <c r="EY389" s="663"/>
      <c r="EZ389" s="663"/>
      <c r="FA389" s="663"/>
      <c r="FB389" s="663"/>
      <c r="FC389" s="663"/>
      <c r="FD389" s="663"/>
      <c r="FE389" s="663"/>
      <c r="FF389" s="663"/>
      <c r="FG389" s="663"/>
      <c r="FH389" s="663"/>
      <c r="FI389" s="663"/>
      <c r="FJ389" s="663"/>
      <c r="FK389" s="663"/>
      <c r="FL389" s="663"/>
      <c r="FM389" s="663"/>
      <c r="FN389" s="663"/>
      <c r="FO389" s="663"/>
      <c r="FP389" s="663"/>
      <c r="FQ389" s="663"/>
      <c r="FR389" s="663"/>
      <c r="FS389" s="663"/>
      <c r="FT389" s="663"/>
      <c r="FU389" s="663"/>
      <c r="FV389" s="663"/>
      <c r="FW389" s="663"/>
      <c r="FX389" s="663"/>
      <c r="FY389" s="663"/>
      <c r="FZ389" s="663"/>
      <c r="GA389" s="663"/>
      <c r="GB389" s="663"/>
      <c r="GC389" s="663"/>
      <c r="GD389" s="663"/>
      <c r="GE389" s="663"/>
      <c r="GF389" s="663"/>
      <c r="GG389" s="663"/>
    </row>
    <row r="390" spans="1:189">
      <c r="A390" s="670"/>
      <c r="B390" s="670"/>
      <c r="C390" s="670"/>
      <c r="D390" s="670"/>
      <c r="E390" s="670"/>
      <c r="F390" s="670"/>
      <c r="G390" s="673"/>
      <c r="H390" s="627"/>
      <c r="I390" s="627"/>
      <c r="J390" s="672"/>
      <c r="K390" s="663"/>
      <c r="L390" s="663"/>
      <c r="M390" s="663"/>
      <c r="N390" s="663"/>
      <c r="O390" s="663"/>
      <c r="P390" s="663"/>
      <c r="Q390" s="663"/>
      <c r="R390" s="663"/>
      <c r="S390" s="663"/>
      <c r="T390" s="663"/>
      <c r="U390" s="663"/>
      <c r="V390" s="663"/>
      <c r="W390" s="663"/>
      <c r="X390" s="663"/>
      <c r="Y390" s="663"/>
      <c r="Z390" s="663"/>
      <c r="AA390" s="663"/>
      <c r="AB390" s="663"/>
      <c r="AC390" s="663"/>
      <c r="AD390" s="663"/>
      <c r="AE390" s="663"/>
      <c r="AF390" s="663"/>
      <c r="AG390" s="663"/>
      <c r="AH390" s="663"/>
      <c r="AI390" s="663"/>
      <c r="AJ390" s="663"/>
      <c r="AK390" s="663"/>
      <c r="AL390" s="663"/>
      <c r="AM390" s="663"/>
      <c r="AN390" s="663"/>
      <c r="AO390" s="663"/>
      <c r="AP390" s="663"/>
      <c r="AQ390" s="663"/>
      <c r="AR390" s="663"/>
      <c r="AS390" s="663"/>
      <c r="AT390" s="663"/>
      <c r="AU390" s="663"/>
      <c r="AV390" s="663"/>
      <c r="AW390" s="663"/>
      <c r="AX390" s="663"/>
      <c r="AY390" s="663"/>
      <c r="AZ390" s="663"/>
      <c r="BA390" s="663"/>
      <c r="BB390" s="663"/>
      <c r="BC390" s="663"/>
      <c r="BD390" s="663"/>
      <c r="BE390" s="663"/>
      <c r="BF390" s="663"/>
      <c r="BG390" s="663"/>
      <c r="BH390" s="663"/>
      <c r="BI390" s="663"/>
      <c r="BJ390" s="663"/>
      <c r="BK390" s="663"/>
      <c r="BL390" s="663"/>
      <c r="BM390" s="663"/>
      <c r="BN390" s="663"/>
      <c r="BO390" s="663"/>
      <c r="BP390" s="663"/>
      <c r="BQ390" s="663"/>
      <c r="BR390" s="663"/>
      <c r="BS390" s="663"/>
      <c r="BT390" s="663"/>
      <c r="BU390" s="663"/>
      <c r="BV390" s="663"/>
      <c r="BW390" s="663"/>
      <c r="BX390" s="663"/>
      <c r="BY390" s="663"/>
      <c r="BZ390" s="663"/>
      <c r="CA390" s="663"/>
      <c r="CB390" s="663"/>
      <c r="CC390" s="663"/>
      <c r="CD390" s="663"/>
      <c r="CE390" s="663"/>
      <c r="CF390" s="663"/>
      <c r="CG390" s="663"/>
      <c r="CH390" s="663"/>
      <c r="CI390" s="663"/>
      <c r="CJ390" s="663"/>
      <c r="CK390" s="663"/>
      <c r="CL390" s="663"/>
      <c r="CM390" s="663"/>
      <c r="CN390" s="663"/>
      <c r="CO390" s="663"/>
      <c r="CP390" s="663"/>
      <c r="CQ390" s="663"/>
      <c r="CR390" s="663"/>
      <c r="CS390" s="663"/>
      <c r="CT390" s="663"/>
      <c r="CU390" s="663"/>
      <c r="CV390" s="663"/>
      <c r="CW390" s="663"/>
      <c r="CX390" s="663"/>
      <c r="CY390" s="663"/>
      <c r="CZ390" s="663"/>
      <c r="DA390" s="663"/>
      <c r="DB390" s="663"/>
      <c r="DC390" s="663"/>
      <c r="DD390" s="663"/>
      <c r="DE390" s="663"/>
      <c r="DF390" s="663"/>
      <c r="DG390" s="663"/>
      <c r="DH390" s="663"/>
      <c r="DI390" s="663"/>
      <c r="DJ390" s="663"/>
      <c r="DK390" s="663"/>
      <c r="DL390" s="663"/>
      <c r="DM390" s="663"/>
      <c r="DN390" s="663"/>
      <c r="DO390" s="663"/>
      <c r="DP390" s="663"/>
      <c r="DQ390" s="663"/>
      <c r="DR390" s="663"/>
      <c r="DS390" s="663"/>
      <c r="DT390" s="663"/>
      <c r="DU390" s="663"/>
      <c r="DV390" s="663"/>
      <c r="DW390" s="663"/>
      <c r="DX390" s="663"/>
      <c r="DY390" s="663"/>
      <c r="DZ390" s="663"/>
      <c r="EA390" s="663"/>
      <c r="EB390" s="663"/>
      <c r="EC390" s="663"/>
      <c r="ED390" s="663"/>
      <c r="EE390" s="663"/>
      <c r="EF390" s="663"/>
      <c r="EG390" s="663"/>
      <c r="EH390" s="663"/>
      <c r="EI390" s="663"/>
      <c r="EJ390" s="663"/>
      <c r="EK390" s="663"/>
      <c r="EL390" s="663"/>
      <c r="EM390" s="663"/>
      <c r="EN390" s="663"/>
      <c r="EO390" s="663"/>
      <c r="EP390" s="663"/>
      <c r="EQ390" s="663"/>
      <c r="ER390" s="663"/>
      <c r="ES390" s="663"/>
      <c r="ET390" s="663"/>
      <c r="EU390" s="663"/>
      <c r="EV390" s="663"/>
      <c r="EW390" s="663"/>
      <c r="EX390" s="663"/>
      <c r="EY390" s="663"/>
      <c r="EZ390" s="663"/>
      <c r="FA390" s="663"/>
      <c r="FB390" s="663"/>
      <c r="FC390" s="663"/>
      <c r="FD390" s="663"/>
      <c r="FE390" s="663"/>
      <c r="FF390" s="663"/>
      <c r="FG390" s="663"/>
      <c r="FH390" s="663"/>
      <c r="FI390" s="663"/>
      <c r="FJ390" s="663"/>
      <c r="FK390" s="663"/>
      <c r="FL390" s="663"/>
      <c r="FM390" s="663"/>
      <c r="FN390" s="663"/>
      <c r="FO390" s="663"/>
      <c r="FP390" s="663"/>
      <c r="FQ390" s="663"/>
      <c r="FR390" s="663"/>
      <c r="FS390" s="663"/>
      <c r="FT390" s="663"/>
      <c r="FU390" s="663"/>
      <c r="FV390" s="663"/>
      <c r="FW390" s="663"/>
      <c r="FX390" s="663"/>
      <c r="FY390" s="663"/>
      <c r="FZ390" s="663"/>
      <c r="GA390" s="663"/>
      <c r="GB390" s="663"/>
      <c r="GC390" s="663"/>
      <c r="GD390" s="663"/>
      <c r="GE390" s="663"/>
      <c r="GF390" s="663"/>
      <c r="GG390" s="663"/>
    </row>
    <row r="391" spans="1:189">
      <c r="A391" s="670"/>
      <c r="B391" s="670"/>
      <c r="C391" s="670"/>
      <c r="D391" s="670"/>
      <c r="E391" s="670"/>
      <c r="F391" s="670"/>
      <c r="G391" s="673"/>
      <c r="H391" s="627"/>
      <c r="I391" s="627"/>
      <c r="J391" s="672"/>
      <c r="K391" s="663"/>
      <c r="L391" s="663"/>
      <c r="M391" s="663"/>
      <c r="N391" s="663"/>
      <c r="O391" s="663"/>
      <c r="P391" s="663"/>
      <c r="Q391" s="663"/>
      <c r="R391" s="663"/>
      <c r="S391" s="663"/>
      <c r="T391" s="663"/>
      <c r="U391" s="663"/>
      <c r="V391" s="663"/>
      <c r="W391" s="663"/>
      <c r="X391" s="663"/>
      <c r="Y391" s="663"/>
      <c r="Z391" s="663"/>
      <c r="AA391" s="663"/>
      <c r="AB391" s="663"/>
      <c r="AC391" s="663"/>
      <c r="AD391" s="663"/>
      <c r="AE391" s="663"/>
      <c r="AF391" s="663"/>
      <c r="AG391" s="663"/>
      <c r="AH391" s="663"/>
      <c r="AI391" s="663"/>
      <c r="AJ391" s="663"/>
      <c r="AK391" s="663"/>
      <c r="AL391" s="663"/>
      <c r="AM391" s="663"/>
      <c r="AN391" s="663"/>
      <c r="AO391" s="663"/>
      <c r="AP391" s="663"/>
      <c r="AQ391" s="663"/>
      <c r="AR391" s="663"/>
      <c r="AS391" s="663"/>
      <c r="AT391" s="663"/>
      <c r="AU391" s="663"/>
      <c r="AV391" s="663"/>
      <c r="AW391" s="663"/>
      <c r="AX391" s="663"/>
      <c r="AY391" s="663"/>
      <c r="AZ391" s="663"/>
      <c r="BA391" s="663"/>
      <c r="BB391" s="663"/>
      <c r="BC391" s="663"/>
      <c r="BD391" s="663"/>
      <c r="BE391" s="663"/>
      <c r="BF391" s="663"/>
      <c r="BG391" s="663"/>
      <c r="BH391" s="663"/>
      <c r="BI391" s="663"/>
      <c r="BJ391" s="663"/>
      <c r="BK391" s="663"/>
      <c r="BL391" s="663"/>
      <c r="BM391" s="663"/>
      <c r="BN391" s="663"/>
      <c r="BO391" s="663"/>
      <c r="BP391" s="663"/>
      <c r="BQ391" s="663"/>
      <c r="BR391" s="663"/>
      <c r="BS391" s="663"/>
      <c r="BT391" s="663"/>
      <c r="BU391" s="663"/>
      <c r="BV391" s="663"/>
      <c r="BW391" s="663"/>
      <c r="BX391" s="663"/>
      <c r="BY391" s="663"/>
      <c r="BZ391" s="663"/>
      <c r="CA391" s="663"/>
      <c r="CB391" s="663"/>
      <c r="CC391" s="663"/>
      <c r="CD391" s="663"/>
      <c r="CE391" s="663"/>
      <c r="CF391" s="663"/>
      <c r="CG391" s="663"/>
      <c r="CH391" s="663"/>
      <c r="CI391" s="663"/>
      <c r="CJ391" s="663"/>
      <c r="CK391" s="663"/>
      <c r="CL391" s="663"/>
      <c r="CM391" s="663"/>
      <c r="CN391" s="663"/>
      <c r="CO391" s="663"/>
      <c r="CP391" s="663"/>
      <c r="CQ391" s="663"/>
      <c r="CR391" s="663"/>
      <c r="CS391" s="663"/>
      <c r="CT391" s="663"/>
      <c r="CU391" s="663"/>
      <c r="CV391" s="663"/>
      <c r="CW391" s="663"/>
      <c r="CX391" s="663"/>
      <c r="CY391" s="663"/>
      <c r="CZ391" s="663"/>
      <c r="DA391" s="663"/>
      <c r="DB391" s="663"/>
      <c r="DC391" s="663"/>
      <c r="DD391" s="663"/>
      <c r="DE391" s="663"/>
      <c r="DF391" s="663"/>
      <c r="DG391" s="663"/>
      <c r="DH391" s="663"/>
      <c r="DI391" s="663"/>
      <c r="DJ391" s="663"/>
      <c r="DK391" s="663"/>
      <c r="DL391" s="663"/>
      <c r="DM391" s="663"/>
      <c r="DN391" s="663"/>
      <c r="DO391" s="663"/>
      <c r="DP391" s="663"/>
      <c r="DQ391" s="663"/>
      <c r="DR391" s="663"/>
      <c r="DS391" s="663"/>
      <c r="DT391" s="663"/>
      <c r="DU391" s="663"/>
      <c r="DV391" s="663"/>
      <c r="DW391" s="663"/>
      <c r="DX391" s="663"/>
      <c r="DY391" s="663"/>
      <c r="DZ391" s="663"/>
      <c r="EA391" s="663"/>
      <c r="EB391" s="663"/>
      <c r="EC391" s="663"/>
      <c r="ED391" s="663"/>
      <c r="EE391" s="663"/>
      <c r="EF391" s="663"/>
      <c r="EG391" s="663"/>
      <c r="EH391" s="663"/>
      <c r="EI391" s="663"/>
      <c r="EJ391" s="663"/>
      <c r="EK391" s="663"/>
      <c r="EL391" s="663"/>
      <c r="EM391" s="663"/>
      <c r="EN391" s="663"/>
      <c r="EO391" s="663"/>
      <c r="EP391" s="663"/>
      <c r="EQ391" s="663"/>
      <c r="ER391" s="663"/>
      <c r="ES391" s="663"/>
      <c r="ET391" s="663"/>
      <c r="EU391" s="663"/>
      <c r="EV391" s="663"/>
      <c r="EW391" s="663"/>
      <c r="EX391" s="663"/>
      <c r="EY391" s="663"/>
      <c r="EZ391" s="663"/>
      <c r="FA391" s="663"/>
      <c r="FB391" s="663"/>
      <c r="FC391" s="663"/>
      <c r="FD391" s="663"/>
      <c r="FE391" s="663"/>
      <c r="FF391" s="663"/>
      <c r="FG391" s="663"/>
      <c r="FH391" s="663"/>
      <c r="FI391" s="663"/>
      <c r="FJ391" s="663"/>
      <c r="FK391" s="663"/>
      <c r="FL391" s="663"/>
      <c r="FM391" s="663"/>
      <c r="FN391" s="663"/>
      <c r="FO391" s="663"/>
      <c r="FP391" s="663"/>
      <c r="FQ391" s="663"/>
      <c r="FR391" s="663"/>
      <c r="FS391" s="663"/>
      <c r="FT391" s="663"/>
      <c r="FU391" s="663"/>
      <c r="FV391" s="663"/>
      <c r="FW391" s="663"/>
      <c r="FX391" s="663"/>
      <c r="FY391" s="663"/>
      <c r="FZ391" s="663"/>
      <c r="GA391" s="663"/>
      <c r="GB391" s="663"/>
      <c r="GC391" s="663"/>
      <c r="GD391" s="663"/>
      <c r="GE391" s="663"/>
      <c r="GF391" s="663"/>
      <c r="GG391" s="663"/>
    </row>
    <row r="392" spans="1:189">
      <c r="A392" s="670"/>
      <c r="B392" s="670"/>
      <c r="C392" s="670"/>
      <c r="D392" s="670"/>
      <c r="E392" s="670"/>
      <c r="F392" s="670"/>
      <c r="G392" s="673"/>
      <c r="H392" s="627"/>
      <c r="I392" s="627"/>
      <c r="J392" s="672"/>
      <c r="K392" s="663"/>
      <c r="L392" s="663"/>
      <c r="M392" s="663"/>
      <c r="N392" s="663"/>
      <c r="O392" s="663"/>
      <c r="P392" s="663"/>
      <c r="Q392" s="663"/>
      <c r="R392" s="663"/>
      <c r="S392" s="663"/>
      <c r="T392" s="663"/>
      <c r="U392" s="663"/>
      <c r="V392" s="663"/>
      <c r="W392" s="663"/>
      <c r="X392" s="663"/>
      <c r="Y392" s="663"/>
      <c r="Z392" s="663"/>
      <c r="AA392" s="663"/>
      <c r="AB392" s="663"/>
      <c r="AC392" s="663"/>
      <c r="AD392" s="663"/>
      <c r="AE392" s="663"/>
      <c r="AF392" s="663"/>
      <c r="AG392" s="663"/>
      <c r="AH392" s="663"/>
      <c r="AI392" s="663"/>
      <c r="AJ392" s="663"/>
      <c r="AK392" s="663"/>
      <c r="AL392" s="663"/>
      <c r="AM392" s="663"/>
      <c r="AN392" s="663"/>
      <c r="AO392" s="663"/>
      <c r="AP392" s="663"/>
      <c r="AQ392" s="663"/>
      <c r="AR392" s="663"/>
      <c r="AS392" s="663"/>
      <c r="AT392" s="663"/>
      <c r="AU392" s="663"/>
      <c r="AV392" s="663"/>
      <c r="AW392" s="663"/>
      <c r="AX392" s="663"/>
      <c r="AY392" s="663"/>
      <c r="AZ392" s="663"/>
      <c r="BA392" s="663"/>
      <c r="BB392" s="663"/>
      <c r="BC392" s="663"/>
      <c r="BD392" s="663"/>
      <c r="BE392" s="663"/>
      <c r="BF392" s="663"/>
      <c r="BG392" s="663"/>
      <c r="BH392" s="663"/>
      <c r="BI392" s="663"/>
      <c r="BJ392" s="663"/>
      <c r="BK392" s="663"/>
      <c r="BL392" s="663"/>
      <c r="BM392" s="663"/>
      <c r="BN392" s="663"/>
      <c r="BO392" s="663"/>
      <c r="BP392" s="663"/>
      <c r="BQ392" s="663"/>
      <c r="BR392" s="663"/>
      <c r="BS392" s="663"/>
      <c r="BT392" s="663"/>
      <c r="BU392" s="663"/>
      <c r="BV392" s="663"/>
      <c r="BW392" s="663"/>
      <c r="BX392" s="663"/>
      <c r="BY392" s="663"/>
      <c r="BZ392" s="663"/>
      <c r="CA392" s="663"/>
      <c r="CB392" s="663"/>
      <c r="CC392" s="663"/>
      <c r="CD392" s="663"/>
      <c r="CE392" s="663"/>
      <c r="CF392" s="663"/>
      <c r="CG392" s="663"/>
      <c r="CH392" s="663"/>
      <c r="CI392" s="663"/>
      <c r="CJ392" s="663"/>
      <c r="CK392" s="663"/>
      <c r="CL392" s="663"/>
      <c r="CM392" s="663"/>
      <c r="CN392" s="663"/>
      <c r="CO392" s="663"/>
      <c r="CP392" s="663"/>
      <c r="CQ392" s="663"/>
      <c r="CR392" s="663"/>
      <c r="CS392" s="663"/>
      <c r="CT392" s="663"/>
      <c r="CU392" s="663"/>
      <c r="CV392" s="663"/>
      <c r="CW392" s="663"/>
      <c r="CX392" s="663"/>
      <c r="CY392" s="663"/>
      <c r="CZ392" s="663"/>
      <c r="DA392" s="663"/>
      <c r="DB392" s="663"/>
      <c r="DC392" s="663"/>
      <c r="DD392" s="663"/>
      <c r="DE392" s="663"/>
      <c r="DF392" s="663"/>
      <c r="DG392" s="663"/>
      <c r="DH392" s="663"/>
      <c r="DI392" s="663"/>
      <c r="DJ392" s="663"/>
      <c r="DK392" s="663"/>
      <c r="DL392" s="663"/>
      <c r="DM392" s="663"/>
      <c r="DN392" s="663"/>
      <c r="DO392" s="663"/>
      <c r="DP392" s="663"/>
      <c r="DQ392" s="663"/>
      <c r="DR392" s="663"/>
      <c r="DS392" s="663"/>
      <c r="DT392" s="663"/>
      <c r="DU392" s="663"/>
      <c r="DV392" s="663"/>
      <c r="DW392" s="663"/>
      <c r="DX392" s="663"/>
      <c r="DY392" s="663"/>
      <c r="DZ392" s="663"/>
      <c r="EA392" s="663"/>
      <c r="EB392" s="663"/>
      <c r="EC392" s="663"/>
      <c r="ED392" s="663"/>
      <c r="EE392" s="663"/>
      <c r="EF392" s="663"/>
      <c r="EG392" s="663"/>
      <c r="EH392" s="663"/>
      <c r="EI392" s="663"/>
      <c r="EJ392" s="663"/>
      <c r="EK392" s="663"/>
      <c r="EL392" s="663"/>
      <c r="EM392" s="663"/>
      <c r="EN392" s="663"/>
      <c r="EO392" s="663"/>
      <c r="EP392" s="663"/>
      <c r="EQ392" s="663"/>
      <c r="ER392" s="663"/>
      <c r="ES392" s="663"/>
      <c r="ET392" s="663"/>
      <c r="EU392" s="663"/>
      <c r="EV392" s="663"/>
      <c r="EW392" s="663"/>
      <c r="EX392" s="663"/>
      <c r="EY392" s="663"/>
      <c r="EZ392" s="663"/>
      <c r="FA392" s="663"/>
      <c r="FB392" s="663"/>
      <c r="FC392" s="663"/>
      <c r="FD392" s="663"/>
      <c r="FE392" s="663"/>
      <c r="FF392" s="663"/>
      <c r="FG392" s="663"/>
      <c r="FH392" s="663"/>
      <c r="FI392" s="663"/>
      <c r="FJ392" s="663"/>
      <c r="FK392" s="663"/>
      <c r="FL392" s="663"/>
      <c r="FM392" s="663"/>
      <c r="FN392" s="663"/>
      <c r="FO392" s="663"/>
      <c r="FP392" s="663"/>
      <c r="FQ392" s="663"/>
      <c r="FR392" s="663"/>
      <c r="FS392" s="663"/>
      <c r="FT392" s="663"/>
      <c r="FU392" s="663"/>
      <c r="FV392" s="663"/>
      <c r="FW392" s="663"/>
      <c r="FX392" s="663"/>
      <c r="FY392" s="663"/>
      <c r="FZ392" s="663"/>
      <c r="GA392" s="663"/>
      <c r="GB392" s="663"/>
      <c r="GC392" s="663"/>
      <c r="GD392" s="663"/>
      <c r="GE392" s="663"/>
      <c r="GF392" s="663"/>
      <c r="GG392" s="663"/>
    </row>
    <row r="393" spans="1:189">
      <c r="A393" s="670"/>
      <c r="B393" s="670"/>
      <c r="C393" s="670"/>
      <c r="D393" s="670"/>
      <c r="E393" s="670"/>
      <c r="F393" s="670"/>
      <c r="G393" s="673"/>
      <c r="H393" s="627"/>
      <c r="I393" s="627"/>
      <c r="J393" s="672"/>
      <c r="K393" s="663"/>
      <c r="L393" s="663"/>
      <c r="M393" s="663"/>
      <c r="N393" s="663"/>
      <c r="O393" s="663"/>
      <c r="P393" s="663"/>
      <c r="Q393" s="663"/>
      <c r="R393" s="663"/>
      <c r="S393" s="663"/>
      <c r="T393" s="663"/>
      <c r="U393" s="663"/>
      <c r="V393" s="663"/>
      <c r="W393" s="663"/>
      <c r="X393" s="663"/>
      <c r="Y393" s="663"/>
      <c r="Z393" s="663"/>
      <c r="AA393" s="663"/>
      <c r="AB393" s="663"/>
      <c r="AC393" s="663"/>
      <c r="AD393" s="663"/>
      <c r="AE393" s="663"/>
      <c r="AF393" s="663"/>
      <c r="AG393" s="663"/>
      <c r="AH393" s="663"/>
      <c r="AI393" s="663"/>
      <c r="AJ393" s="663"/>
      <c r="AK393" s="663"/>
      <c r="AL393" s="663"/>
      <c r="AM393" s="663"/>
      <c r="AN393" s="663"/>
      <c r="AO393" s="663"/>
      <c r="AP393" s="663"/>
      <c r="AQ393" s="663"/>
      <c r="AR393" s="663"/>
      <c r="AS393" s="663"/>
      <c r="AT393" s="663"/>
      <c r="AU393" s="663"/>
      <c r="AV393" s="663"/>
      <c r="AW393" s="663"/>
      <c r="AX393" s="663"/>
      <c r="AY393" s="663"/>
      <c r="AZ393" s="663"/>
      <c r="BA393" s="663"/>
      <c r="BB393" s="663"/>
      <c r="BC393" s="663"/>
      <c r="BD393" s="663"/>
      <c r="BE393" s="663"/>
      <c r="BF393" s="663"/>
      <c r="BG393" s="663"/>
      <c r="BH393" s="663"/>
      <c r="BI393" s="663"/>
      <c r="BJ393" s="663"/>
      <c r="BK393" s="663"/>
      <c r="BL393" s="663"/>
      <c r="BM393" s="663"/>
      <c r="BN393" s="663"/>
      <c r="BO393" s="663"/>
      <c r="BP393" s="663"/>
      <c r="BQ393" s="663"/>
      <c r="BR393" s="663"/>
      <c r="BS393" s="663"/>
      <c r="BT393" s="663"/>
      <c r="BU393" s="663"/>
      <c r="BV393" s="663"/>
      <c r="BW393" s="663"/>
      <c r="BX393" s="663"/>
      <c r="BY393" s="663"/>
      <c r="BZ393" s="663"/>
      <c r="CA393" s="663"/>
      <c r="CB393" s="663"/>
      <c r="CC393" s="663"/>
      <c r="CD393" s="663"/>
      <c r="CE393" s="663"/>
      <c r="CF393" s="663"/>
      <c r="CG393" s="663"/>
      <c r="CH393" s="663"/>
      <c r="CI393" s="663"/>
      <c r="CJ393" s="663"/>
      <c r="CK393" s="663"/>
      <c r="CL393" s="663"/>
      <c r="CM393" s="663"/>
      <c r="CN393" s="663"/>
      <c r="CO393" s="663"/>
      <c r="CP393" s="663"/>
      <c r="CQ393" s="663"/>
      <c r="CR393" s="663"/>
      <c r="CS393" s="663"/>
      <c r="CT393" s="663"/>
      <c r="CU393" s="663"/>
      <c r="CV393" s="663"/>
      <c r="CW393" s="663"/>
      <c r="CX393" s="663"/>
      <c r="CY393" s="663"/>
      <c r="CZ393" s="663"/>
      <c r="DA393" s="663"/>
      <c r="DB393" s="663"/>
      <c r="DC393" s="663"/>
      <c r="DD393" s="663"/>
      <c r="DE393" s="663"/>
      <c r="DF393" s="663"/>
      <c r="DG393" s="663"/>
      <c r="DH393" s="663"/>
      <c r="DI393" s="663"/>
      <c r="DJ393" s="663"/>
      <c r="DK393" s="663"/>
      <c r="DL393" s="663"/>
      <c r="DM393" s="663"/>
      <c r="DN393" s="663"/>
      <c r="DO393" s="663"/>
      <c r="DP393" s="663"/>
      <c r="DQ393" s="663"/>
      <c r="DR393" s="663"/>
      <c r="DS393" s="663"/>
      <c r="DT393" s="663"/>
      <c r="DU393" s="663"/>
      <c r="DV393" s="663"/>
      <c r="DW393" s="663"/>
      <c r="DX393" s="663"/>
      <c r="DY393" s="663"/>
      <c r="DZ393" s="663"/>
      <c r="EA393" s="663"/>
      <c r="EB393" s="663"/>
      <c r="EC393" s="663"/>
      <c r="ED393" s="663"/>
      <c r="EE393" s="663"/>
      <c r="EF393" s="663"/>
      <c r="EG393" s="663"/>
      <c r="EH393" s="663"/>
      <c r="EI393" s="663"/>
      <c r="EJ393" s="663"/>
      <c r="EK393" s="663"/>
      <c r="EL393" s="663"/>
      <c r="EM393" s="663"/>
      <c r="EN393" s="663"/>
      <c r="EO393" s="663"/>
      <c r="EP393" s="663"/>
      <c r="EQ393" s="663"/>
      <c r="ER393" s="663"/>
      <c r="ES393" s="663"/>
      <c r="ET393" s="663"/>
      <c r="EU393" s="663"/>
      <c r="EV393" s="663"/>
      <c r="EW393" s="663"/>
      <c r="EX393" s="663"/>
      <c r="EY393" s="663"/>
      <c r="EZ393" s="663"/>
      <c r="FA393" s="663"/>
      <c r="FB393" s="663"/>
      <c r="FC393" s="663"/>
      <c r="FD393" s="663"/>
      <c r="FE393" s="663"/>
      <c r="FF393" s="663"/>
      <c r="FG393" s="663"/>
      <c r="FH393" s="663"/>
      <c r="FI393" s="663"/>
      <c r="FJ393" s="663"/>
      <c r="FK393" s="663"/>
      <c r="FL393" s="663"/>
      <c r="FM393" s="663"/>
      <c r="FN393" s="663"/>
      <c r="FO393" s="663"/>
      <c r="FP393" s="663"/>
      <c r="FQ393" s="663"/>
      <c r="FR393" s="663"/>
      <c r="FS393" s="663"/>
      <c r="FT393" s="663"/>
      <c r="FU393" s="663"/>
      <c r="FV393" s="663"/>
      <c r="FW393" s="663"/>
      <c r="FX393" s="663"/>
      <c r="FY393" s="663"/>
      <c r="FZ393" s="663"/>
      <c r="GA393" s="663"/>
      <c r="GB393" s="663"/>
      <c r="GC393" s="663"/>
      <c r="GD393" s="663"/>
      <c r="GE393" s="663"/>
      <c r="GF393" s="663"/>
      <c r="GG393" s="663"/>
    </row>
    <row r="394" spans="1:189">
      <c r="A394" s="670"/>
      <c r="B394" s="670"/>
      <c r="C394" s="670"/>
      <c r="D394" s="670"/>
      <c r="E394" s="670"/>
      <c r="F394" s="670"/>
      <c r="G394" s="673"/>
      <c r="H394" s="627"/>
      <c r="I394" s="627"/>
      <c r="J394" s="672"/>
      <c r="K394" s="663"/>
      <c r="L394" s="663"/>
      <c r="M394" s="663"/>
      <c r="N394" s="663"/>
      <c r="O394" s="663"/>
      <c r="P394" s="663"/>
      <c r="Q394" s="663"/>
      <c r="R394" s="663"/>
      <c r="S394" s="663"/>
      <c r="T394" s="663"/>
      <c r="U394" s="663"/>
      <c r="V394" s="663"/>
      <c r="W394" s="663"/>
      <c r="X394" s="663"/>
      <c r="Y394" s="663"/>
      <c r="Z394" s="663"/>
      <c r="AA394" s="663"/>
      <c r="AB394" s="663"/>
      <c r="AC394" s="663"/>
      <c r="AD394" s="663"/>
      <c r="AE394" s="663"/>
      <c r="AF394" s="663"/>
      <c r="AG394" s="663"/>
      <c r="AH394" s="663"/>
      <c r="AI394" s="663"/>
      <c r="AJ394" s="663"/>
      <c r="AK394" s="663"/>
      <c r="AL394" s="663"/>
      <c r="AM394" s="663"/>
      <c r="AN394" s="663"/>
      <c r="AO394" s="663"/>
      <c r="AP394" s="663"/>
      <c r="AQ394" s="663"/>
      <c r="AR394" s="663"/>
      <c r="AS394" s="663"/>
      <c r="AT394" s="663"/>
      <c r="AU394" s="663"/>
      <c r="AV394" s="663"/>
      <c r="AW394" s="663"/>
      <c r="AX394" s="663"/>
      <c r="AY394" s="663"/>
      <c r="AZ394" s="663"/>
      <c r="BA394" s="663"/>
      <c r="BB394" s="663"/>
      <c r="BC394" s="663"/>
      <c r="BD394" s="663"/>
      <c r="BE394" s="663"/>
      <c r="BF394" s="663"/>
      <c r="BG394" s="663"/>
      <c r="BH394" s="663"/>
      <c r="BI394" s="663"/>
      <c r="BJ394" s="663"/>
      <c r="BK394" s="663"/>
      <c r="BL394" s="663"/>
      <c r="BM394" s="663"/>
      <c r="BN394" s="663"/>
      <c r="BO394" s="663"/>
      <c r="BP394" s="663"/>
      <c r="BQ394" s="663"/>
      <c r="BR394" s="663"/>
      <c r="BS394" s="663"/>
      <c r="BT394" s="663"/>
      <c r="BU394" s="663"/>
      <c r="BV394" s="663"/>
      <c r="BW394" s="663"/>
      <c r="BX394" s="663"/>
      <c r="BY394" s="663"/>
      <c r="BZ394" s="663"/>
      <c r="CA394" s="663"/>
      <c r="CB394" s="663"/>
      <c r="CC394" s="663"/>
      <c r="CD394" s="663"/>
      <c r="CE394" s="663"/>
      <c r="CF394" s="663"/>
      <c r="CG394" s="663"/>
      <c r="CH394" s="663"/>
      <c r="CI394" s="663"/>
      <c r="CJ394" s="663"/>
      <c r="CK394" s="663"/>
      <c r="CL394" s="663"/>
      <c r="CM394" s="663"/>
      <c r="CN394" s="663"/>
      <c r="CO394" s="663"/>
      <c r="CP394" s="663"/>
      <c r="CQ394" s="663"/>
      <c r="CR394" s="663"/>
      <c r="CS394" s="663"/>
      <c r="CT394" s="663"/>
      <c r="CU394" s="663"/>
      <c r="CV394" s="663"/>
      <c r="CW394" s="663"/>
      <c r="CX394" s="663"/>
      <c r="CY394" s="663"/>
      <c r="CZ394" s="663"/>
      <c r="DA394" s="663"/>
      <c r="DB394" s="663"/>
      <c r="DC394" s="663"/>
      <c r="DD394" s="663"/>
      <c r="DE394" s="663"/>
      <c r="DF394" s="663"/>
      <c r="DG394" s="663"/>
      <c r="DH394" s="663"/>
      <c r="DI394" s="663"/>
      <c r="DJ394" s="663"/>
      <c r="DK394" s="663"/>
      <c r="DL394" s="663"/>
      <c r="DM394" s="663"/>
      <c r="DN394" s="663"/>
      <c r="DO394" s="663"/>
      <c r="DP394" s="663"/>
      <c r="DQ394" s="663"/>
      <c r="DR394" s="663"/>
      <c r="DS394" s="663"/>
      <c r="DT394" s="663"/>
      <c r="DU394" s="663"/>
      <c r="DV394" s="663"/>
      <c r="DW394" s="663"/>
      <c r="DX394" s="663"/>
      <c r="DY394" s="663"/>
      <c r="DZ394" s="663"/>
      <c r="EA394" s="663"/>
      <c r="EB394" s="663"/>
      <c r="EC394" s="663"/>
      <c r="ED394" s="663"/>
      <c r="EE394" s="663"/>
      <c r="EF394" s="663"/>
      <c r="EG394" s="663"/>
      <c r="EH394" s="663"/>
      <c r="EI394" s="663"/>
      <c r="EJ394" s="663"/>
      <c r="EK394" s="663"/>
      <c r="EL394" s="663"/>
      <c r="EM394" s="663"/>
      <c r="EN394" s="663"/>
      <c r="EO394" s="663"/>
      <c r="EP394" s="663"/>
      <c r="EQ394" s="663"/>
      <c r="ER394" s="663"/>
      <c r="ES394" s="663"/>
      <c r="ET394" s="663"/>
      <c r="EU394" s="663"/>
      <c r="EV394" s="663"/>
      <c r="EW394" s="663"/>
      <c r="EX394" s="663"/>
      <c r="EY394" s="663"/>
      <c r="EZ394" s="663"/>
      <c r="FA394" s="663"/>
      <c r="FB394" s="663"/>
      <c r="FC394" s="663"/>
      <c r="FD394" s="663"/>
      <c r="FE394" s="663"/>
      <c r="FF394" s="663"/>
      <c r="FG394" s="663"/>
      <c r="FH394" s="663"/>
      <c r="FI394" s="663"/>
      <c r="FJ394" s="663"/>
      <c r="FK394" s="663"/>
      <c r="FL394" s="663"/>
      <c r="FM394" s="663"/>
      <c r="FN394" s="663"/>
      <c r="FO394" s="663"/>
      <c r="FP394" s="663"/>
      <c r="FQ394" s="663"/>
      <c r="FR394" s="663"/>
      <c r="FS394" s="663"/>
      <c r="FT394" s="663"/>
      <c r="FU394" s="663"/>
      <c r="FV394" s="663"/>
      <c r="FW394" s="663"/>
      <c r="FX394" s="663"/>
      <c r="FY394" s="663"/>
      <c r="FZ394" s="663"/>
      <c r="GA394" s="663"/>
      <c r="GB394" s="663"/>
      <c r="GC394" s="663"/>
      <c r="GD394" s="663"/>
      <c r="GE394" s="663"/>
      <c r="GF394" s="663"/>
      <c r="GG394" s="663"/>
    </row>
    <row r="395" spans="1:189">
      <c r="A395" s="670"/>
      <c r="B395" s="670"/>
      <c r="C395" s="670"/>
      <c r="D395" s="670"/>
      <c r="E395" s="670"/>
      <c r="F395" s="670"/>
      <c r="G395" s="673"/>
      <c r="H395" s="627"/>
      <c r="I395" s="627"/>
      <c r="J395" s="672"/>
      <c r="K395" s="663"/>
      <c r="L395" s="663"/>
      <c r="M395" s="663"/>
      <c r="N395" s="663"/>
      <c r="O395" s="663"/>
      <c r="P395" s="663"/>
      <c r="Q395" s="663"/>
      <c r="R395" s="663"/>
      <c r="S395" s="663"/>
      <c r="T395" s="663"/>
      <c r="U395" s="663"/>
      <c r="V395" s="663"/>
      <c r="W395" s="663"/>
      <c r="X395" s="663"/>
      <c r="Y395" s="663"/>
      <c r="Z395" s="663"/>
      <c r="AA395" s="663"/>
      <c r="AB395" s="663"/>
      <c r="AC395" s="663"/>
      <c r="AD395" s="663"/>
      <c r="AE395" s="663"/>
      <c r="AF395" s="663"/>
      <c r="AG395" s="663"/>
      <c r="AH395" s="663"/>
      <c r="AI395" s="663"/>
      <c r="AJ395" s="663"/>
      <c r="AK395" s="663"/>
      <c r="AL395" s="663"/>
      <c r="AM395" s="663"/>
      <c r="AN395" s="663"/>
      <c r="AO395" s="663"/>
      <c r="AP395" s="663"/>
      <c r="AQ395" s="663"/>
      <c r="AR395" s="663"/>
      <c r="AS395" s="663"/>
      <c r="AT395" s="663"/>
      <c r="AU395" s="663"/>
      <c r="AV395" s="663"/>
      <c r="AW395" s="663"/>
      <c r="AX395" s="663"/>
      <c r="AY395" s="663"/>
      <c r="AZ395" s="663"/>
      <c r="BA395" s="663"/>
      <c r="BB395" s="663"/>
      <c r="BC395" s="663"/>
      <c r="BD395" s="663"/>
      <c r="BE395" s="663"/>
      <c r="BF395" s="663"/>
      <c r="BG395" s="663"/>
      <c r="BH395" s="663"/>
      <c r="BI395" s="663"/>
      <c r="BJ395" s="663"/>
      <c r="BK395" s="663"/>
      <c r="BL395" s="663"/>
      <c r="BM395" s="663"/>
      <c r="BN395" s="663"/>
      <c r="BO395" s="663"/>
      <c r="BP395" s="663"/>
      <c r="BQ395" s="663"/>
      <c r="BR395" s="663"/>
      <c r="BS395" s="663"/>
      <c r="BT395" s="663"/>
      <c r="BU395" s="663"/>
      <c r="BV395" s="663"/>
      <c r="BW395" s="663"/>
      <c r="BX395" s="663"/>
      <c r="BY395" s="663"/>
      <c r="BZ395" s="663"/>
      <c r="CA395" s="663"/>
      <c r="CB395" s="663"/>
      <c r="CC395" s="663"/>
      <c r="CD395" s="663"/>
      <c r="CE395" s="663"/>
      <c r="CF395" s="663"/>
      <c r="CG395" s="663"/>
      <c r="CH395" s="663"/>
      <c r="CI395" s="663"/>
      <c r="CJ395" s="663"/>
      <c r="CK395" s="663"/>
      <c r="CL395" s="663"/>
      <c r="CM395" s="663"/>
      <c r="CN395" s="663"/>
      <c r="CO395" s="663"/>
      <c r="CP395" s="663"/>
      <c r="CQ395" s="663"/>
      <c r="CR395" s="663"/>
      <c r="CS395" s="663"/>
      <c r="CT395" s="663"/>
      <c r="CU395" s="663"/>
      <c r="CV395" s="663"/>
      <c r="CW395" s="663"/>
      <c r="CX395" s="663"/>
      <c r="CY395" s="663"/>
      <c r="CZ395" s="663"/>
      <c r="DA395" s="663"/>
      <c r="DB395" s="663"/>
      <c r="DC395" s="663"/>
      <c r="DD395" s="663"/>
      <c r="DE395" s="663"/>
      <c r="DF395" s="663"/>
      <c r="DG395" s="663"/>
      <c r="DH395" s="663"/>
      <c r="DI395" s="663"/>
      <c r="DJ395" s="663"/>
      <c r="DK395" s="663"/>
      <c r="DL395" s="663"/>
      <c r="DM395" s="663"/>
      <c r="DN395" s="663"/>
      <c r="DO395" s="663"/>
      <c r="DP395" s="663"/>
      <c r="DQ395" s="663"/>
      <c r="DR395" s="663"/>
      <c r="DS395" s="663"/>
      <c r="DT395" s="663"/>
      <c r="DU395" s="663"/>
      <c r="DV395" s="663"/>
      <c r="DW395" s="663"/>
      <c r="DX395" s="663"/>
      <c r="DY395" s="663"/>
      <c r="DZ395" s="663"/>
      <c r="EA395" s="663"/>
      <c r="EB395" s="663"/>
      <c r="EC395" s="663"/>
      <c r="ED395" s="663"/>
      <c r="EE395" s="663"/>
      <c r="EF395" s="663"/>
      <c r="EG395" s="663"/>
      <c r="EH395" s="663"/>
      <c r="EI395" s="663"/>
      <c r="EJ395" s="663"/>
      <c r="EK395" s="663"/>
      <c r="EL395" s="663"/>
      <c r="EM395" s="663"/>
      <c r="EN395" s="663"/>
      <c r="EO395" s="663"/>
      <c r="EP395" s="663"/>
      <c r="EQ395" s="663"/>
      <c r="ER395" s="663"/>
      <c r="ES395" s="663"/>
      <c r="ET395" s="663"/>
      <c r="EU395" s="663"/>
      <c r="EV395" s="663"/>
      <c r="EW395" s="663"/>
      <c r="EX395" s="663"/>
      <c r="EY395" s="663"/>
      <c r="EZ395" s="663"/>
      <c r="FA395" s="663"/>
      <c r="FB395" s="663"/>
      <c r="FC395" s="663"/>
      <c r="FD395" s="663"/>
      <c r="FE395" s="663"/>
      <c r="FF395" s="663"/>
      <c r="FG395" s="663"/>
      <c r="FH395" s="663"/>
      <c r="FI395" s="663"/>
      <c r="FJ395" s="663"/>
      <c r="FK395" s="663"/>
      <c r="FL395" s="663"/>
      <c r="FM395" s="663"/>
      <c r="FN395" s="663"/>
      <c r="FO395" s="663"/>
      <c r="FP395" s="663"/>
      <c r="FQ395" s="663"/>
      <c r="FR395" s="663"/>
      <c r="FS395" s="663"/>
      <c r="FT395" s="663"/>
      <c r="FU395" s="663"/>
      <c r="FV395" s="663"/>
      <c r="FW395" s="663"/>
      <c r="FX395" s="663"/>
      <c r="FY395" s="663"/>
      <c r="FZ395" s="663"/>
      <c r="GA395" s="663"/>
      <c r="GB395" s="663"/>
      <c r="GC395" s="663"/>
      <c r="GD395" s="663"/>
      <c r="GE395" s="663"/>
      <c r="GF395" s="663"/>
      <c r="GG395" s="663"/>
    </row>
    <row r="396" spans="1:189">
      <c r="A396" s="670"/>
      <c r="B396" s="670"/>
      <c r="C396" s="670"/>
      <c r="D396" s="670"/>
      <c r="E396" s="670"/>
      <c r="F396" s="670"/>
      <c r="G396" s="673"/>
      <c r="H396" s="627"/>
      <c r="I396" s="627"/>
      <c r="J396" s="672"/>
      <c r="K396" s="663"/>
      <c r="L396" s="663"/>
      <c r="M396" s="663"/>
      <c r="N396" s="663"/>
      <c r="O396" s="663"/>
      <c r="P396" s="663"/>
      <c r="Q396" s="663"/>
      <c r="R396" s="663"/>
      <c r="S396" s="663"/>
      <c r="T396" s="663"/>
      <c r="U396" s="663"/>
      <c r="V396" s="663"/>
      <c r="W396" s="663"/>
      <c r="X396" s="663"/>
      <c r="Y396" s="663"/>
      <c r="Z396" s="663"/>
      <c r="AA396" s="663"/>
      <c r="AB396" s="663"/>
      <c r="AC396" s="663"/>
      <c r="AD396" s="663"/>
      <c r="AE396" s="663"/>
      <c r="AF396" s="663"/>
      <c r="AG396" s="663"/>
      <c r="AH396" s="663"/>
      <c r="AI396" s="663"/>
      <c r="AJ396" s="663"/>
      <c r="AK396" s="663"/>
      <c r="AL396" s="663"/>
      <c r="AM396" s="663"/>
      <c r="AN396" s="663"/>
      <c r="AO396" s="663"/>
      <c r="AP396" s="663"/>
      <c r="AQ396" s="663"/>
      <c r="AR396" s="663"/>
      <c r="AS396" s="663"/>
      <c r="AT396" s="663"/>
      <c r="AU396" s="663"/>
      <c r="AV396" s="663"/>
      <c r="AW396" s="663"/>
      <c r="AX396" s="663"/>
      <c r="AY396" s="663"/>
      <c r="AZ396" s="663"/>
      <c r="BA396" s="663"/>
      <c r="BB396" s="663"/>
      <c r="BC396" s="663"/>
      <c r="BD396" s="663"/>
      <c r="BE396" s="663"/>
      <c r="BF396" s="663"/>
      <c r="BG396" s="663"/>
      <c r="BH396" s="663"/>
      <c r="BI396" s="663"/>
      <c r="BJ396" s="663"/>
      <c r="BK396" s="663"/>
      <c r="BL396" s="663"/>
      <c r="BM396" s="663"/>
      <c r="BN396" s="663"/>
      <c r="BO396" s="663"/>
      <c r="BP396" s="663"/>
      <c r="BQ396" s="663"/>
      <c r="BR396" s="663"/>
      <c r="BS396" s="663"/>
      <c r="BT396" s="663"/>
      <c r="BU396" s="663"/>
      <c r="BV396" s="663"/>
      <c r="BW396" s="663"/>
      <c r="BX396" s="663"/>
      <c r="BY396" s="663"/>
      <c r="BZ396" s="663"/>
      <c r="CA396" s="663"/>
      <c r="CB396" s="663"/>
      <c r="CC396" s="663"/>
      <c r="CD396" s="663"/>
      <c r="CE396" s="663"/>
      <c r="CF396" s="663"/>
      <c r="CG396" s="663"/>
      <c r="CH396" s="663"/>
      <c r="CI396" s="663"/>
      <c r="CJ396" s="663"/>
      <c r="CK396" s="663"/>
      <c r="CL396" s="663"/>
      <c r="CM396" s="663"/>
      <c r="CN396" s="663"/>
      <c r="CO396" s="663"/>
      <c r="CP396" s="663"/>
      <c r="CQ396" s="663"/>
      <c r="CR396" s="663"/>
      <c r="CS396" s="663"/>
      <c r="CT396" s="663"/>
      <c r="CU396" s="663"/>
      <c r="CV396" s="663"/>
      <c r="CW396" s="663"/>
      <c r="CX396" s="663"/>
      <c r="CY396" s="663"/>
      <c r="CZ396" s="663"/>
      <c r="DA396" s="663"/>
      <c r="DB396" s="663"/>
      <c r="DC396" s="663"/>
      <c r="DD396" s="663"/>
      <c r="DE396" s="663"/>
      <c r="DF396" s="663"/>
      <c r="DG396" s="663"/>
      <c r="DH396" s="663"/>
      <c r="DI396" s="663"/>
      <c r="DJ396" s="663"/>
      <c r="DK396" s="663"/>
      <c r="DL396" s="663"/>
      <c r="DM396" s="663"/>
      <c r="DN396" s="663"/>
      <c r="DO396" s="663"/>
      <c r="DP396" s="663"/>
      <c r="DQ396" s="663"/>
      <c r="DR396" s="663"/>
      <c r="DS396" s="663"/>
      <c r="DT396" s="663"/>
      <c r="DU396" s="663"/>
      <c r="DV396" s="663"/>
      <c r="DW396" s="663"/>
      <c r="DX396" s="663"/>
      <c r="DY396" s="663"/>
      <c r="DZ396" s="663"/>
      <c r="EA396" s="663"/>
      <c r="EB396" s="663"/>
      <c r="EC396" s="663"/>
      <c r="ED396" s="663"/>
      <c r="EE396" s="663"/>
      <c r="EF396" s="663"/>
      <c r="EG396" s="663"/>
      <c r="EH396" s="663"/>
      <c r="EI396" s="663"/>
      <c r="EJ396" s="663"/>
      <c r="EK396" s="663"/>
      <c r="EL396" s="663"/>
      <c r="EM396" s="663"/>
      <c r="EN396" s="663"/>
      <c r="EO396" s="663"/>
      <c r="EP396" s="663"/>
      <c r="EQ396" s="663"/>
      <c r="ER396" s="663"/>
      <c r="ES396" s="663"/>
      <c r="ET396" s="663"/>
      <c r="EU396" s="663"/>
      <c r="EV396" s="663"/>
      <c r="EW396" s="663"/>
      <c r="EX396" s="663"/>
      <c r="EY396" s="663"/>
      <c r="EZ396" s="663"/>
      <c r="FA396" s="663"/>
      <c r="FB396" s="663"/>
      <c r="FC396" s="663"/>
      <c r="FD396" s="663"/>
      <c r="FE396" s="663"/>
      <c r="FF396" s="663"/>
      <c r="FG396" s="663"/>
      <c r="FH396" s="663"/>
      <c r="FI396" s="663"/>
      <c r="FJ396" s="663"/>
      <c r="FK396" s="663"/>
      <c r="FL396" s="663"/>
      <c r="FM396" s="663"/>
      <c r="FN396" s="663"/>
      <c r="FO396" s="663"/>
      <c r="FP396" s="663"/>
      <c r="FQ396" s="663"/>
      <c r="FR396" s="663"/>
      <c r="FS396" s="663"/>
      <c r="FT396" s="663"/>
      <c r="FU396" s="663"/>
      <c r="FV396" s="663"/>
      <c r="FW396" s="663"/>
      <c r="FX396" s="663"/>
      <c r="FY396" s="663"/>
      <c r="FZ396" s="663"/>
      <c r="GA396" s="663"/>
      <c r="GB396" s="663"/>
      <c r="GC396" s="663"/>
      <c r="GD396" s="663"/>
      <c r="GE396" s="663"/>
      <c r="GF396" s="663"/>
      <c r="GG396" s="663"/>
    </row>
    <row r="397" spans="1:189">
      <c r="A397" s="670"/>
      <c r="B397" s="670"/>
      <c r="C397" s="670"/>
      <c r="D397" s="670"/>
      <c r="E397" s="670"/>
      <c r="F397" s="670"/>
      <c r="G397" s="673"/>
      <c r="H397" s="627"/>
      <c r="I397" s="627"/>
      <c r="J397" s="672"/>
      <c r="K397" s="663"/>
      <c r="L397" s="663"/>
      <c r="M397" s="663"/>
      <c r="N397" s="663"/>
      <c r="O397" s="663"/>
      <c r="P397" s="663"/>
      <c r="Q397" s="663"/>
      <c r="R397" s="663"/>
      <c r="S397" s="663"/>
      <c r="T397" s="663"/>
      <c r="U397" s="663"/>
      <c r="V397" s="663"/>
      <c r="W397" s="663"/>
      <c r="X397" s="663"/>
      <c r="Y397" s="663"/>
      <c r="Z397" s="663"/>
      <c r="AA397" s="663"/>
      <c r="AB397" s="663"/>
      <c r="AC397" s="663"/>
      <c r="AD397" s="663"/>
      <c r="AE397" s="663"/>
      <c r="AF397" s="663"/>
      <c r="AG397" s="663"/>
      <c r="AH397" s="663"/>
      <c r="AI397" s="663"/>
      <c r="AJ397" s="663"/>
      <c r="AK397" s="663"/>
      <c r="AL397" s="663"/>
      <c r="AM397" s="663"/>
      <c r="AN397" s="663"/>
      <c r="AO397" s="663"/>
      <c r="AP397" s="663"/>
      <c r="AQ397" s="663"/>
      <c r="AR397" s="663"/>
      <c r="AS397" s="663"/>
      <c r="AT397" s="663"/>
      <c r="AU397" s="663"/>
      <c r="AV397" s="663"/>
      <c r="AW397" s="663"/>
      <c r="AX397" s="663"/>
      <c r="AY397" s="663"/>
      <c r="AZ397" s="663"/>
      <c r="BA397" s="663"/>
      <c r="BB397" s="663"/>
      <c r="BC397" s="663"/>
      <c r="BD397" s="663"/>
      <c r="BE397" s="663"/>
      <c r="BF397" s="663"/>
      <c r="BG397" s="663"/>
      <c r="BH397" s="663"/>
      <c r="BI397" s="663"/>
      <c r="BJ397" s="663"/>
      <c r="BK397" s="663"/>
      <c r="BL397" s="663"/>
      <c r="BM397" s="663"/>
      <c r="BN397" s="663"/>
      <c r="BO397" s="663"/>
      <c r="BP397" s="663"/>
      <c r="BQ397" s="663"/>
      <c r="BR397" s="663"/>
      <c r="BS397" s="663"/>
      <c r="BT397" s="663"/>
      <c r="BU397" s="663"/>
      <c r="BV397" s="663"/>
      <c r="BW397" s="663"/>
      <c r="BX397" s="663"/>
      <c r="BY397" s="663"/>
      <c r="BZ397" s="663"/>
      <c r="CA397" s="663"/>
      <c r="CB397" s="663"/>
      <c r="CC397" s="663"/>
      <c r="CD397" s="663"/>
      <c r="CE397" s="663"/>
      <c r="CF397" s="663"/>
      <c r="CG397" s="663"/>
      <c r="CH397" s="663"/>
      <c r="CI397" s="663"/>
      <c r="CJ397" s="663"/>
      <c r="CK397" s="663"/>
      <c r="CL397" s="663"/>
      <c r="CM397" s="663"/>
      <c r="CN397" s="663"/>
      <c r="CO397" s="663"/>
      <c r="CP397" s="663"/>
      <c r="CQ397" s="663"/>
      <c r="CR397" s="663"/>
      <c r="CS397" s="663"/>
      <c r="CT397" s="663"/>
      <c r="CU397" s="663"/>
      <c r="CV397" s="663"/>
      <c r="CW397" s="663"/>
      <c r="CX397" s="663"/>
      <c r="CY397" s="663"/>
      <c r="CZ397" s="663"/>
      <c r="DA397" s="663"/>
      <c r="DB397" s="663"/>
      <c r="DC397" s="663"/>
      <c r="DD397" s="663"/>
      <c r="DE397" s="663"/>
      <c r="DF397" s="663"/>
      <c r="DG397" s="663"/>
      <c r="DH397" s="663"/>
      <c r="DI397" s="663"/>
      <c r="DJ397" s="663"/>
      <c r="DK397" s="663"/>
      <c r="DL397" s="663"/>
      <c r="DM397" s="663"/>
      <c r="DN397" s="663"/>
      <c r="DO397" s="663"/>
      <c r="DP397" s="663"/>
      <c r="DQ397" s="663"/>
      <c r="DR397" s="663"/>
      <c r="DS397" s="663"/>
      <c r="DT397" s="663"/>
      <c r="DU397" s="663"/>
      <c r="DV397" s="663"/>
      <c r="DW397" s="663"/>
      <c r="DX397" s="663"/>
      <c r="DY397" s="663"/>
      <c r="DZ397" s="663"/>
      <c r="EA397" s="663"/>
      <c r="EB397" s="663"/>
      <c r="EC397" s="663"/>
      <c r="ED397" s="663"/>
      <c r="EE397" s="663"/>
      <c r="EF397" s="663"/>
      <c r="EG397" s="663"/>
      <c r="EH397" s="663"/>
      <c r="EI397" s="663"/>
      <c r="EJ397" s="663"/>
      <c r="EK397" s="663"/>
      <c r="EL397" s="663"/>
      <c r="EM397" s="663"/>
      <c r="EN397" s="663"/>
      <c r="EO397" s="663"/>
      <c r="EP397" s="663"/>
      <c r="EQ397" s="663"/>
      <c r="ER397" s="663"/>
      <c r="ES397" s="663"/>
      <c r="ET397" s="663"/>
      <c r="EU397" s="663"/>
      <c r="EV397" s="663"/>
      <c r="EW397" s="663"/>
      <c r="EX397" s="663"/>
      <c r="EY397" s="663"/>
      <c r="EZ397" s="663"/>
      <c r="FA397" s="663"/>
      <c r="FB397" s="663"/>
      <c r="FC397" s="663"/>
      <c r="FD397" s="663"/>
      <c r="FE397" s="663"/>
      <c r="FF397" s="663"/>
      <c r="FG397" s="663"/>
      <c r="FH397" s="663"/>
      <c r="FI397" s="663"/>
      <c r="FJ397" s="663"/>
      <c r="FK397" s="663"/>
      <c r="FL397" s="663"/>
      <c r="FM397" s="663"/>
      <c r="FN397" s="663"/>
      <c r="FO397" s="663"/>
      <c r="FP397" s="663"/>
      <c r="FQ397" s="663"/>
      <c r="FR397" s="663"/>
      <c r="FS397" s="663"/>
      <c r="FT397" s="663"/>
      <c r="FU397" s="663"/>
      <c r="FV397" s="663"/>
      <c r="FW397" s="663"/>
      <c r="FX397" s="663"/>
      <c r="FY397" s="663"/>
      <c r="FZ397" s="663"/>
      <c r="GA397" s="663"/>
      <c r="GB397" s="663"/>
      <c r="GC397" s="663"/>
      <c r="GD397" s="663"/>
      <c r="GE397" s="663"/>
      <c r="GF397" s="663"/>
      <c r="GG397" s="663"/>
    </row>
    <row r="398" spans="1:189">
      <c r="A398" s="670"/>
      <c r="B398" s="670"/>
      <c r="C398" s="670"/>
      <c r="D398" s="670"/>
      <c r="E398" s="670"/>
      <c r="F398" s="670"/>
      <c r="G398" s="673"/>
      <c r="H398" s="627"/>
      <c r="I398" s="627"/>
      <c r="J398" s="672"/>
      <c r="K398" s="663"/>
      <c r="L398" s="663"/>
      <c r="M398" s="663"/>
      <c r="N398" s="663"/>
      <c r="O398" s="663"/>
      <c r="P398" s="663"/>
      <c r="Q398" s="663"/>
      <c r="R398" s="663"/>
      <c r="S398" s="663"/>
      <c r="T398" s="663"/>
      <c r="U398" s="663"/>
      <c r="V398" s="663"/>
      <c r="W398" s="663"/>
      <c r="X398" s="663"/>
      <c r="Y398" s="663"/>
      <c r="Z398" s="663"/>
      <c r="AA398" s="663"/>
      <c r="AB398" s="663"/>
      <c r="AC398" s="663"/>
      <c r="AD398" s="663"/>
      <c r="AE398" s="663"/>
      <c r="AF398" s="663"/>
      <c r="AG398" s="663"/>
      <c r="AH398" s="663"/>
      <c r="AI398" s="663"/>
      <c r="AJ398" s="663"/>
      <c r="AK398" s="663"/>
      <c r="AL398" s="663"/>
      <c r="AM398" s="663"/>
      <c r="AN398" s="663"/>
      <c r="AO398" s="663"/>
      <c r="AP398" s="663"/>
      <c r="AQ398" s="663"/>
      <c r="AR398" s="663"/>
      <c r="AS398" s="663"/>
      <c r="AT398" s="663"/>
      <c r="AU398" s="663"/>
      <c r="AV398" s="663"/>
      <c r="AW398" s="663"/>
      <c r="AX398" s="663"/>
      <c r="AY398" s="663"/>
      <c r="AZ398" s="663"/>
      <c r="BA398" s="663"/>
      <c r="BB398" s="663"/>
      <c r="BC398" s="663"/>
      <c r="BD398" s="663"/>
      <c r="BE398" s="663"/>
      <c r="BF398" s="663"/>
      <c r="BG398" s="663"/>
      <c r="BH398" s="663"/>
      <c r="BI398" s="663"/>
      <c r="BJ398" s="663"/>
      <c r="BK398" s="663"/>
      <c r="BL398" s="663"/>
      <c r="BM398" s="663"/>
      <c r="BN398" s="663"/>
      <c r="BO398" s="663"/>
      <c r="BP398" s="663"/>
      <c r="BQ398" s="663"/>
      <c r="BR398" s="663"/>
      <c r="BS398" s="663"/>
      <c r="BT398" s="663"/>
      <c r="BU398" s="663"/>
      <c r="BV398" s="663"/>
      <c r="BW398" s="663"/>
      <c r="BX398" s="663"/>
      <c r="BY398" s="663"/>
      <c r="BZ398" s="663"/>
      <c r="CA398" s="663"/>
      <c r="CB398" s="663"/>
      <c r="CC398" s="663"/>
      <c r="CD398" s="663"/>
      <c r="CE398" s="663"/>
      <c r="CF398" s="663"/>
      <c r="CG398" s="663"/>
      <c r="CH398" s="663"/>
      <c r="CI398" s="663"/>
      <c r="CJ398" s="663"/>
      <c r="CK398" s="663"/>
      <c r="CL398" s="663"/>
      <c r="CM398" s="663"/>
      <c r="CN398" s="663"/>
      <c r="CO398" s="663"/>
      <c r="CP398" s="663"/>
      <c r="CQ398" s="663"/>
      <c r="CR398" s="663"/>
      <c r="CS398" s="663"/>
      <c r="CT398" s="663"/>
      <c r="CU398" s="663"/>
      <c r="CV398" s="663"/>
      <c r="CW398" s="663"/>
      <c r="CX398" s="663"/>
      <c r="CY398" s="663"/>
      <c r="CZ398" s="663"/>
      <c r="DA398" s="663"/>
      <c r="DB398" s="663"/>
      <c r="DC398" s="663"/>
      <c r="DD398" s="663"/>
      <c r="DE398" s="663"/>
      <c r="DF398" s="663"/>
      <c r="DG398" s="663"/>
      <c r="DH398" s="663"/>
      <c r="DI398" s="663"/>
      <c r="DJ398" s="663"/>
      <c r="DK398" s="663"/>
      <c r="DL398" s="663"/>
      <c r="DM398" s="663"/>
      <c r="DN398" s="663"/>
      <c r="DO398" s="663"/>
      <c r="DP398" s="663"/>
      <c r="DQ398" s="663"/>
      <c r="DR398" s="663"/>
      <c r="DS398" s="663"/>
      <c r="DT398" s="663"/>
      <c r="DU398" s="663"/>
      <c r="DV398" s="663"/>
      <c r="DW398" s="663"/>
      <c r="DX398" s="663"/>
      <c r="DY398" s="663"/>
      <c r="DZ398" s="663"/>
      <c r="EA398" s="663"/>
      <c r="EB398" s="663"/>
      <c r="EC398" s="663"/>
      <c r="ED398" s="663"/>
      <c r="EE398" s="663"/>
      <c r="EF398" s="663"/>
      <c r="EG398" s="663"/>
      <c r="EH398" s="663"/>
      <c r="EI398" s="663"/>
      <c r="EJ398" s="663"/>
      <c r="EK398" s="663"/>
      <c r="EL398" s="663"/>
      <c r="EM398" s="663"/>
      <c r="EN398" s="663"/>
      <c r="EO398" s="663"/>
      <c r="EP398" s="663"/>
      <c r="EQ398" s="663"/>
      <c r="ER398" s="663"/>
      <c r="ES398" s="663"/>
      <c r="ET398" s="663"/>
      <c r="EU398" s="663"/>
      <c r="EV398" s="663"/>
      <c r="EW398" s="663"/>
      <c r="EX398" s="663"/>
      <c r="EY398" s="663"/>
      <c r="EZ398" s="663"/>
      <c r="FA398" s="663"/>
      <c r="FB398" s="663"/>
      <c r="FC398" s="663"/>
      <c r="FD398" s="663"/>
      <c r="FE398" s="663"/>
      <c r="FF398" s="663"/>
      <c r="FG398" s="663"/>
      <c r="FH398" s="663"/>
      <c r="FI398" s="663"/>
      <c r="FJ398" s="663"/>
      <c r="FK398" s="663"/>
      <c r="FL398" s="663"/>
      <c r="FM398" s="663"/>
      <c r="FN398" s="663"/>
      <c r="FO398" s="663"/>
      <c r="FP398" s="663"/>
      <c r="FQ398" s="663"/>
      <c r="FR398" s="663"/>
      <c r="FS398" s="663"/>
      <c r="FT398" s="663"/>
      <c r="FU398" s="663"/>
      <c r="FV398" s="663"/>
      <c r="FW398" s="663"/>
      <c r="FX398" s="663"/>
      <c r="FY398" s="663"/>
      <c r="FZ398" s="663"/>
      <c r="GA398" s="663"/>
      <c r="GB398" s="663"/>
      <c r="GC398" s="663"/>
      <c r="GD398" s="663"/>
      <c r="GE398" s="663"/>
      <c r="GF398" s="663"/>
      <c r="GG398" s="663"/>
    </row>
    <row r="399" spans="1:189">
      <c r="A399" s="670"/>
      <c r="B399" s="670"/>
      <c r="C399" s="670"/>
      <c r="D399" s="670"/>
      <c r="E399" s="670"/>
      <c r="F399" s="670"/>
      <c r="G399" s="673"/>
      <c r="H399" s="627"/>
      <c r="I399" s="627"/>
      <c r="J399" s="672"/>
      <c r="K399" s="663"/>
      <c r="L399" s="663"/>
      <c r="M399" s="663"/>
      <c r="N399" s="663"/>
      <c r="O399" s="663"/>
      <c r="P399" s="663"/>
      <c r="Q399" s="663"/>
      <c r="R399" s="663"/>
      <c r="S399" s="663"/>
      <c r="T399" s="663"/>
      <c r="U399" s="663"/>
      <c r="V399" s="663"/>
      <c r="W399" s="663"/>
      <c r="X399" s="663"/>
      <c r="Y399" s="663"/>
      <c r="Z399" s="663"/>
      <c r="AA399" s="663"/>
      <c r="AB399" s="663"/>
      <c r="AC399" s="663"/>
      <c r="AD399" s="663"/>
      <c r="AE399" s="663"/>
      <c r="AF399" s="663"/>
      <c r="AG399" s="663"/>
      <c r="AH399" s="663"/>
      <c r="AI399" s="663"/>
      <c r="AJ399" s="663"/>
      <c r="AK399" s="663"/>
      <c r="AL399" s="663"/>
      <c r="AM399" s="663"/>
      <c r="AN399" s="663"/>
      <c r="AO399" s="663"/>
      <c r="AP399" s="663"/>
      <c r="AQ399" s="663"/>
      <c r="AR399" s="663"/>
      <c r="AS399" s="663"/>
      <c r="AT399" s="663"/>
      <c r="AU399" s="663"/>
      <c r="AV399" s="663"/>
      <c r="AW399" s="663"/>
      <c r="AX399" s="663"/>
      <c r="AY399" s="663"/>
      <c r="AZ399" s="663"/>
      <c r="BA399" s="663"/>
      <c r="BB399" s="663"/>
      <c r="BC399" s="663"/>
      <c r="BD399" s="663"/>
      <c r="BE399" s="663"/>
      <c r="BF399" s="663"/>
      <c r="BG399" s="663"/>
      <c r="BH399" s="663"/>
      <c r="BI399" s="663"/>
      <c r="BJ399" s="663"/>
      <c r="BK399" s="663"/>
      <c r="BL399" s="663"/>
      <c r="BM399" s="663"/>
      <c r="BN399" s="663"/>
      <c r="BO399" s="663"/>
      <c r="BP399" s="663"/>
      <c r="BQ399" s="663"/>
      <c r="BR399" s="663"/>
      <c r="BS399" s="663"/>
      <c r="BT399" s="663"/>
      <c r="BU399" s="663"/>
      <c r="BV399" s="663"/>
      <c r="BW399" s="663"/>
      <c r="BX399" s="663"/>
      <c r="BY399" s="663"/>
      <c r="BZ399" s="663"/>
      <c r="CA399" s="663"/>
      <c r="CB399" s="663"/>
      <c r="CC399" s="663"/>
      <c r="CD399" s="663"/>
      <c r="CE399" s="663"/>
      <c r="CF399" s="663"/>
      <c r="CG399" s="663"/>
      <c r="CH399" s="663"/>
      <c r="CI399" s="663"/>
      <c r="CJ399" s="663"/>
      <c r="CK399" s="663"/>
      <c r="CL399" s="663"/>
      <c r="CM399" s="663"/>
      <c r="CN399" s="663"/>
      <c r="CO399" s="663"/>
      <c r="CP399" s="663"/>
      <c r="CQ399" s="663"/>
      <c r="CR399" s="663"/>
      <c r="CS399" s="663"/>
      <c r="CT399" s="663"/>
      <c r="CU399" s="663"/>
      <c r="CV399" s="663"/>
      <c r="CW399" s="663"/>
      <c r="CX399" s="663"/>
      <c r="CY399" s="663"/>
      <c r="CZ399" s="663"/>
      <c r="DA399" s="663"/>
      <c r="DB399" s="663"/>
      <c r="DC399" s="663"/>
      <c r="DD399" s="663"/>
      <c r="DE399" s="663"/>
      <c r="DF399" s="663"/>
      <c r="DG399" s="663"/>
      <c r="DH399" s="663"/>
      <c r="DI399" s="663"/>
      <c r="DJ399" s="663"/>
      <c r="DK399" s="663"/>
      <c r="DL399" s="663"/>
      <c r="DM399" s="663"/>
      <c r="DN399" s="663"/>
      <c r="DO399" s="663"/>
      <c r="DP399" s="663"/>
      <c r="DQ399" s="663"/>
      <c r="DR399" s="663"/>
      <c r="DS399" s="663"/>
      <c r="DT399" s="663"/>
      <c r="DU399" s="663"/>
      <c r="DV399" s="663"/>
      <c r="DW399" s="663"/>
      <c r="DX399" s="663"/>
      <c r="DY399" s="663"/>
      <c r="DZ399" s="663"/>
      <c r="EA399" s="663"/>
      <c r="EB399" s="663"/>
      <c r="EC399" s="663"/>
      <c r="ED399" s="663"/>
      <c r="EE399" s="663"/>
      <c r="EF399" s="663"/>
      <c r="EG399" s="663"/>
      <c r="EH399" s="663"/>
      <c r="EI399" s="663"/>
      <c r="EJ399" s="663"/>
      <c r="EK399" s="663"/>
      <c r="EL399" s="663"/>
      <c r="EM399" s="663"/>
      <c r="EN399" s="663"/>
      <c r="EO399" s="663"/>
      <c r="EP399" s="663"/>
      <c r="EQ399" s="663"/>
      <c r="ER399" s="663"/>
      <c r="ES399" s="663"/>
      <c r="ET399" s="663"/>
      <c r="EU399" s="663"/>
      <c r="EV399" s="663"/>
      <c r="EW399" s="663"/>
      <c r="EX399" s="663"/>
      <c r="EY399" s="663"/>
      <c r="EZ399" s="663"/>
      <c r="FA399" s="663"/>
      <c r="FB399" s="663"/>
      <c r="FC399" s="663"/>
      <c r="FD399" s="663"/>
      <c r="FE399" s="663"/>
      <c r="FF399" s="663"/>
      <c r="FG399" s="663"/>
      <c r="FH399" s="663"/>
      <c r="FI399" s="663"/>
      <c r="FJ399" s="663"/>
      <c r="FK399" s="663"/>
      <c r="FL399" s="663"/>
      <c r="FM399" s="663"/>
      <c r="FN399" s="663"/>
      <c r="FO399" s="663"/>
      <c r="FP399" s="663"/>
      <c r="FQ399" s="663"/>
      <c r="FR399" s="663"/>
      <c r="FS399" s="663"/>
      <c r="FT399" s="663"/>
      <c r="FU399" s="663"/>
      <c r="FV399" s="663"/>
      <c r="FW399" s="663"/>
      <c r="FX399" s="663"/>
      <c r="FY399" s="663"/>
      <c r="FZ399" s="663"/>
      <c r="GA399" s="663"/>
      <c r="GB399" s="663"/>
      <c r="GC399" s="663"/>
      <c r="GD399" s="663"/>
      <c r="GE399" s="663"/>
      <c r="GF399" s="663"/>
      <c r="GG399" s="663"/>
    </row>
    <row r="400" spans="1:189">
      <c r="A400" s="670"/>
      <c r="B400" s="670"/>
      <c r="C400" s="670"/>
      <c r="D400" s="670"/>
      <c r="E400" s="670"/>
      <c r="F400" s="670"/>
      <c r="G400" s="673"/>
      <c r="H400" s="627"/>
      <c r="I400" s="627"/>
      <c r="J400" s="672"/>
      <c r="K400" s="663"/>
      <c r="L400" s="663"/>
      <c r="M400" s="663"/>
      <c r="N400" s="663"/>
      <c r="O400" s="663"/>
      <c r="P400" s="663"/>
      <c r="Q400" s="663"/>
      <c r="R400" s="663"/>
      <c r="S400" s="663"/>
      <c r="T400" s="663"/>
      <c r="U400" s="663"/>
      <c r="V400" s="663"/>
      <c r="W400" s="663"/>
      <c r="X400" s="663"/>
      <c r="Y400" s="663"/>
      <c r="Z400" s="663"/>
      <c r="AA400" s="663"/>
      <c r="AB400" s="663"/>
      <c r="AC400" s="663"/>
      <c r="AD400" s="663"/>
      <c r="AE400" s="663"/>
      <c r="AF400" s="663"/>
      <c r="AG400" s="663"/>
      <c r="AH400" s="663"/>
      <c r="AI400" s="663"/>
      <c r="AJ400" s="663"/>
      <c r="AK400" s="663"/>
      <c r="AL400" s="663"/>
      <c r="AM400" s="663"/>
      <c r="AN400" s="663"/>
      <c r="AO400" s="663"/>
      <c r="AP400" s="663"/>
      <c r="AQ400" s="663"/>
      <c r="AR400" s="663"/>
      <c r="AS400" s="663"/>
      <c r="AT400" s="663"/>
      <c r="AU400" s="663"/>
      <c r="AV400" s="663"/>
      <c r="AW400" s="663"/>
      <c r="AX400" s="663"/>
      <c r="AY400" s="663"/>
      <c r="AZ400" s="663"/>
      <c r="BA400" s="663"/>
      <c r="BB400" s="663"/>
      <c r="BC400" s="663"/>
      <c r="BD400" s="663"/>
      <c r="BE400" s="663"/>
      <c r="BF400" s="663"/>
      <c r="BG400" s="663"/>
      <c r="BH400" s="663"/>
      <c r="BI400" s="663"/>
      <c r="BJ400" s="663"/>
      <c r="BK400" s="663"/>
      <c r="BL400" s="663"/>
      <c r="BM400" s="663"/>
      <c r="BN400" s="663"/>
      <c r="BO400" s="663"/>
      <c r="BP400" s="663"/>
      <c r="BQ400" s="663"/>
      <c r="BR400" s="663"/>
      <c r="BS400" s="663"/>
      <c r="BT400" s="663"/>
      <c r="BU400" s="663"/>
      <c r="BV400" s="663"/>
      <c r="BW400" s="663"/>
      <c r="BX400" s="663"/>
      <c r="BY400" s="663"/>
      <c r="BZ400" s="663"/>
      <c r="CA400" s="663"/>
      <c r="CB400" s="663"/>
      <c r="CC400" s="663"/>
      <c r="CD400" s="663"/>
      <c r="CE400" s="663"/>
      <c r="CF400" s="663"/>
      <c r="CG400" s="663"/>
      <c r="CH400" s="663"/>
      <c r="CI400" s="663"/>
      <c r="CJ400" s="663"/>
      <c r="CK400" s="663"/>
      <c r="CL400" s="663"/>
      <c r="CM400" s="663"/>
      <c r="CN400" s="663"/>
      <c r="CO400" s="663"/>
      <c r="CP400" s="663"/>
      <c r="CQ400" s="663"/>
      <c r="CR400" s="663"/>
      <c r="CS400" s="663"/>
      <c r="CT400" s="663"/>
      <c r="CU400" s="663"/>
      <c r="CV400" s="663"/>
      <c r="CW400" s="663"/>
      <c r="CX400" s="663"/>
      <c r="CY400" s="663"/>
      <c r="CZ400" s="663"/>
      <c r="DA400" s="663"/>
      <c r="DB400" s="663"/>
      <c r="DC400" s="663"/>
      <c r="DD400" s="663"/>
      <c r="DE400" s="663"/>
      <c r="DF400" s="663"/>
      <c r="DG400" s="663"/>
      <c r="DH400" s="663"/>
      <c r="DI400" s="663"/>
      <c r="DJ400" s="663"/>
      <c r="DK400" s="663"/>
      <c r="DL400" s="663"/>
      <c r="DM400" s="663"/>
      <c r="DN400" s="663"/>
      <c r="DO400" s="663"/>
      <c r="DP400" s="663"/>
      <c r="DQ400" s="663"/>
      <c r="DR400" s="663"/>
      <c r="DS400" s="663"/>
      <c r="DT400" s="663"/>
      <c r="DU400" s="663"/>
      <c r="DV400" s="663"/>
      <c r="DW400" s="663"/>
      <c r="DX400" s="663"/>
      <c r="DY400" s="663"/>
      <c r="DZ400" s="663"/>
      <c r="EA400" s="663"/>
      <c r="EB400" s="663"/>
      <c r="EC400" s="663"/>
      <c r="ED400" s="663"/>
      <c r="EE400" s="663"/>
      <c r="EF400" s="663"/>
      <c r="EG400" s="663"/>
      <c r="EH400" s="663"/>
      <c r="EI400" s="663"/>
      <c r="EJ400" s="663"/>
      <c r="EK400" s="663"/>
      <c r="EL400" s="663"/>
      <c r="EM400" s="663"/>
      <c r="EN400" s="663"/>
      <c r="EO400" s="663"/>
      <c r="EP400" s="663"/>
      <c r="EQ400" s="663"/>
      <c r="ER400" s="663"/>
      <c r="ES400" s="663"/>
      <c r="ET400" s="663"/>
      <c r="EU400" s="663"/>
      <c r="EV400" s="663"/>
      <c r="EW400" s="663"/>
      <c r="EX400" s="663"/>
      <c r="EY400" s="663"/>
      <c r="EZ400" s="663"/>
      <c r="FA400" s="663"/>
      <c r="FB400" s="663"/>
      <c r="FC400" s="663"/>
      <c r="FD400" s="663"/>
      <c r="FE400" s="663"/>
      <c r="FF400" s="663"/>
      <c r="FG400" s="663"/>
      <c r="FH400" s="663"/>
      <c r="FI400" s="663"/>
      <c r="FJ400" s="663"/>
      <c r="FK400" s="663"/>
      <c r="FL400" s="663"/>
      <c r="FM400" s="663"/>
      <c r="FN400" s="663"/>
      <c r="FO400" s="663"/>
      <c r="FP400" s="663"/>
      <c r="FQ400" s="663"/>
      <c r="FR400" s="663"/>
      <c r="FS400" s="663"/>
      <c r="FT400" s="663"/>
      <c r="FU400" s="663"/>
      <c r="FV400" s="663"/>
      <c r="FW400" s="663"/>
      <c r="FX400" s="663"/>
      <c r="FY400" s="663"/>
      <c r="FZ400" s="663"/>
      <c r="GA400" s="663"/>
      <c r="GB400" s="663"/>
      <c r="GC400" s="663"/>
      <c r="GD400" s="663"/>
      <c r="GE400" s="663"/>
      <c r="GF400" s="663"/>
      <c r="GG400" s="663"/>
    </row>
    <row r="401" spans="1:189">
      <c r="A401" s="670"/>
      <c r="B401" s="670"/>
      <c r="C401" s="670"/>
      <c r="D401" s="670"/>
      <c r="E401" s="670"/>
      <c r="F401" s="670"/>
      <c r="G401" s="673"/>
      <c r="H401" s="627"/>
      <c r="I401" s="627"/>
      <c r="J401" s="672"/>
      <c r="K401" s="663"/>
      <c r="L401" s="663"/>
      <c r="M401" s="663"/>
      <c r="N401" s="663"/>
      <c r="O401" s="663"/>
      <c r="P401" s="663"/>
      <c r="Q401" s="663"/>
      <c r="R401" s="663"/>
      <c r="S401" s="663"/>
      <c r="T401" s="663"/>
      <c r="U401" s="663"/>
      <c r="V401" s="663"/>
      <c r="W401" s="663"/>
      <c r="X401" s="663"/>
      <c r="Y401" s="663"/>
      <c r="Z401" s="663"/>
      <c r="AA401" s="663"/>
      <c r="AB401" s="663"/>
      <c r="AC401" s="663"/>
      <c r="AD401" s="663"/>
      <c r="AE401" s="663"/>
      <c r="AF401" s="663"/>
      <c r="AG401" s="663"/>
      <c r="AH401" s="663"/>
      <c r="AI401" s="663"/>
      <c r="AJ401" s="663"/>
      <c r="AK401" s="663"/>
      <c r="AL401" s="663"/>
      <c r="AM401" s="663"/>
      <c r="AN401" s="663"/>
      <c r="AO401" s="663"/>
      <c r="AP401" s="663"/>
      <c r="AQ401" s="663"/>
      <c r="AR401" s="663"/>
      <c r="AS401" s="663"/>
      <c r="AT401" s="663"/>
      <c r="AU401" s="663"/>
      <c r="AV401" s="663"/>
      <c r="AW401" s="663"/>
      <c r="AX401" s="663"/>
      <c r="AY401" s="663"/>
      <c r="AZ401" s="663"/>
      <c r="BA401" s="663"/>
      <c r="BB401" s="663"/>
      <c r="BC401" s="663"/>
      <c r="BD401" s="663"/>
      <c r="BE401" s="663"/>
      <c r="BF401" s="663"/>
      <c r="BG401" s="663"/>
      <c r="BH401" s="663"/>
      <c r="BI401" s="663"/>
      <c r="BJ401" s="663"/>
      <c r="BK401" s="663"/>
      <c r="BL401" s="663"/>
      <c r="BM401" s="663"/>
      <c r="BN401" s="663"/>
      <c r="BO401" s="663"/>
      <c r="BP401" s="663"/>
      <c r="BQ401" s="663"/>
      <c r="BR401" s="663"/>
      <c r="BS401" s="663"/>
      <c r="BT401" s="663"/>
      <c r="BU401" s="663"/>
      <c r="BV401" s="663"/>
      <c r="BW401" s="663"/>
      <c r="BX401" s="663"/>
      <c r="BY401" s="663"/>
      <c r="BZ401" s="663"/>
      <c r="CA401" s="663"/>
      <c r="CB401" s="663"/>
      <c r="CC401" s="663"/>
      <c r="CD401" s="663"/>
      <c r="CE401" s="663"/>
      <c r="CF401" s="663"/>
      <c r="CG401" s="663"/>
      <c r="CH401" s="663"/>
      <c r="CI401" s="663"/>
      <c r="CJ401" s="663"/>
      <c r="CK401" s="663"/>
      <c r="CL401" s="663"/>
      <c r="CM401" s="663"/>
      <c r="CN401" s="663"/>
      <c r="CO401" s="663"/>
      <c r="CP401" s="663"/>
      <c r="CQ401" s="663"/>
      <c r="CR401" s="663"/>
      <c r="CS401" s="663"/>
      <c r="CT401" s="663"/>
      <c r="CU401" s="663"/>
      <c r="CV401" s="663"/>
      <c r="CW401" s="663"/>
      <c r="CX401" s="663"/>
      <c r="CY401" s="663"/>
      <c r="CZ401" s="663"/>
      <c r="DA401" s="663"/>
      <c r="DB401" s="663"/>
      <c r="DC401" s="663"/>
      <c r="DD401" s="663"/>
      <c r="DE401" s="663"/>
      <c r="DF401" s="663"/>
      <c r="DG401" s="663"/>
      <c r="DH401" s="663"/>
      <c r="DI401" s="663"/>
      <c r="DJ401" s="663"/>
      <c r="DK401" s="663"/>
      <c r="DL401" s="663"/>
      <c r="DM401" s="663"/>
      <c r="DN401" s="663"/>
      <c r="DO401" s="663"/>
      <c r="DP401" s="663"/>
      <c r="DQ401" s="663"/>
      <c r="DR401" s="663"/>
      <c r="DS401" s="663"/>
      <c r="DT401" s="663"/>
      <c r="DU401" s="663"/>
      <c r="DV401" s="663"/>
      <c r="DW401" s="663"/>
      <c r="DX401" s="663"/>
      <c r="DY401" s="663"/>
      <c r="DZ401" s="663"/>
      <c r="EA401" s="663"/>
      <c r="EB401" s="663"/>
      <c r="EC401" s="663"/>
      <c r="ED401" s="663"/>
      <c r="EE401" s="663"/>
      <c r="EF401" s="663"/>
      <c r="EG401" s="663"/>
      <c r="EH401" s="663"/>
      <c r="EI401" s="663"/>
      <c r="EJ401" s="663"/>
      <c r="EK401" s="663"/>
      <c r="EL401" s="663"/>
      <c r="EM401" s="663"/>
      <c r="EN401" s="663"/>
      <c r="EO401" s="663"/>
      <c r="EP401" s="663"/>
      <c r="EQ401" s="663"/>
      <c r="ER401" s="663"/>
      <c r="ES401" s="663"/>
      <c r="ET401" s="663"/>
      <c r="EU401" s="663"/>
      <c r="EV401" s="663"/>
      <c r="EW401" s="663"/>
      <c r="EX401" s="663"/>
      <c r="EY401" s="663"/>
      <c r="EZ401" s="663"/>
      <c r="FA401" s="663"/>
      <c r="FB401" s="663"/>
      <c r="FC401" s="663"/>
      <c r="FD401" s="663"/>
      <c r="FE401" s="663"/>
      <c r="FF401" s="663"/>
      <c r="FG401" s="663"/>
      <c r="FH401" s="663"/>
      <c r="FI401" s="663"/>
      <c r="FJ401" s="663"/>
      <c r="FK401" s="663"/>
      <c r="FL401" s="663"/>
      <c r="FM401" s="663"/>
      <c r="FN401" s="663"/>
      <c r="FO401" s="663"/>
      <c r="FP401" s="663"/>
      <c r="FQ401" s="663"/>
      <c r="FR401" s="663"/>
      <c r="FS401" s="663"/>
      <c r="FT401" s="663"/>
      <c r="FU401" s="663"/>
      <c r="FV401" s="663"/>
      <c r="FW401" s="663"/>
      <c r="FX401" s="663"/>
      <c r="FY401" s="663"/>
      <c r="FZ401" s="663"/>
      <c r="GA401" s="663"/>
      <c r="GB401" s="663"/>
      <c r="GC401" s="663"/>
      <c r="GD401" s="663"/>
      <c r="GE401" s="663"/>
      <c r="GF401" s="663"/>
      <c r="GG401" s="663"/>
    </row>
    <row r="402" spans="1:189">
      <c r="A402" s="670"/>
      <c r="B402" s="670"/>
      <c r="C402" s="670"/>
      <c r="D402" s="670"/>
      <c r="E402" s="670"/>
      <c r="F402" s="670"/>
      <c r="G402" s="673"/>
      <c r="H402" s="627"/>
      <c r="I402" s="627"/>
      <c r="J402" s="672"/>
      <c r="K402" s="663"/>
      <c r="L402" s="663"/>
      <c r="M402" s="663"/>
      <c r="N402" s="663"/>
      <c r="O402" s="663"/>
      <c r="P402" s="663"/>
      <c r="Q402" s="663"/>
      <c r="R402" s="663"/>
      <c r="S402" s="663"/>
      <c r="T402" s="663"/>
      <c r="U402" s="663"/>
      <c r="V402" s="663"/>
      <c r="W402" s="663"/>
      <c r="X402" s="663"/>
      <c r="Y402" s="663"/>
      <c r="Z402" s="663"/>
      <c r="AA402" s="663"/>
      <c r="AB402" s="663"/>
      <c r="AC402" s="663"/>
      <c r="AD402" s="663"/>
      <c r="AE402" s="663"/>
      <c r="AF402" s="663"/>
      <c r="AG402" s="663"/>
      <c r="AH402" s="663"/>
      <c r="AI402" s="663"/>
      <c r="AJ402" s="663"/>
      <c r="AK402" s="663"/>
      <c r="AL402" s="663"/>
      <c r="AM402" s="663"/>
      <c r="AN402" s="663"/>
      <c r="AO402" s="663"/>
      <c r="AP402" s="663"/>
      <c r="AQ402" s="663"/>
      <c r="AR402" s="663"/>
      <c r="AS402" s="663"/>
      <c r="AT402" s="663"/>
      <c r="AU402" s="663"/>
      <c r="AV402" s="663"/>
      <c r="AW402" s="663"/>
      <c r="AX402" s="663"/>
      <c r="AY402" s="663"/>
      <c r="AZ402" s="663"/>
      <c r="BA402" s="663"/>
      <c r="BB402" s="663"/>
      <c r="BC402" s="663"/>
      <c r="BD402" s="663"/>
      <c r="BE402" s="663"/>
      <c r="BF402" s="663"/>
      <c r="BG402" s="663"/>
      <c r="BH402" s="663"/>
      <c r="BI402" s="663"/>
      <c r="BJ402" s="663"/>
      <c r="BK402" s="663"/>
      <c r="BL402" s="663"/>
      <c r="BM402" s="663"/>
      <c r="BN402" s="663"/>
      <c r="BO402" s="663"/>
      <c r="BP402" s="663"/>
      <c r="BQ402" s="663"/>
      <c r="BR402" s="663"/>
      <c r="BS402" s="663"/>
      <c r="BT402" s="663"/>
      <c r="BU402" s="663"/>
      <c r="BV402" s="663"/>
      <c r="BW402" s="663"/>
      <c r="BX402" s="663"/>
      <c r="BY402" s="663"/>
      <c r="BZ402" s="663"/>
      <c r="CA402" s="663"/>
      <c r="CB402" s="663"/>
      <c r="CC402" s="663"/>
      <c r="CD402" s="663"/>
      <c r="CE402" s="663"/>
      <c r="CF402" s="663"/>
      <c r="CG402" s="663"/>
      <c r="CH402" s="663"/>
      <c r="CI402" s="663"/>
      <c r="CJ402" s="663"/>
      <c r="CK402" s="663"/>
      <c r="CL402" s="663"/>
      <c r="CM402" s="663"/>
      <c r="CN402" s="663"/>
      <c r="CO402" s="663"/>
      <c r="CP402" s="663"/>
      <c r="CQ402" s="663"/>
      <c r="CR402" s="663"/>
      <c r="CS402" s="663"/>
      <c r="CT402" s="663"/>
      <c r="CU402" s="663"/>
      <c r="CV402" s="663"/>
      <c r="CW402" s="663"/>
      <c r="CX402" s="663"/>
      <c r="CY402" s="663"/>
      <c r="CZ402" s="663"/>
      <c r="DA402" s="663"/>
      <c r="DB402" s="663"/>
      <c r="DC402" s="663"/>
      <c r="DD402" s="663"/>
      <c r="DE402" s="663"/>
      <c r="DF402" s="663"/>
      <c r="DG402" s="663"/>
      <c r="DH402" s="663"/>
      <c r="DI402" s="663"/>
      <c r="DJ402" s="663"/>
      <c r="DK402" s="663"/>
      <c r="DL402" s="663"/>
      <c r="DM402" s="663"/>
      <c r="DN402" s="663"/>
      <c r="DO402" s="663"/>
      <c r="DP402" s="663"/>
      <c r="DQ402" s="663"/>
      <c r="DR402" s="663"/>
      <c r="DS402" s="663"/>
      <c r="DT402" s="663"/>
      <c r="DU402" s="663"/>
      <c r="DV402" s="663"/>
      <c r="DW402" s="663"/>
      <c r="DX402" s="663"/>
      <c r="DY402" s="663"/>
      <c r="DZ402" s="663"/>
      <c r="EA402" s="663"/>
      <c r="EB402" s="663"/>
      <c r="EC402" s="663"/>
      <c r="ED402" s="663"/>
      <c r="EE402" s="663"/>
      <c r="EF402" s="663"/>
      <c r="EG402" s="663"/>
      <c r="EH402" s="663"/>
      <c r="EI402" s="663"/>
      <c r="EJ402" s="663"/>
      <c r="EK402" s="663"/>
      <c r="EL402" s="663"/>
      <c r="EM402" s="663"/>
      <c r="EN402" s="663"/>
      <c r="EO402" s="663"/>
      <c r="EP402" s="663"/>
      <c r="EQ402" s="663"/>
      <c r="ER402" s="663"/>
      <c r="ES402" s="663"/>
      <c r="ET402" s="663"/>
      <c r="EU402" s="663"/>
      <c r="EV402" s="663"/>
      <c r="EW402" s="663"/>
      <c r="EX402" s="663"/>
      <c r="EY402" s="663"/>
      <c r="EZ402" s="663"/>
      <c r="FA402" s="663"/>
      <c r="FB402" s="663"/>
      <c r="FC402" s="663"/>
      <c r="FD402" s="663"/>
      <c r="FE402" s="663"/>
      <c r="FF402" s="663"/>
      <c r="FG402" s="663"/>
      <c r="FH402" s="663"/>
      <c r="FI402" s="663"/>
      <c r="FJ402" s="663"/>
      <c r="FK402" s="663"/>
      <c r="FL402" s="663"/>
      <c r="FM402" s="663"/>
      <c r="FN402" s="663"/>
      <c r="FO402" s="663"/>
      <c r="FP402" s="663"/>
      <c r="FQ402" s="663"/>
      <c r="FR402" s="663"/>
      <c r="FS402" s="663"/>
      <c r="FT402" s="663"/>
      <c r="FU402" s="663"/>
      <c r="FV402" s="663"/>
      <c r="FW402" s="663"/>
      <c r="FX402" s="663"/>
      <c r="FY402" s="663"/>
      <c r="FZ402" s="663"/>
      <c r="GA402" s="663"/>
      <c r="GB402" s="663"/>
      <c r="GC402" s="663"/>
      <c r="GD402" s="663"/>
      <c r="GE402" s="663"/>
      <c r="GF402" s="663"/>
      <c r="GG402" s="663"/>
    </row>
    <row r="403" spans="1:189">
      <c r="A403" s="670"/>
      <c r="B403" s="670"/>
      <c r="C403" s="670"/>
      <c r="D403" s="670"/>
      <c r="E403" s="670"/>
      <c r="F403" s="670"/>
      <c r="G403" s="673"/>
      <c r="H403" s="627"/>
      <c r="I403" s="627"/>
      <c r="J403" s="672"/>
      <c r="K403" s="663"/>
      <c r="L403" s="663"/>
      <c r="M403" s="663"/>
      <c r="N403" s="663"/>
      <c r="O403" s="663"/>
      <c r="P403" s="663"/>
      <c r="Q403" s="663"/>
      <c r="R403" s="663"/>
      <c r="S403" s="663"/>
      <c r="T403" s="663"/>
      <c r="U403" s="663"/>
      <c r="V403" s="663"/>
      <c r="W403" s="663"/>
      <c r="X403" s="663"/>
      <c r="Y403" s="663"/>
      <c r="Z403" s="663"/>
      <c r="AA403" s="663"/>
      <c r="AB403" s="663"/>
      <c r="AC403" s="663"/>
      <c r="AD403" s="663"/>
      <c r="AE403" s="663"/>
      <c r="AF403" s="663"/>
      <c r="AG403" s="663"/>
      <c r="AH403" s="663"/>
      <c r="AI403" s="663"/>
      <c r="AJ403" s="663"/>
      <c r="AK403" s="663"/>
      <c r="AL403" s="663"/>
      <c r="AM403" s="663"/>
      <c r="AN403" s="663"/>
      <c r="AO403" s="663"/>
      <c r="AP403" s="663"/>
      <c r="AQ403" s="663"/>
      <c r="AR403" s="663"/>
      <c r="AS403" s="663"/>
      <c r="AT403" s="663"/>
      <c r="AU403" s="663"/>
      <c r="AV403" s="663"/>
      <c r="AW403" s="663"/>
      <c r="AX403" s="663"/>
      <c r="AY403" s="663"/>
      <c r="AZ403" s="663"/>
      <c r="BA403" s="663"/>
      <c r="BB403" s="663"/>
      <c r="BC403" s="663"/>
      <c r="BD403" s="663"/>
      <c r="BE403" s="663"/>
      <c r="BF403" s="663"/>
      <c r="BG403" s="663"/>
      <c r="BH403" s="663"/>
      <c r="BI403" s="663"/>
      <c r="BJ403" s="663"/>
      <c r="BK403" s="663"/>
      <c r="BL403" s="663"/>
      <c r="BM403" s="663"/>
      <c r="BN403" s="663"/>
      <c r="BO403" s="663"/>
      <c r="BP403" s="663"/>
      <c r="BQ403" s="663"/>
      <c r="BR403" s="663"/>
      <c r="BS403" s="663"/>
      <c r="BT403" s="663"/>
      <c r="BU403" s="663"/>
      <c r="BV403" s="663"/>
      <c r="BW403" s="663"/>
      <c r="BX403" s="663"/>
      <c r="BY403" s="663"/>
      <c r="BZ403" s="663"/>
      <c r="CA403" s="663"/>
      <c r="CB403" s="663"/>
      <c r="CC403" s="663"/>
      <c r="CD403" s="663"/>
      <c r="CE403" s="663"/>
      <c r="CF403" s="663"/>
      <c r="CG403" s="663"/>
      <c r="CH403" s="663"/>
      <c r="CI403" s="663"/>
      <c r="CJ403" s="663"/>
      <c r="CK403" s="663"/>
      <c r="CL403" s="663"/>
      <c r="CM403" s="663"/>
      <c r="CN403" s="663"/>
      <c r="CO403" s="663"/>
      <c r="CP403" s="663"/>
      <c r="CQ403" s="663"/>
      <c r="CR403" s="663"/>
      <c r="CS403" s="663"/>
      <c r="CT403" s="663"/>
      <c r="CU403" s="663"/>
      <c r="CV403" s="663"/>
      <c r="CW403" s="663"/>
      <c r="CX403" s="663"/>
      <c r="CY403" s="663"/>
      <c r="CZ403" s="663"/>
      <c r="DA403" s="663"/>
      <c r="DB403" s="663"/>
      <c r="DC403" s="663"/>
      <c r="DD403" s="663"/>
      <c r="DE403" s="663"/>
      <c r="DF403" s="663"/>
      <c r="DG403" s="663"/>
      <c r="DH403" s="663"/>
      <c r="DI403" s="663"/>
      <c r="DJ403" s="663"/>
      <c r="DK403" s="663"/>
      <c r="DL403" s="663"/>
      <c r="DM403" s="663"/>
      <c r="DN403" s="663"/>
      <c r="DO403" s="663"/>
      <c r="DP403" s="663"/>
      <c r="DQ403" s="663"/>
      <c r="DR403" s="663"/>
      <c r="DS403" s="663"/>
      <c r="DT403" s="663"/>
      <c r="DU403" s="663"/>
      <c r="DV403" s="663"/>
      <c r="DW403" s="663"/>
      <c r="DX403" s="663"/>
      <c r="DY403" s="663"/>
      <c r="DZ403" s="663"/>
      <c r="EA403" s="663"/>
      <c r="EB403" s="663"/>
      <c r="EC403" s="663"/>
      <c r="ED403" s="663"/>
      <c r="EE403" s="663"/>
      <c r="EF403" s="663"/>
      <c r="EG403" s="663"/>
      <c r="EH403" s="663"/>
      <c r="EI403" s="663"/>
      <c r="EJ403" s="663"/>
      <c r="EK403" s="663"/>
      <c r="EL403" s="663"/>
      <c r="EM403" s="663"/>
      <c r="EN403" s="663"/>
      <c r="EO403" s="663"/>
      <c r="EP403" s="663"/>
      <c r="EQ403" s="663"/>
      <c r="ER403" s="663"/>
      <c r="ES403" s="663"/>
      <c r="ET403" s="663"/>
      <c r="EU403" s="663"/>
      <c r="EV403" s="663"/>
      <c r="EW403" s="663"/>
      <c r="EX403" s="663"/>
      <c r="EY403" s="663"/>
      <c r="EZ403" s="663"/>
      <c r="FA403" s="663"/>
      <c r="FB403" s="663"/>
      <c r="FC403" s="663"/>
      <c r="FD403" s="663"/>
      <c r="FE403" s="663"/>
      <c r="FF403" s="663"/>
      <c r="FG403" s="663"/>
      <c r="FH403" s="663"/>
      <c r="FI403" s="663"/>
      <c r="FJ403" s="663"/>
      <c r="FK403" s="663"/>
      <c r="FL403" s="663"/>
      <c r="FM403" s="663"/>
      <c r="FN403" s="663"/>
      <c r="FO403" s="663"/>
      <c r="FP403" s="663"/>
      <c r="FQ403" s="663"/>
      <c r="FR403" s="663"/>
      <c r="FS403" s="663"/>
      <c r="FT403" s="663"/>
      <c r="FU403" s="663"/>
      <c r="FV403" s="663"/>
      <c r="FW403" s="663"/>
      <c r="FX403" s="663"/>
      <c r="FY403" s="663"/>
      <c r="FZ403" s="663"/>
      <c r="GA403" s="663"/>
      <c r="GB403" s="663"/>
      <c r="GC403" s="663"/>
      <c r="GD403" s="663"/>
      <c r="GE403" s="663"/>
      <c r="GF403" s="663"/>
      <c r="GG403" s="663"/>
    </row>
    <row r="404" spans="1:189">
      <c r="A404" s="670"/>
      <c r="B404" s="670"/>
      <c r="C404" s="670"/>
      <c r="D404" s="670"/>
      <c r="E404" s="670"/>
      <c r="F404" s="670"/>
      <c r="G404" s="673"/>
      <c r="H404" s="627"/>
      <c r="I404" s="627"/>
      <c r="J404" s="672"/>
      <c r="K404" s="663"/>
      <c r="L404" s="663"/>
      <c r="M404" s="663"/>
      <c r="N404" s="663"/>
      <c r="O404" s="663"/>
      <c r="P404" s="663"/>
      <c r="Q404" s="663"/>
      <c r="R404" s="663"/>
      <c r="S404" s="663"/>
      <c r="T404" s="663"/>
      <c r="U404" s="663"/>
      <c r="V404" s="663"/>
      <c r="W404" s="663"/>
      <c r="X404" s="663"/>
      <c r="Y404" s="663"/>
      <c r="Z404" s="663"/>
      <c r="AA404" s="663"/>
      <c r="AB404" s="663"/>
      <c r="AC404" s="663"/>
      <c r="AD404" s="663"/>
      <c r="AE404" s="663"/>
      <c r="AF404" s="663"/>
      <c r="AG404" s="663"/>
      <c r="AH404" s="663"/>
      <c r="AI404" s="663"/>
      <c r="AJ404" s="663"/>
      <c r="AK404" s="663"/>
      <c r="AL404" s="663"/>
      <c r="AM404" s="663"/>
      <c r="AN404" s="663"/>
      <c r="AO404" s="663"/>
      <c r="AP404" s="663"/>
      <c r="AQ404" s="663"/>
      <c r="AR404" s="663"/>
      <c r="AS404" s="663"/>
      <c r="AT404" s="663"/>
      <c r="AU404" s="663"/>
      <c r="AV404" s="663"/>
      <c r="AW404" s="663"/>
      <c r="AX404" s="663"/>
      <c r="AY404" s="663"/>
      <c r="AZ404" s="663"/>
      <c r="BA404" s="663"/>
      <c r="BB404" s="663"/>
      <c r="BC404" s="663"/>
      <c r="BD404" s="663"/>
      <c r="BE404" s="663"/>
      <c r="BF404" s="663"/>
      <c r="BG404" s="663"/>
      <c r="BH404" s="663"/>
      <c r="BI404" s="663"/>
      <c r="BJ404" s="663"/>
      <c r="BK404" s="663"/>
      <c r="BL404" s="663"/>
      <c r="BM404" s="663"/>
      <c r="BN404" s="663"/>
      <c r="BO404" s="663"/>
      <c r="BP404" s="663"/>
      <c r="BQ404" s="663"/>
      <c r="BR404" s="663"/>
      <c r="BS404" s="663"/>
      <c r="BT404" s="663"/>
      <c r="BU404" s="663"/>
      <c r="BV404" s="663"/>
      <c r="BW404" s="663"/>
      <c r="BX404" s="663"/>
      <c r="BY404" s="663"/>
      <c r="BZ404" s="663"/>
      <c r="CA404" s="663"/>
      <c r="CB404" s="663"/>
      <c r="CC404" s="663"/>
      <c r="CD404" s="663"/>
      <c r="CE404" s="663"/>
      <c r="CF404" s="663"/>
      <c r="CG404" s="663"/>
      <c r="CH404" s="663"/>
      <c r="CI404" s="663"/>
      <c r="CJ404" s="663"/>
      <c r="CK404" s="663"/>
      <c r="CL404" s="663"/>
      <c r="CM404" s="663"/>
      <c r="CN404" s="663"/>
      <c r="CO404" s="663"/>
      <c r="CP404" s="663"/>
      <c r="CQ404" s="663"/>
      <c r="CR404" s="663"/>
      <c r="CS404" s="663"/>
      <c r="CT404" s="663"/>
      <c r="CU404" s="663"/>
      <c r="CV404" s="663"/>
      <c r="CW404" s="663"/>
      <c r="CX404" s="663"/>
      <c r="CY404" s="663"/>
      <c r="CZ404" s="663"/>
      <c r="DA404" s="663"/>
      <c r="DB404" s="663"/>
      <c r="DC404" s="663"/>
      <c r="DD404" s="663"/>
      <c r="DE404" s="663"/>
      <c r="DF404" s="663"/>
      <c r="DG404" s="663"/>
      <c r="DH404" s="663"/>
      <c r="DI404" s="663"/>
      <c r="DJ404" s="663"/>
      <c r="DK404" s="663"/>
      <c r="DL404" s="663"/>
      <c r="DM404" s="663"/>
      <c r="DN404" s="663"/>
      <c r="DO404" s="663"/>
      <c r="DP404" s="663"/>
      <c r="DQ404" s="663"/>
      <c r="DR404" s="663"/>
      <c r="DS404" s="663"/>
      <c r="DT404" s="663"/>
      <c r="DU404" s="663"/>
      <c r="DV404" s="663"/>
      <c r="DW404" s="663"/>
      <c r="DX404" s="663"/>
      <c r="DY404" s="663"/>
      <c r="DZ404" s="663"/>
      <c r="EA404" s="663"/>
      <c r="EB404" s="663"/>
      <c r="EC404" s="663"/>
      <c r="ED404" s="663"/>
      <c r="EE404" s="663"/>
      <c r="EF404" s="663"/>
      <c r="EG404" s="663"/>
      <c r="EH404" s="663"/>
      <c r="EI404" s="663"/>
      <c r="EJ404" s="663"/>
      <c r="EK404" s="663"/>
      <c r="EL404" s="663"/>
      <c r="EM404" s="663"/>
      <c r="EN404" s="663"/>
      <c r="EO404" s="663"/>
      <c r="EP404" s="663"/>
      <c r="EQ404" s="663"/>
      <c r="ER404" s="663"/>
      <c r="ES404" s="663"/>
      <c r="ET404" s="663"/>
      <c r="EU404" s="663"/>
      <c r="EV404" s="663"/>
      <c r="EW404" s="663"/>
      <c r="EX404" s="663"/>
      <c r="EY404" s="663"/>
      <c r="EZ404" s="663"/>
      <c r="FA404" s="663"/>
      <c r="FB404" s="663"/>
      <c r="FC404" s="663"/>
      <c r="FD404" s="663"/>
      <c r="FE404" s="663"/>
      <c r="FF404" s="663"/>
      <c r="FG404" s="663"/>
      <c r="FH404" s="663"/>
      <c r="FI404" s="663"/>
      <c r="FJ404" s="663"/>
      <c r="FK404" s="663"/>
      <c r="FL404" s="663"/>
      <c r="FM404" s="663"/>
      <c r="FN404" s="663"/>
      <c r="FO404" s="663"/>
      <c r="FP404" s="663"/>
      <c r="FQ404" s="663"/>
      <c r="FR404" s="663"/>
      <c r="FS404" s="663"/>
      <c r="FT404" s="663"/>
      <c r="FU404" s="663"/>
      <c r="FV404" s="663"/>
      <c r="FW404" s="663"/>
      <c r="FX404" s="663"/>
      <c r="FY404" s="663"/>
      <c r="FZ404" s="663"/>
      <c r="GA404" s="663"/>
      <c r="GB404" s="663"/>
      <c r="GC404" s="663"/>
      <c r="GD404" s="663"/>
      <c r="GE404" s="663"/>
      <c r="GF404" s="663"/>
      <c r="GG404" s="663"/>
    </row>
    <row r="405" spans="1:189">
      <c r="A405" s="670"/>
      <c r="B405" s="670"/>
      <c r="C405" s="670"/>
      <c r="D405" s="670"/>
      <c r="E405" s="670"/>
      <c r="F405" s="670"/>
      <c r="G405" s="673"/>
      <c r="H405" s="627"/>
      <c r="I405" s="627"/>
      <c r="J405" s="672"/>
      <c r="K405" s="663"/>
      <c r="L405" s="663"/>
      <c r="M405" s="663"/>
      <c r="N405" s="663"/>
      <c r="O405" s="663"/>
      <c r="P405" s="663"/>
      <c r="Q405" s="663"/>
      <c r="R405" s="663"/>
      <c r="S405" s="663"/>
      <c r="T405" s="663"/>
      <c r="U405" s="663"/>
      <c r="V405" s="663"/>
      <c r="W405" s="663"/>
      <c r="X405" s="663"/>
      <c r="Y405" s="663"/>
      <c r="Z405" s="663"/>
      <c r="AA405" s="663"/>
      <c r="AB405" s="663"/>
      <c r="AC405" s="663"/>
      <c r="AD405" s="663"/>
      <c r="AE405" s="663"/>
      <c r="AF405" s="663"/>
      <c r="AG405" s="663"/>
      <c r="AH405" s="663"/>
      <c r="AI405" s="663"/>
      <c r="AJ405" s="663"/>
      <c r="AK405" s="663"/>
      <c r="AL405" s="663"/>
      <c r="AM405" s="663"/>
      <c r="AN405" s="663"/>
      <c r="AO405" s="663"/>
      <c r="AP405" s="663"/>
      <c r="AQ405" s="663"/>
      <c r="AR405" s="663"/>
      <c r="AS405" s="663"/>
      <c r="AT405" s="663"/>
      <c r="AU405" s="663"/>
      <c r="AV405" s="663"/>
      <c r="AW405" s="663"/>
      <c r="AX405" s="663"/>
      <c r="AY405" s="663"/>
      <c r="AZ405" s="663"/>
      <c r="BA405" s="663"/>
      <c r="BB405" s="663"/>
      <c r="BC405" s="663"/>
      <c r="BD405" s="663"/>
      <c r="BE405" s="663"/>
      <c r="BF405" s="663"/>
      <c r="BG405" s="663"/>
      <c r="BH405" s="663"/>
      <c r="BI405" s="663"/>
      <c r="BJ405" s="663"/>
      <c r="BK405" s="663"/>
      <c r="BL405" s="663"/>
      <c r="BM405" s="663"/>
      <c r="BN405" s="663"/>
      <c r="BO405" s="663"/>
      <c r="BP405" s="663"/>
      <c r="BQ405" s="663"/>
      <c r="BR405" s="663"/>
      <c r="BS405" s="663"/>
      <c r="BT405" s="663"/>
      <c r="BU405" s="663"/>
      <c r="BV405" s="663"/>
      <c r="BW405" s="663"/>
      <c r="BX405" s="663"/>
      <c r="BY405" s="663"/>
      <c r="BZ405" s="663"/>
      <c r="CA405" s="663"/>
      <c r="CB405" s="663"/>
      <c r="CC405" s="663"/>
      <c r="CD405" s="663"/>
      <c r="CE405" s="663"/>
      <c r="CF405" s="663"/>
      <c r="CG405" s="663"/>
      <c r="CH405" s="663"/>
      <c r="CI405" s="663"/>
      <c r="CJ405" s="663"/>
      <c r="CK405" s="663"/>
      <c r="CL405" s="663"/>
      <c r="CM405" s="663"/>
      <c r="CN405" s="663"/>
      <c r="CO405" s="663"/>
      <c r="CP405" s="663"/>
      <c r="CQ405" s="663"/>
      <c r="CR405" s="663"/>
      <c r="CS405" s="663"/>
      <c r="CT405" s="663"/>
      <c r="CU405" s="663"/>
      <c r="CV405" s="663"/>
      <c r="CW405" s="663"/>
      <c r="CX405" s="663"/>
      <c r="CY405" s="663"/>
      <c r="CZ405" s="663"/>
      <c r="DA405" s="663"/>
      <c r="DB405" s="663"/>
      <c r="DC405" s="663"/>
      <c r="DD405" s="663"/>
      <c r="DE405" s="663"/>
      <c r="DF405" s="663"/>
      <c r="DG405" s="663"/>
      <c r="DH405" s="663"/>
      <c r="DI405" s="663"/>
      <c r="DJ405" s="663"/>
      <c r="DK405" s="663"/>
      <c r="DL405" s="663"/>
      <c r="DM405" s="663"/>
      <c r="DN405" s="663"/>
      <c r="DO405" s="663"/>
      <c r="DP405" s="663"/>
      <c r="DQ405" s="663"/>
      <c r="DR405" s="663"/>
      <c r="DS405" s="663"/>
      <c r="DT405" s="663"/>
      <c r="DU405" s="663"/>
      <c r="DV405" s="663"/>
      <c r="DW405" s="663"/>
      <c r="DX405" s="663"/>
      <c r="DY405" s="663"/>
      <c r="DZ405" s="663"/>
      <c r="EA405" s="663"/>
      <c r="EB405" s="663"/>
      <c r="EC405" s="663"/>
      <c r="ED405" s="663"/>
      <c r="EE405" s="663"/>
      <c r="EF405" s="663"/>
      <c r="EG405" s="663"/>
      <c r="EH405" s="663"/>
      <c r="EI405" s="663"/>
      <c r="EJ405" s="663"/>
      <c r="EK405" s="663"/>
      <c r="EL405" s="663"/>
      <c r="EM405" s="663"/>
      <c r="EN405" s="663"/>
      <c r="EO405" s="663"/>
      <c r="EP405" s="663"/>
      <c r="EQ405" s="663"/>
      <c r="ER405" s="663"/>
      <c r="ES405" s="663"/>
      <c r="ET405" s="663"/>
      <c r="EU405" s="663"/>
      <c r="EV405" s="663"/>
      <c r="EW405" s="663"/>
      <c r="EX405" s="663"/>
      <c r="EY405" s="663"/>
      <c r="EZ405" s="663"/>
      <c r="FA405" s="663"/>
      <c r="FB405" s="663"/>
      <c r="FC405" s="663"/>
      <c r="FD405" s="663"/>
      <c r="FE405" s="663"/>
      <c r="FF405" s="663"/>
      <c r="FG405" s="663"/>
      <c r="FH405" s="663"/>
      <c r="FI405" s="663"/>
      <c r="FJ405" s="663"/>
      <c r="FK405" s="663"/>
      <c r="FL405" s="663"/>
      <c r="FM405" s="663"/>
      <c r="FN405" s="663"/>
      <c r="FO405" s="663"/>
      <c r="FP405" s="663"/>
      <c r="FQ405" s="663"/>
      <c r="FR405" s="663"/>
      <c r="FS405" s="663"/>
      <c r="FT405" s="663"/>
      <c r="FU405" s="663"/>
      <c r="FV405" s="663"/>
      <c r="FW405" s="663"/>
      <c r="FX405" s="663"/>
      <c r="FY405" s="663"/>
      <c r="FZ405" s="663"/>
      <c r="GA405" s="663"/>
      <c r="GB405" s="663"/>
      <c r="GC405" s="663"/>
      <c r="GD405" s="663"/>
      <c r="GE405" s="663"/>
      <c r="GF405" s="663"/>
      <c r="GG405" s="663"/>
    </row>
    <row r="406" spans="1:189">
      <c r="A406" s="670"/>
      <c r="B406" s="670"/>
      <c r="C406" s="670"/>
      <c r="D406" s="670"/>
      <c r="E406" s="670"/>
      <c r="F406" s="670"/>
      <c r="G406" s="673"/>
      <c r="H406" s="627"/>
      <c r="I406" s="627"/>
      <c r="J406" s="672"/>
      <c r="K406" s="663"/>
      <c r="L406" s="663"/>
      <c r="M406" s="663"/>
      <c r="N406" s="663"/>
      <c r="O406" s="663"/>
      <c r="P406" s="663"/>
      <c r="Q406" s="663"/>
      <c r="R406" s="663"/>
      <c r="S406" s="663"/>
      <c r="T406" s="663"/>
      <c r="U406" s="663"/>
      <c r="V406" s="663"/>
      <c r="W406" s="663"/>
      <c r="X406" s="663"/>
      <c r="Y406" s="663"/>
      <c r="Z406" s="663"/>
      <c r="AA406" s="663"/>
      <c r="AB406" s="663"/>
      <c r="AC406" s="663"/>
      <c r="AD406" s="663"/>
      <c r="AE406" s="663"/>
      <c r="AF406" s="663"/>
      <c r="AG406" s="663"/>
      <c r="AH406" s="663"/>
      <c r="AI406" s="663"/>
      <c r="AJ406" s="663"/>
      <c r="AK406" s="663"/>
      <c r="AL406" s="663"/>
      <c r="AM406" s="663"/>
      <c r="AN406" s="663"/>
      <c r="AO406" s="663"/>
      <c r="AP406" s="663"/>
      <c r="AQ406" s="663"/>
      <c r="AR406" s="663"/>
      <c r="AS406" s="663"/>
      <c r="AT406" s="663"/>
      <c r="AU406" s="663"/>
      <c r="AV406" s="663"/>
      <c r="AW406" s="663"/>
      <c r="AX406" s="663"/>
      <c r="AY406" s="663"/>
      <c r="AZ406" s="663"/>
      <c r="BA406" s="663"/>
      <c r="BB406" s="663"/>
      <c r="BC406" s="663"/>
      <c r="BD406" s="663"/>
      <c r="BE406" s="663"/>
      <c r="BF406" s="663"/>
      <c r="BG406" s="663"/>
      <c r="BH406" s="663"/>
      <c r="BI406" s="663"/>
      <c r="BJ406" s="663"/>
      <c r="BK406" s="663"/>
      <c r="BL406" s="663"/>
      <c r="BM406" s="663"/>
      <c r="BN406" s="663"/>
      <c r="BO406" s="663"/>
      <c r="BP406" s="663"/>
      <c r="BQ406" s="663"/>
      <c r="BR406" s="663"/>
      <c r="BS406" s="663"/>
      <c r="BT406" s="663"/>
      <c r="BU406" s="663"/>
      <c r="BV406" s="663"/>
      <c r="BW406" s="663"/>
      <c r="BX406" s="663"/>
      <c r="BY406" s="663"/>
      <c r="BZ406" s="663"/>
      <c r="CA406" s="663"/>
      <c r="CB406" s="663"/>
      <c r="CC406" s="663"/>
      <c r="CD406" s="663"/>
      <c r="CE406" s="663"/>
      <c r="CF406" s="663"/>
      <c r="CG406" s="663"/>
      <c r="CH406" s="663"/>
      <c r="CI406" s="663"/>
      <c r="CJ406" s="663"/>
      <c r="CK406" s="663"/>
      <c r="CL406" s="663"/>
      <c r="CM406" s="663"/>
      <c r="CN406" s="663"/>
      <c r="CO406" s="663"/>
      <c r="CP406" s="663"/>
      <c r="CQ406" s="663"/>
      <c r="CR406" s="663"/>
      <c r="CS406" s="663"/>
      <c r="CT406" s="663"/>
      <c r="CU406" s="663"/>
      <c r="CV406" s="663"/>
      <c r="CW406" s="663"/>
      <c r="CX406" s="663"/>
      <c r="CY406" s="663"/>
      <c r="CZ406" s="663"/>
      <c r="DA406" s="663"/>
      <c r="DB406" s="663"/>
      <c r="DC406" s="663"/>
      <c r="DD406" s="663"/>
      <c r="DE406" s="663"/>
      <c r="DF406" s="663"/>
      <c r="DG406" s="663"/>
      <c r="DH406" s="663"/>
      <c r="DI406" s="663"/>
      <c r="DJ406" s="663"/>
      <c r="DK406" s="663"/>
      <c r="DL406" s="663"/>
      <c r="DM406" s="663"/>
      <c r="DN406" s="663"/>
      <c r="DO406" s="663"/>
      <c r="DP406" s="663"/>
      <c r="DQ406" s="663"/>
      <c r="DR406" s="663"/>
      <c r="DS406" s="663"/>
      <c r="DT406" s="663"/>
      <c r="DU406" s="663"/>
      <c r="DV406" s="663"/>
      <c r="DW406" s="663"/>
      <c r="DX406" s="663"/>
      <c r="DY406" s="663"/>
      <c r="DZ406" s="663"/>
      <c r="EA406" s="663"/>
      <c r="EB406" s="663"/>
      <c r="EC406" s="663"/>
      <c r="ED406" s="663"/>
      <c r="EE406" s="663"/>
      <c r="EF406" s="663"/>
      <c r="EG406" s="663"/>
      <c r="EH406" s="663"/>
      <c r="EI406" s="663"/>
      <c r="EJ406" s="663"/>
      <c r="EK406" s="663"/>
      <c r="EL406" s="663"/>
      <c r="EM406" s="663"/>
      <c r="EN406" s="663"/>
      <c r="EO406" s="663"/>
      <c r="EP406" s="663"/>
      <c r="EQ406" s="663"/>
      <c r="ER406" s="663"/>
      <c r="ES406" s="663"/>
      <c r="ET406" s="663"/>
      <c r="EU406" s="663"/>
      <c r="EV406" s="663"/>
      <c r="EW406" s="663"/>
      <c r="EX406" s="663"/>
      <c r="EY406" s="663"/>
      <c r="EZ406" s="663"/>
      <c r="FA406" s="663"/>
      <c r="FB406" s="663"/>
      <c r="FC406" s="663"/>
      <c r="FD406" s="663"/>
      <c r="FE406" s="663"/>
      <c r="FF406" s="663"/>
      <c r="FG406" s="663"/>
      <c r="FH406" s="663"/>
      <c r="FI406" s="663"/>
      <c r="FJ406" s="663"/>
      <c r="FK406" s="663"/>
      <c r="FL406" s="663"/>
      <c r="FM406" s="663"/>
      <c r="FN406" s="663"/>
      <c r="FO406" s="663"/>
      <c r="FP406" s="663"/>
      <c r="FQ406" s="663"/>
      <c r="FR406" s="663"/>
      <c r="FS406" s="663"/>
      <c r="FT406" s="663"/>
      <c r="FU406" s="663"/>
      <c r="FV406" s="663"/>
      <c r="FW406" s="663"/>
      <c r="FX406" s="663"/>
      <c r="FY406" s="663"/>
      <c r="FZ406" s="663"/>
      <c r="GA406" s="663"/>
      <c r="GB406" s="663"/>
      <c r="GC406" s="663"/>
      <c r="GD406" s="663"/>
      <c r="GE406" s="663"/>
      <c r="GF406" s="663"/>
      <c r="GG406" s="663"/>
    </row>
    <row r="407" spans="1:189">
      <c r="A407" s="670"/>
      <c r="B407" s="670"/>
      <c r="C407" s="670"/>
      <c r="D407" s="670"/>
      <c r="E407" s="670"/>
      <c r="F407" s="670"/>
      <c r="G407" s="673"/>
      <c r="H407" s="627"/>
      <c r="I407" s="627"/>
      <c r="J407" s="672"/>
      <c r="K407" s="663"/>
      <c r="L407" s="663"/>
      <c r="M407" s="663"/>
      <c r="N407" s="663"/>
      <c r="O407" s="663"/>
      <c r="P407" s="663"/>
      <c r="Q407" s="663"/>
      <c r="R407" s="663"/>
      <c r="S407" s="663"/>
      <c r="T407" s="663"/>
      <c r="U407" s="663"/>
      <c r="V407" s="663"/>
      <c r="W407" s="663"/>
      <c r="X407" s="663"/>
      <c r="Y407" s="663"/>
      <c r="Z407" s="663"/>
      <c r="AA407" s="663"/>
      <c r="AB407" s="663"/>
      <c r="AC407" s="663"/>
      <c r="AD407" s="663"/>
      <c r="AE407" s="663"/>
      <c r="AF407" s="663"/>
      <c r="AG407" s="663"/>
      <c r="AH407" s="663"/>
      <c r="AI407" s="663"/>
      <c r="AJ407" s="663"/>
      <c r="AK407" s="663"/>
      <c r="AL407" s="663"/>
      <c r="AM407" s="663"/>
      <c r="AN407" s="663"/>
      <c r="AO407" s="663"/>
      <c r="AP407" s="663"/>
      <c r="AQ407" s="663"/>
      <c r="AR407" s="663"/>
      <c r="AS407" s="663"/>
      <c r="AT407" s="663"/>
      <c r="AU407" s="663"/>
      <c r="AV407" s="663"/>
      <c r="AW407" s="663"/>
      <c r="AX407" s="663"/>
      <c r="AY407" s="663"/>
      <c r="AZ407" s="663"/>
      <c r="BA407" s="663"/>
      <c r="BB407" s="663"/>
      <c r="BC407" s="663"/>
      <c r="BD407" s="663"/>
      <c r="BE407" s="663"/>
      <c r="BF407" s="663"/>
      <c r="BG407" s="663"/>
      <c r="BH407" s="663"/>
      <c r="BI407" s="663"/>
      <c r="BJ407" s="663"/>
      <c r="BK407" s="663"/>
      <c r="BL407" s="663"/>
      <c r="BM407" s="663"/>
      <c r="BN407" s="663"/>
      <c r="BO407" s="663"/>
      <c r="BP407" s="663"/>
      <c r="BQ407" s="663"/>
      <c r="BR407" s="663"/>
      <c r="BS407" s="663"/>
      <c r="BT407" s="663"/>
      <c r="BU407" s="663"/>
      <c r="BV407" s="663"/>
      <c r="BW407" s="663"/>
      <c r="BX407" s="663"/>
      <c r="BY407" s="663"/>
      <c r="BZ407" s="663"/>
      <c r="CA407" s="663"/>
      <c r="CB407" s="663"/>
      <c r="CC407" s="663"/>
      <c r="CD407" s="663"/>
      <c r="CE407" s="663"/>
      <c r="CF407" s="663"/>
      <c r="CG407" s="663"/>
      <c r="CH407" s="663"/>
      <c r="CI407" s="663"/>
      <c r="CJ407" s="663"/>
      <c r="CK407" s="663"/>
      <c r="CL407" s="663"/>
      <c r="CM407" s="663"/>
      <c r="CN407" s="663"/>
      <c r="CO407" s="663"/>
      <c r="CP407" s="663"/>
      <c r="CQ407" s="663"/>
      <c r="CR407" s="663"/>
      <c r="CS407" s="663"/>
      <c r="CT407" s="663"/>
      <c r="CU407" s="663"/>
      <c r="CV407" s="663"/>
      <c r="CW407" s="663"/>
      <c r="CX407" s="663"/>
      <c r="CY407" s="663"/>
      <c r="CZ407" s="663"/>
      <c r="DA407" s="663"/>
      <c r="DB407" s="663"/>
      <c r="DC407" s="663"/>
      <c r="DD407" s="663"/>
      <c r="DE407" s="663"/>
      <c r="DF407" s="663"/>
      <c r="DG407" s="663"/>
      <c r="DH407" s="663"/>
      <c r="DI407" s="663"/>
      <c r="DJ407" s="663"/>
      <c r="DK407" s="663"/>
      <c r="DL407" s="663"/>
      <c r="DM407" s="663"/>
      <c r="DN407" s="663"/>
      <c r="DO407" s="663"/>
      <c r="DP407" s="663"/>
      <c r="DQ407" s="663"/>
      <c r="DR407" s="663"/>
      <c r="DS407" s="663"/>
      <c r="DT407" s="663"/>
      <c r="DU407" s="663"/>
      <c r="DV407" s="663"/>
      <c r="DW407" s="663"/>
      <c r="DX407" s="663"/>
      <c r="DY407" s="663"/>
      <c r="DZ407" s="663"/>
      <c r="EA407" s="663"/>
      <c r="EB407" s="663"/>
      <c r="EC407" s="663"/>
      <c r="ED407" s="663"/>
      <c r="EE407" s="663"/>
      <c r="EF407" s="663"/>
      <c r="EG407" s="663"/>
      <c r="EH407" s="663"/>
      <c r="EI407" s="663"/>
      <c r="EJ407" s="663"/>
      <c r="EK407" s="663"/>
      <c r="EL407" s="663"/>
      <c r="EM407" s="663"/>
      <c r="EN407" s="663"/>
      <c r="EO407" s="663"/>
      <c r="EP407" s="663"/>
      <c r="EQ407" s="663"/>
      <c r="ER407" s="663"/>
      <c r="ES407" s="663"/>
      <c r="ET407" s="663"/>
      <c r="EU407" s="663"/>
      <c r="EV407" s="663"/>
      <c r="EW407" s="663"/>
      <c r="EX407" s="663"/>
      <c r="EY407" s="663"/>
      <c r="EZ407" s="663"/>
      <c r="FA407" s="663"/>
      <c r="FB407" s="663"/>
      <c r="FC407" s="663"/>
      <c r="FD407" s="663"/>
      <c r="FE407" s="663"/>
      <c r="FF407" s="663"/>
      <c r="FG407" s="663"/>
      <c r="FH407" s="663"/>
      <c r="FI407" s="663"/>
      <c r="FJ407" s="663"/>
      <c r="FK407" s="663"/>
      <c r="FL407" s="663"/>
      <c r="FM407" s="663"/>
      <c r="FN407" s="663"/>
      <c r="FO407" s="663"/>
      <c r="FP407" s="663"/>
      <c r="FQ407" s="663"/>
      <c r="FR407" s="663"/>
      <c r="FS407" s="663"/>
      <c r="FT407" s="663"/>
      <c r="FU407" s="663"/>
      <c r="FV407" s="663"/>
      <c r="FW407" s="663"/>
      <c r="FX407" s="663"/>
      <c r="FY407" s="663"/>
      <c r="FZ407" s="663"/>
      <c r="GA407" s="663"/>
      <c r="GB407" s="663"/>
      <c r="GC407" s="663"/>
      <c r="GD407" s="663"/>
      <c r="GE407" s="663"/>
      <c r="GF407" s="663"/>
      <c r="GG407" s="663"/>
    </row>
    <row r="408" spans="1:189">
      <c r="A408" s="670"/>
      <c r="B408" s="670"/>
      <c r="C408" s="670"/>
      <c r="D408" s="670"/>
      <c r="E408" s="670"/>
      <c r="F408" s="670"/>
      <c r="G408" s="673"/>
      <c r="H408" s="627"/>
      <c r="I408" s="627"/>
      <c r="J408" s="672"/>
      <c r="K408" s="663"/>
      <c r="L408" s="663"/>
      <c r="M408" s="663"/>
      <c r="N408" s="663"/>
      <c r="O408" s="663"/>
      <c r="P408" s="663"/>
      <c r="Q408" s="663"/>
      <c r="R408" s="663"/>
      <c r="S408" s="663"/>
      <c r="T408" s="663"/>
      <c r="U408" s="663"/>
      <c r="V408" s="663"/>
      <c r="W408" s="663"/>
      <c r="X408" s="663"/>
      <c r="Y408" s="663"/>
      <c r="Z408" s="663"/>
      <c r="AA408" s="663"/>
      <c r="AB408" s="663"/>
      <c r="AC408" s="663"/>
      <c r="AD408" s="663"/>
      <c r="AE408" s="663"/>
      <c r="AF408" s="663"/>
      <c r="AG408" s="663"/>
      <c r="AH408" s="663"/>
      <c r="AI408" s="663"/>
      <c r="AJ408" s="663"/>
      <c r="AK408" s="663"/>
      <c r="AL408" s="663"/>
      <c r="AM408" s="663"/>
      <c r="AN408" s="663"/>
      <c r="AO408" s="663"/>
      <c r="AP408" s="663"/>
      <c r="AQ408" s="663"/>
      <c r="AR408" s="663"/>
      <c r="AS408" s="663"/>
      <c r="AT408" s="663"/>
      <c r="AU408" s="663"/>
      <c r="AV408" s="663"/>
      <c r="AW408" s="663"/>
      <c r="AX408" s="663"/>
      <c r="AY408" s="663"/>
      <c r="AZ408" s="663"/>
      <c r="BA408" s="663"/>
      <c r="BB408" s="663"/>
      <c r="BC408" s="663"/>
      <c r="BD408" s="663"/>
      <c r="BE408" s="663"/>
      <c r="BF408" s="663"/>
      <c r="BG408" s="663"/>
      <c r="BH408" s="663"/>
      <c r="BI408" s="663"/>
      <c r="BJ408" s="663"/>
      <c r="BK408" s="663"/>
      <c r="BL408" s="663"/>
      <c r="BM408" s="663"/>
      <c r="BN408" s="663"/>
      <c r="BO408" s="663"/>
      <c r="BP408" s="663"/>
      <c r="BQ408" s="663"/>
      <c r="BR408" s="663"/>
      <c r="BS408" s="663"/>
      <c r="BT408" s="663"/>
      <c r="BU408" s="663"/>
      <c r="BV408" s="663"/>
      <c r="BW408" s="663"/>
      <c r="BX408" s="663"/>
      <c r="BY408" s="663"/>
      <c r="BZ408" s="663"/>
      <c r="CA408" s="663"/>
      <c r="CB408" s="663"/>
      <c r="CC408" s="663"/>
      <c r="CD408" s="663"/>
      <c r="CE408" s="663"/>
      <c r="CF408" s="663"/>
      <c r="CG408" s="663"/>
      <c r="CH408" s="663"/>
      <c r="CI408" s="663"/>
      <c r="CJ408" s="663"/>
      <c r="CK408" s="663"/>
      <c r="CL408" s="663"/>
      <c r="CM408" s="663"/>
      <c r="CN408" s="663"/>
      <c r="CO408" s="663"/>
      <c r="CP408" s="663"/>
      <c r="CQ408" s="663"/>
      <c r="CR408" s="663"/>
      <c r="CS408" s="663"/>
      <c r="CT408" s="663"/>
      <c r="CU408" s="663"/>
      <c r="CV408" s="663"/>
      <c r="CW408" s="663"/>
      <c r="CX408" s="663"/>
      <c r="CY408" s="663"/>
      <c r="CZ408" s="663"/>
      <c r="DA408" s="663"/>
      <c r="DB408" s="663"/>
      <c r="DC408" s="663"/>
      <c r="DD408" s="663"/>
      <c r="DE408" s="663"/>
      <c r="DF408" s="663"/>
      <c r="DG408" s="663"/>
      <c r="DH408" s="663"/>
      <c r="DI408" s="663"/>
      <c r="DJ408" s="663"/>
      <c r="DK408" s="663"/>
      <c r="DL408" s="663"/>
      <c r="DM408" s="663"/>
      <c r="DN408" s="663"/>
      <c r="DO408" s="663"/>
      <c r="DP408" s="663"/>
      <c r="DQ408" s="663"/>
      <c r="DR408" s="663"/>
      <c r="DS408" s="663"/>
      <c r="DT408" s="663"/>
      <c r="DU408" s="663"/>
      <c r="DV408" s="663"/>
      <c r="DW408" s="663"/>
      <c r="DX408" s="663"/>
      <c r="DY408" s="663"/>
      <c r="DZ408" s="663"/>
      <c r="EA408" s="663"/>
      <c r="EB408" s="663"/>
      <c r="EC408" s="663"/>
      <c r="ED408" s="663"/>
      <c r="EE408" s="663"/>
      <c r="EF408" s="663"/>
      <c r="EG408" s="663"/>
      <c r="EH408" s="663"/>
      <c r="EI408" s="663"/>
      <c r="EJ408" s="663"/>
      <c r="EK408" s="663"/>
      <c r="EL408" s="663"/>
      <c r="EM408" s="663"/>
      <c r="EN408" s="663"/>
      <c r="EO408" s="663"/>
      <c r="EP408" s="663"/>
      <c r="EQ408" s="663"/>
      <c r="ER408" s="663"/>
      <c r="ES408" s="663"/>
      <c r="ET408" s="663"/>
      <c r="EU408" s="663"/>
      <c r="EV408" s="663"/>
      <c r="EW408" s="663"/>
      <c r="EX408" s="663"/>
      <c r="EY408" s="663"/>
      <c r="EZ408" s="663"/>
      <c r="FA408" s="663"/>
      <c r="FB408" s="663"/>
      <c r="FC408" s="663"/>
      <c r="FD408" s="663"/>
      <c r="FE408" s="663"/>
      <c r="FF408" s="663"/>
      <c r="FG408" s="663"/>
      <c r="FH408" s="663"/>
      <c r="FI408" s="663"/>
      <c r="FJ408" s="663"/>
      <c r="FK408" s="663"/>
      <c r="FL408" s="663"/>
      <c r="FM408" s="663"/>
      <c r="FN408" s="663"/>
      <c r="FO408" s="663"/>
      <c r="FP408" s="663"/>
      <c r="FQ408" s="663"/>
      <c r="FR408" s="663"/>
      <c r="FS408" s="663"/>
      <c r="FT408" s="663"/>
      <c r="FU408" s="663"/>
      <c r="FV408" s="663"/>
      <c r="FW408" s="663"/>
      <c r="FX408" s="663"/>
      <c r="FY408" s="663"/>
      <c r="FZ408" s="663"/>
      <c r="GA408" s="663"/>
      <c r="GB408" s="663"/>
      <c r="GC408" s="663"/>
      <c r="GD408" s="663"/>
      <c r="GE408" s="663"/>
      <c r="GF408" s="663"/>
      <c r="GG408" s="663"/>
    </row>
    <row r="409" spans="1:189">
      <c r="A409" s="670"/>
      <c r="B409" s="670"/>
      <c r="C409" s="670"/>
      <c r="D409" s="670"/>
      <c r="E409" s="670"/>
      <c r="F409" s="670"/>
      <c r="G409" s="673"/>
      <c r="H409" s="627"/>
      <c r="I409" s="627"/>
      <c r="J409" s="672"/>
      <c r="K409" s="663"/>
      <c r="L409" s="663"/>
      <c r="M409" s="663"/>
      <c r="N409" s="663"/>
      <c r="O409" s="663"/>
      <c r="P409" s="663"/>
      <c r="Q409" s="663"/>
      <c r="R409" s="663"/>
      <c r="S409" s="663"/>
      <c r="T409" s="663"/>
      <c r="U409" s="663"/>
      <c r="V409" s="663"/>
      <c r="W409" s="663"/>
      <c r="X409" s="663"/>
      <c r="Y409" s="663"/>
      <c r="Z409" s="663"/>
      <c r="AA409" s="663"/>
      <c r="AB409" s="663"/>
      <c r="AC409" s="663"/>
      <c r="AD409" s="663"/>
      <c r="AE409" s="663"/>
      <c r="AF409" s="663"/>
      <c r="AG409" s="663"/>
      <c r="AH409" s="663"/>
      <c r="AI409" s="663"/>
      <c r="AJ409" s="663"/>
      <c r="AK409" s="663"/>
      <c r="AL409" s="663"/>
      <c r="AM409" s="663"/>
      <c r="AN409" s="663"/>
      <c r="AO409" s="663"/>
      <c r="AP409" s="663"/>
      <c r="AQ409" s="663"/>
      <c r="AR409" s="663"/>
      <c r="AS409" s="663"/>
      <c r="AT409" s="663"/>
      <c r="AU409" s="663"/>
      <c r="AV409" s="663"/>
      <c r="AW409" s="663"/>
      <c r="AX409" s="663"/>
      <c r="AY409" s="663"/>
      <c r="AZ409" s="663"/>
      <c r="BA409" s="663"/>
      <c r="BB409" s="663"/>
      <c r="BC409" s="663"/>
      <c r="BD409" s="663"/>
      <c r="BE409" s="663"/>
      <c r="BF409" s="663"/>
      <c r="BG409" s="663"/>
      <c r="BH409" s="663"/>
      <c r="BI409" s="663"/>
      <c r="BJ409" s="663"/>
      <c r="BK409" s="663"/>
      <c r="BL409" s="663"/>
      <c r="BM409" s="663"/>
      <c r="BN409" s="663"/>
      <c r="BO409" s="663"/>
      <c r="BP409" s="663"/>
      <c r="BQ409" s="663"/>
      <c r="BR409" s="663"/>
      <c r="BS409" s="663"/>
      <c r="BT409" s="663"/>
      <c r="BU409" s="663"/>
      <c r="BV409" s="663"/>
      <c r="BW409" s="663"/>
      <c r="BX409" s="663"/>
      <c r="BY409" s="663"/>
      <c r="BZ409" s="663"/>
      <c r="CA409" s="663"/>
      <c r="CB409" s="663"/>
      <c r="CC409" s="663"/>
      <c r="CD409" s="663"/>
      <c r="CE409" s="663"/>
      <c r="CF409" s="663"/>
      <c r="CG409" s="663"/>
      <c r="CH409" s="663"/>
      <c r="CI409" s="663"/>
      <c r="CJ409" s="663"/>
      <c r="CK409" s="663"/>
      <c r="CL409" s="663"/>
      <c r="CM409" s="663"/>
      <c r="CN409" s="663"/>
      <c r="CO409" s="663"/>
      <c r="CP409" s="663"/>
      <c r="CQ409" s="663"/>
      <c r="CR409" s="663"/>
      <c r="CS409" s="663"/>
      <c r="CT409" s="663"/>
      <c r="CU409" s="663"/>
      <c r="CV409" s="663"/>
      <c r="CW409" s="663"/>
      <c r="CX409" s="663"/>
      <c r="CY409" s="663"/>
      <c r="CZ409" s="663"/>
      <c r="DA409" s="663"/>
      <c r="DB409" s="663"/>
      <c r="DC409" s="663"/>
      <c r="DD409" s="663"/>
      <c r="DE409" s="663"/>
      <c r="DF409" s="663"/>
      <c r="DG409" s="663"/>
      <c r="DH409" s="663"/>
      <c r="DI409" s="663"/>
      <c r="DJ409" s="663"/>
      <c r="DK409" s="663"/>
      <c r="DL409" s="663"/>
      <c r="DM409" s="663"/>
      <c r="DN409" s="663"/>
      <c r="DO409" s="663"/>
      <c r="DP409" s="663"/>
      <c r="DQ409" s="663"/>
      <c r="DR409" s="663"/>
      <c r="DS409" s="663"/>
      <c r="DT409" s="663"/>
      <c r="DU409" s="663"/>
      <c r="DV409" s="663"/>
      <c r="DW409" s="663"/>
      <c r="DX409" s="663"/>
      <c r="DY409" s="663"/>
      <c r="DZ409" s="663"/>
      <c r="EA409" s="663"/>
      <c r="EB409" s="663"/>
      <c r="EC409" s="663"/>
      <c r="ED409" s="663"/>
      <c r="EE409" s="663"/>
      <c r="EF409" s="663"/>
      <c r="EG409" s="663"/>
      <c r="EH409" s="663"/>
      <c r="EI409" s="663"/>
      <c r="EJ409" s="663"/>
      <c r="EK409" s="663"/>
      <c r="EL409" s="663"/>
      <c r="EM409" s="663"/>
      <c r="EN409" s="663"/>
      <c r="EO409" s="663"/>
      <c r="EP409" s="663"/>
      <c r="EQ409" s="663"/>
      <c r="ER409" s="663"/>
      <c r="ES409" s="663"/>
      <c r="ET409" s="663"/>
      <c r="EU409" s="663"/>
      <c r="EV409" s="663"/>
      <c r="EW409" s="663"/>
      <c r="EX409" s="663"/>
      <c r="EY409" s="663"/>
      <c r="EZ409" s="663"/>
      <c r="FA409" s="663"/>
      <c r="FB409" s="663"/>
      <c r="FC409" s="663"/>
      <c r="FD409" s="663"/>
      <c r="FE409" s="663"/>
      <c r="FF409" s="663"/>
      <c r="FG409" s="663"/>
      <c r="FH409" s="663"/>
      <c r="FI409" s="663"/>
      <c r="FJ409" s="663"/>
      <c r="FK409" s="663"/>
      <c r="FL409" s="663"/>
      <c r="FM409" s="663"/>
      <c r="FN409" s="663"/>
      <c r="FO409" s="663"/>
      <c r="FP409" s="663"/>
      <c r="FQ409" s="663"/>
      <c r="FR409" s="663"/>
      <c r="FS409" s="663"/>
      <c r="FT409" s="663"/>
      <c r="FU409" s="663"/>
      <c r="FV409" s="663"/>
      <c r="FW409" s="663"/>
      <c r="FX409" s="663"/>
      <c r="FY409" s="663"/>
      <c r="FZ409" s="663"/>
      <c r="GA409" s="663"/>
      <c r="GB409" s="663"/>
      <c r="GC409" s="663"/>
      <c r="GD409" s="663"/>
      <c r="GE409" s="663"/>
      <c r="GF409" s="663"/>
      <c r="GG409" s="663"/>
    </row>
    <row r="410" spans="1:189">
      <c r="A410" s="670"/>
      <c r="B410" s="670"/>
      <c r="C410" s="670"/>
      <c r="D410" s="670"/>
      <c r="E410" s="670"/>
      <c r="F410" s="670"/>
      <c r="G410" s="673"/>
      <c r="H410" s="627"/>
      <c r="I410" s="627"/>
      <c r="J410" s="672"/>
      <c r="K410" s="663"/>
      <c r="L410" s="663"/>
      <c r="M410" s="663"/>
      <c r="N410" s="663"/>
      <c r="O410" s="663"/>
      <c r="P410" s="663"/>
      <c r="Q410" s="663"/>
      <c r="R410" s="663"/>
      <c r="S410" s="663"/>
      <c r="T410" s="663"/>
      <c r="U410" s="663"/>
      <c r="V410" s="663"/>
      <c r="W410" s="663"/>
      <c r="X410" s="663"/>
      <c r="Y410" s="663"/>
      <c r="Z410" s="663"/>
      <c r="AA410" s="663"/>
      <c r="AB410" s="663"/>
      <c r="AC410" s="663"/>
      <c r="AD410" s="663"/>
      <c r="AE410" s="663"/>
      <c r="AF410" s="663"/>
      <c r="AG410" s="663"/>
      <c r="AH410" s="663"/>
      <c r="AI410" s="663"/>
      <c r="AJ410" s="663"/>
      <c r="AK410" s="663"/>
      <c r="AL410" s="663"/>
      <c r="AM410" s="663"/>
      <c r="AN410" s="663"/>
      <c r="AO410" s="663"/>
      <c r="AP410" s="663"/>
      <c r="AQ410" s="663"/>
      <c r="AR410" s="663"/>
      <c r="AS410" s="663"/>
      <c r="AT410" s="663"/>
      <c r="AU410" s="663"/>
      <c r="AV410" s="663"/>
      <c r="AW410" s="663"/>
      <c r="AX410" s="663"/>
      <c r="AY410" s="663"/>
      <c r="AZ410" s="663"/>
      <c r="BA410" s="663"/>
      <c r="BB410" s="663"/>
      <c r="BC410" s="663"/>
      <c r="BD410" s="663"/>
      <c r="BE410" s="663"/>
      <c r="BF410" s="663"/>
      <c r="BG410" s="663"/>
      <c r="BH410" s="663"/>
      <c r="BI410" s="663"/>
      <c r="BJ410" s="663"/>
      <c r="BK410" s="663"/>
      <c r="BL410" s="663"/>
      <c r="BM410" s="663"/>
      <c r="BN410" s="663"/>
      <c r="BO410" s="663"/>
      <c r="BP410" s="663"/>
      <c r="BQ410" s="663"/>
      <c r="BR410" s="663"/>
      <c r="BS410" s="663"/>
      <c r="BT410" s="663"/>
      <c r="BU410" s="663"/>
      <c r="BV410" s="663"/>
      <c r="BW410" s="663"/>
      <c r="BX410" s="663"/>
      <c r="BY410" s="663"/>
      <c r="BZ410" s="663"/>
      <c r="CA410" s="663"/>
      <c r="CB410" s="663"/>
      <c r="CC410" s="663"/>
      <c r="CD410" s="663"/>
      <c r="CE410" s="663"/>
      <c r="CF410" s="663"/>
      <c r="CG410" s="663"/>
      <c r="CH410" s="663"/>
      <c r="CI410" s="663"/>
      <c r="CJ410" s="663"/>
      <c r="CK410" s="663"/>
      <c r="CL410" s="663"/>
      <c r="CM410" s="663"/>
      <c r="CN410" s="663"/>
      <c r="CO410" s="663"/>
      <c r="CP410" s="663"/>
      <c r="CQ410" s="663"/>
      <c r="CR410" s="663"/>
      <c r="CS410" s="663"/>
      <c r="CT410" s="663"/>
      <c r="CU410" s="663"/>
      <c r="CV410" s="663"/>
      <c r="CW410" s="663"/>
      <c r="CX410" s="663"/>
      <c r="CY410" s="663"/>
      <c r="CZ410" s="663"/>
      <c r="DA410" s="663"/>
      <c r="DB410" s="663"/>
      <c r="DC410" s="663"/>
      <c r="DD410" s="663"/>
      <c r="DE410" s="663"/>
      <c r="DF410" s="663"/>
      <c r="DG410" s="663"/>
      <c r="DH410" s="663"/>
      <c r="DI410" s="663"/>
      <c r="DJ410" s="663"/>
      <c r="DK410" s="663"/>
      <c r="DL410" s="663"/>
      <c r="DM410" s="663"/>
      <c r="DN410" s="663"/>
      <c r="DO410" s="663"/>
      <c r="DP410" s="663"/>
      <c r="DQ410" s="663"/>
      <c r="DR410" s="663"/>
      <c r="DS410" s="663"/>
      <c r="DT410" s="663"/>
      <c r="DU410" s="663"/>
      <c r="DV410" s="663"/>
      <c r="DW410" s="663"/>
      <c r="DX410" s="663"/>
      <c r="DY410" s="663"/>
      <c r="DZ410" s="663"/>
      <c r="EA410" s="663"/>
      <c r="EB410" s="663"/>
      <c r="EC410" s="663"/>
      <c r="ED410" s="663"/>
      <c r="EE410" s="663"/>
      <c r="EF410" s="663"/>
      <c r="EG410" s="663"/>
      <c r="EH410" s="663"/>
      <c r="EI410" s="663"/>
      <c r="EJ410" s="663"/>
      <c r="EK410" s="663"/>
      <c r="EL410" s="663"/>
      <c r="EM410" s="663"/>
      <c r="EN410" s="663"/>
      <c r="EO410" s="663"/>
      <c r="EP410" s="663"/>
      <c r="EQ410" s="663"/>
      <c r="ER410" s="663"/>
      <c r="ES410" s="663"/>
      <c r="ET410" s="663"/>
      <c r="EU410" s="663"/>
      <c r="EV410" s="663"/>
      <c r="EW410" s="663"/>
      <c r="EX410" s="663"/>
      <c r="EY410" s="663"/>
      <c r="EZ410" s="663"/>
      <c r="FA410" s="663"/>
      <c r="FB410" s="663"/>
      <c r="FC410" s="663"/>
      <c r="FD410" s="663"/>
      <c r="FE410" s="663"/>
      <c r="FF410" s="663"/>
      <c r="FG410" s="663"/>
      <c r="FH410" s="663"/>
      <c r="FI410" s="663"/>
      <c r="FJ410" s="663"/>
      <c r="FK410" s="663"/>
      <c r="FL410" s="663"/>
      <c r="FM410" s="663"/>
      <c r="FN410" s="663"/>
      <c r="FO410" s="663"/>
      <c r="FP410" s="663"/>
      <c r="FQ410" s="663"/>
      <c r="FR410" s="663"/>
      <c r="FS410" s="663"/>
      <c r="FT410" s="663"/>
      <c r="FU410" s="663"/>
      <c r="FV410" s="663"/>
      <c r="FW410" s="663"/>
      <c r="FX410" s="663"/>
      <c r="FY410" s="663"/>
      <c r="FZ410" s="663"/>
      <c r="GA410" s="663"/>
      <c r="GB410" s="663"/>
      <c r="GC410" s="663"/>
      <c r="GD410" s="663"/>
      <c r="GE410" s="663"/>
      <c r="GF410" s="663"/>
      <c r="GG410" s="663"/>
    </row>
    <row r="411" spans="1:189">
      <c r="A411" s="670"/>
      <c r="B411" s="670"/>
      <c r="C411" s="670"/>
      <c r="D411" s="670"/>
      <c r="E411" s="670"/>
      <c r="F411" s="670"/>
      <c r="G411" s="673"/>
      <c r="H411" s="627"/>
      <c r="I411" s="627"/>
      <c r="J411" s="672"/>
      <c r="K411" s="663"/>
      <c r="L411" s="663"/>
      <c r="M411" s="663"/>
      <c r="N411" s="663"/>
      <c r="O411" s="663"/>
      <c r="P411" s="663"/>
      <c r="Q411" s="663"/>
      <c r="R411" s="663"/>
      <c r="S411" s="663"/>
      <c r="T411" s="663"/>
      <c r="U411" s="663"/>
      <c r="V411" s="663"/>
      <c r="W411" s="663"/>
      <c r="X411" s="663"/>
      <c r="Y411" s="663"/>
      <c r="Z411" s="663"/>
      <c r="AA411" s="663"/>
      <c r="AB411" s="663"/>
      <c r="AC411" s="663"/>
      <c r="AD411" s="663"/>
      <c r="AE411" s="663"/>
      <c r="AF411" s="663"/>
      <c r="AG411" s="663"/>
      <c r="AH411" s="663"/>
      <c r="AI411" s="663"/>
      <c r="AJ411" s="663"/>
      <c r="AK411" s="663"/>
      <c r="AL411" s="663"/>
      <c r="AM411" s="663"/>
      <c r="AN411" s="663"/>
      <c r="AO411" s="663"/>
      <c r="AP411" s="663"/>
      <c r="AQ411" s="663"/>
      <c r="AR411" s="663"/>
      <c r="AS411" s="663"/>
      <c r="AT411" s="663"/>
      <c r="AU411" s="663"/>
      <c r="AV411" s="663"/>
      <c r="AW411" s="663"/>
      <c r="AX411" s="663"/>
      <c r="AY411" s="663"/>
      <c r="AZ411" s="663"/>
      <c r="BA411" s="663"/>
      <c r="BB411" s="663"/>
      <c r="BC411" s="663"/>
      <c r="BD411" s="663"/>
      <c r="BE411" s="663"/>
      <c r="BF411" s="663"/>
      <c r="BG411" s="663"/>
      <c r="BH411" s="663"/>
      <c r="BI411" s="663"/>
      <c r="BJ411" s="663"/>
      <c r="BK411" s="663"/>
      <c r="BL411" s="663"/>
      <c r="BM411" s="663"/>
      <c r="BN411" s="663"/>
      <c r="BO411" s="663"/>
      <c r="BP411" s="663"/>
      <c r="BQ411" s="663"/>
      <c r="BR411" s="663"/>
      <c r="BS411" s="663"/>
      <c r="BT411" s="663"/>
      <c r="BU411" s="663"/>
      <c r="BV411" s="663"/>
      <c r="BW411" s="663"/>
      <c r="BX411" s="663"/>
      <c r="BY411" s="663"/>
      <c r="BZ411" s="663"/>
      <c r="CA411" s="663"/>
      <c r="CB411" s="663"/>
      <c r="CC411" s="663"/>
      <c r="CD411" s="663"/>
      <c r="CE411" s="663"/>
      <c r="CF411" s="663"/>
      <c r="CG411" s="663"/>
      <c r="CH411" s="663"/>
      <c r="CI411" s="663"/>
      <c r="CJ411" s="663"/>
      <c r="CK411" s="663"/>
      <c r="CL411" s="663"/>
      <c r="CM411" s="663"/>
      <c r="CN411" s="663"/>
      <c r="CO411" s="663"/>
      <c r="CP411" s="663"/>
      <c r="CQ411" s="663"/>
      <c r="CR411" s="663"/>
      <c r="CS411" s="663"/>
      <c r="CT411" s="663"/>
      <c r="CU411" s="663"/>
      <c r="CV411" s="663"/>
      <c r="CW411" s="663"/>
      <c r="CX411" s="663"/>
      <c r="CY411" s="663"/>
      <c r="CZ411" s="663"/>
      <c r="DA411" s="663"/>
      <c r="DB411" s="663"/>
      <c r="DC411" s="663"/>
      <c r="DD411" s="663"/>
      <c r="DE411" s="663"/>
      <c r="DF411" s="663"/>
      <c r="DG411" s="663"/>
      <c r="DH411" s="663"/>
      <c r="DI411" s="663"/>
      <c r="DJ411" s="663"/>
      <c r="DK411" s="663"/>
      <c r="DL411" s="663"/>
      <c r="DM411" s="663"/>
      <c r="DN411" s="663"/>
      <c r="DO411" s="663"/>
      <c r="DP411" s="663"/>
      <c r="DQ411" s="663"/>
      <c r="DR411" s="663"/>
      <c r="DS411" s="663"/>
      <c r="DT411" s="663"/>
      <c r="DU411" s="663"/>
      <c r="DV411" s="663"/>
      <c r="DW411" s="663"/>
      <c r="DX411" s="663"/>
      <c r="DY411" s="663"/>
      <c r="DZ411" s="663"/>
      <c r="EA411" s="663"/>
      <c r="EB411" s="663"/>
      <c r="EC411" s="663"/>
      <c r="ED411" s="663"/>
      <c r="EE411" s="663"/>
      <c r="EF411" s="663"/>
      <c r="EG411" s="663"/>
      <c r="EH411" s="663"/>
      <c r="EI411" s="663"/>
      <c r="EJ411" s="663"/>
      <c r="EK411" s="663"/>
      <c r="EL411" s="663"/>
      <c r="EM411" s="663"/>
      <c r="EN411" s="663"/>
      <c r="EO411" s="663"/>
      <c r="EP411" s="663"/>
      <c r="EQ411" s="663"/>
      <c r="ER411" s="663"/>
      <c r="ES411" s="663"/>
      <c r="ET411" s="663"/>
      <c r="EU411" s="663"/>
      <c r="EV411" s="663"/>
      <c r="EW411" s="663"/>
      <c r="EX411" s="663"/>
      <c r="EY411" s="663"/>
      <c r="EZ411" s="663"/>
      <c r="FA411" s="663"/>
      <c r="FB411" s="663"/>
      <c r="FC411" s="663"/>
      <c r="FD411" s="663"/>
      <c r="FE411" s="663"/>
      <c r="FF411" s="663"/>
      <c r="FG411" s="663"/>
      <c r="FH411" s="663"/>
      <c r="FI411" s="663"/>
      <c r="FJ411" s="663"/>
      <c r="FK411" s="663"/>
      <c r="FL411" s="663"/>
      <c r="FM411" s="663"/>
      <c r="FN411" s="663"/>
      <c r="FO411" s="663"/>
      <c r="FP411" s="663"/>
      <c r="FQ411" s="663"/>
      <c r="FR411" s="663"/>
      <c r="FS411" s="663"/>
      <c r="FT411" s="663"/>
      <c r="FU411" s="663"/>
      <c r="FV411" s="663"/>
      <c r="FW411" s="663"/>
      <c r="FX411" s="663"/>
      <c r="FY411" s="663"/>
      <c r="FZ411" s="663"/>
      <c r="GA411" s="663"/>
      <c r="GB411" s="663"/>
      <c r="GC411" s="663"/>
      <c r="GD411" s="663"/>
      <c r="GE411" s="663"/>
      <c r="GF411" s="663"/>
      <c r="GG411" s="663"/>
    </row>
    <row r="412" spans="1:189">
      <c r="A412" s="670"/>
      <c r="B412" s="670"/>
      <c r="C412" s="670"/>
      <c r="D412" s="670"/>
      <c r="E412" s="670"/>
      <c r="F412" s="670"/>
      <c r="G412" s="673"/>
      <c r="H412" s="627"/>
      <c r="I412" s="627"/>
      <c r="J412" s="672"/>
      <c r="K412" s="663"/>
      <c r="L412" s="663"/>
      <c r="M412" s="663"/>
      <c r="N412" s="663"/>
      <c r="O412" s="663"/>
      <c r="P412" s="663"/>
      <c r="Q412" s="663"/>
      <c r="R412" s="663"/>
      <c r="S412" s="663"/>
      <c r="T412" s="663"/>
      <c r="U412" s="663"/>
      <c r="V412" s="663"/>
      <c r="W412" s="663"/>
      <c r="X412" s="663"/>
      <c r="Y412" s="663"/>
      <c r="Z412" s="663"/>
      <c r="AA412" s="663"/>
      <c r="AB412" s="663"/>
      <c r="AC412" s="663"/>
      <c r="AD412" s="663"/>
      <c r="AE412" s="663"/>
      <c r="AF412" s="663"/>
      <c r="AG412" s="663"/>
      <c r="AH412" s="663"/>
      <c r="AI412" s="663"/>
      <c r="AJ412" s="663"/>
      <c r="AK412" s="663"/>
      <c r="AL412" s="663"/>
      <c r="AM412" s="663"/>
      <c r="AN412" s="663"/>
      <c r="AO412" s="663"/>
      <c r="AP412" s="663"/>
      <c r="AQ412" s="663"/>
      <c r="AR412" s="663"/>
      <c r="AS412" s="663"/>
      <c r="AT412" s="663"/>
      <c r="AU412" s="663"/>
      <c r="AV412" s="663"/>
      <c r="AW412" s="663"/>
      <c r="AX412" s="663"/>
      <c r="AY412" s="663"/>
      <c r="AZ412" s="663"/>
      <c r="BA412" s="663"/>
      <c r="BB412" s="663"/>
      <c r="BC412" s="663"/>
      <c r="BD412" s="663"/>
      <c r="BE412" s="663"/>
      <c r="BF412" s="663"/>
      <c r="BG412" s="663"/>
      <c r="BH412" s="663"/>
      <c r="BI412" s="663"/>
      <c r="BJ412" s="663"/>
      <c r="BK412" s="663"/>
      <c r="BL412" s="663"/>
      <c r="BM412" s="663"/>
      <c r="BN412" s="663"/>
      <c r="BO412" s="663"/>
      <c r="BP412" s="663"/>
      <c r="BQ412" s="663"/>
      <c r="BR412" s="663"/>
      <c r="BS412" s="663"/>
      <c r="BT412" s="663"/>
      <c r="BU412" s="663"/>
      <c r="BV412" s="663"/>
      <c r="BW412" s="663"/>
      <c r="BX412" s="663"/>
      <c r="BY412" s="663"/>
      <c r="BZ412" s="663"/>
      <c r="CA412" s="663"/>
      <c r="CB412" s="663"/>
      <c r="CC412" s="663"/>
      <c r="CD412" s="663"/>
      <c r="CE412" s="663"/>
      <c r="CF412" s="663"/>
      <c r="CG412" s="663"/>
      <c r="CH412" s="663"/>
      <c r="CI412" s="663"/>
      <c r="CJ412" s="663"/>
      <c r="CK412" s="663"/>
      <c r="CL412" s="663"/>
      <c r="CM412" s="663"/>
      <c r="CN412" s="663"/>
      <c r="CO412" s="663"/>
      <c r="CP412" s="663"/>
      <c r="CQ412" s="663"/>
      <c r="CR412" s="663"/>
      <c r="CS412" s="663"/>
      <c r="CT412" s="663"/>
      <c r="CU412" s="663"/>
      <c r="CV412" s="663"/>
      <c r="CW412" s="663"/>
      <c r="CX412" s="663"/>
      <c r="CY412" s="663"/>
      <c r="CZ412" s="663"/>
      <c r="DA412" s="663"/>
      <c r="DB412" s="663"/>
      <c r="DC412" s="663"/>
      <c r="DD412" s="663"/>
      <c r="DE412" s="663"/>
      <c r="DF412" s="663"/>
      <c r="DG412" s="663"/>
      <c r="DH412" s="663"/>
      <c r="DI412" s="663"/>
      <c r="DJ412" s="663"/>
      <c r="DK412" s="663"/>
      <c r="DL412" s="663"/>
      <c r="DM412" s="663"/>
      <c r="DN412" s="663"/>
      <c r="DO412" s="663"/>
      <c r="DP412" s="663"/>
      <c r="DQ412" s="663"/>
      <c r="DR412" s="663"/>
      <c r="DS412" s="663"/>
      <c r="DT412" s="663"/>
      <c r="DU412" s="663"/>
      <c r="DV412" s="663"/>
      <c r="DW412" s="663"/>
      <c r="DX412" s="663"/>
      <c r="DY412" s="663"/>
      <c r="DZ412" s="663"/>
      <c r="EA412" s="663"/>
      <c r="EB412" s="663"/>
      <c r="EC412" s="663"/>
      <c r="ED412" s="663"/>
      <c r="EE412" s="663"/>
      <c r="EF412" s="663"/>
      <c r="EG412" s="663"/>
      <c r="EH412" s="663"/>
      <c r="EI412" s="663"/>
      <c r="EJ412" s="663"/>
      <c r="EK412" s="663"/>
      <c r="EL412" s="663"/>
      <c r="EM412" s="663"/>
      <c r="EN412" s="663"/>
      <c r="EO412" s="663"/>
      <c r="EP412" s="663"/>
      <c r="EQ412" s="663"/>
      <c r="ER412" s="663"/>
      <c r="ES412" s="663"/>
      <c r="ET412" s="663"/>
      <c r="EU412" s="663"/>
      <c r="EV412" s="663"/>
      <c r="EW412" s="663"/>
      <c r="EX412" s="663"/>
      <c r="EY412" s="663"/>
      <c r="EZ412" s="663"/>
      <c r="FA412" s="663"/>
      <c r="FB412" s="663"/>
      <c r="FC412" s="663"/>
      <c r="FD412" s="663"/>
      <c r="FE412" s="663"/>
      <c r="FF412" s="663"/>
      <c r="FG412" s="663"/>
      <c r="FH412" s="663"/>
      <c r="FI412" s="663"/>
      <c r="FJ412" s="663"/>
      <c r="FK412" s="663"/>
      <c r="FL412" s="663"/>
      <c r="FM412" s="663"/>
      <c r="FN412" s="663"/>
      <c r="FO412" s="663"/>
      <c r="FP412" s="663"/>
      <c r="FQ412" s="663"/>
      <c r="FR412" s="663"/>
      <c r="FS412" s="663"/>
      <c r="FT412" s="663"/>
      <c r="FU412" s="663"/>
      <c r="FV412" s="663"/>
      <c r="FW412" s="663"/>
      <c r="FX412" s="663"/>
      <c r="FY412" s="663"/>
      <c r="FZ412" s="663"/>
      <c r="GA412" s="663"/>
      <c r="GB412" s="663"/>
      <c r="GC412" s="663"/>
      <c r="GD412" s="663"/>
      <c r="GE412" s="663"/>
      <c r="GF412" s="663"/>
      <c r="GG412" s="663"/>
    </row>
    <row r="413" spans="1:189">
      <c r="A413" s="670"/>
      <c r="B413" s="670"/>
      <c r="C413" s="670"/>
      <c r="D413" s="670"/>
      <c r="E413" s="670"/>
      <c r="F413" s="670"/>
      <c r="G413" s="673"/>
      <c r="H413" s="627"/>
      <c r="I413" s="627"/>
      <c r="J413" s="672"/>
      <c r="K413" s="663"/>
      <c r="L413" s="663"/>
      <c r="M413" s="663"/>
      <c r="N413" s="663"/>
      <c r="O413" s="663"/>
      <c r="P413" s="663"/>
      <c r="Q413" s="663"/>
      <c r="R413" s="663"/>
      <c r="S413" s="663"/>
      <c r="T413" s="663"/>
      <c r="U413" s="663"/>
      <c r="V413" s="663"/>
      <c r="W413" s="663"/>
      <c r="X413" s="663"/>
      <c r="Y413" s="663"/>
      <c r="Z413" s="663"/>
      <c r="AA413" s="663"/>
      <c r="AB413" s="663"/>
      <c r="AC413" s="663"/>
      <c r="AD413" s="663"/>
      <c r="AE413" s="663"/>
      <c r="AF413" s="663"/>
      <c r="AG413" s="663"/>
      <c r="AH413" s="663"/>
      <c r="AI413" s="663"/>
      <c r="AJ413" s="663"/>
      <c r="AK413" s="663"/>
      <c r="AL413" s="663"/>
      <c r="AM413" s="663"/>
      <c r="AN413" s="663"/>
      <c r="AO413" s="663"/>
      <c r="AP413" s="663"/>
      <c r="AQ413" s="663"/>
      <c r="AR413" s="663"/>
      <c r="AS413" s="663"/>
      <c r="AT413" s="663"/>
      <c r="AU413" s="663"/>
      <c r="AV413" s="663"/>
      <c r="AW413" s="663"/>
      <c r="AX413" s="663"/>
      <c r="AY413" s="663"/>
      <c r="AZ413" s="663"/>
      <c r="BA413" s="663"/>
      <c r="BB413" s="663"/>
      <c r="BC413" s="663"/>
      <c r="BD413" s="663"/>
      <c r="BE413" s="663"/>
      <c r="BF413" s="663"/>
      <c r="BG413" s="663"/>
      <c r="BH413" s="663"/>
      <c r="BI413" s="663"/>
      <c r="BJ413" s="663"/>
      <c r="BK413" s="663"/>
      <c r="BL413" s="663"/>
      <c r="BM413" s="663"/>
      <c r="BN413" s="663"/>
      <c r="BO413" s="663"/>
      <c r="BP413" s="663"/>
      <c r="BQ413" s="663"/>
      <c r="BR413" s="663"/>
      <c r="BS413" s="663"/>
      <c r="BT413" s="663"/>
      <c r="BU413" s="663"/>
      <c r="BV413" s="663"/>
      <c r="BW413" s="663"/>
      <c r="BX413" s="663"/>
      <c r="BY413" s="663"/>
      <c r="BZ413" s="663"/>
      <c r="CA413" s="663"/>
      <c r="CB413" s="663"/>
      <c r="CC413" s="663"/>
      <c r="CD413" s="663"/>
      <c r="CE413" s="663"/>
      <c r="CF413" s="663"/>
      <c r="CG413" s="663"/>
      <c r="CH413" s="663"/>
      <c r="CI413" s="663"/>
      <c r="CJ413" s="663"/>
      <c r="CK413" s="663"/>
      <c r="CL413" s="663"/>
      <c r="CM413" s="663"/>
      <c r="CN413" s="663"/>
      <c r="CO413" s="663"/>
      <c r="CP413" s="663"/>
      <c r="CQ413" s="663"/>
      <c r="CR413" s="663"/>
      <c r="CS413" s="663"/>
      <c r="CT413" s="663"/>
      <c r="CU413" s="663"/>
      <c r="CV413" s="663"/>
      <c r="CW413" s="663"/>
      <c r="CX413" s="663"/>
      <c r="CY413" s="663"/>
      <c r="CZ413" s="663"/>
      <c r="DA413" s="663"/>
      <c r="DB413" s="663"/>
      <c r="DC413" s="663"/>
      <c r="DD413" s="663"/>
      <c r="DE413" s="663"/>
      <c r="DF413" s="663"/>
      <c r="DG413" s="663"/>
      <c r="DH413" s="663"/>
      <c r="DI413" s="663"/>
      <c r="DJ413" s="663"/>
      <c r="DK413" s="663"/>
      <c r="DL413" s="663"/>
      <c r="DM413" s="663"/>
      <c r="DN413" s="663"/>
      <c r="DO413" s="663"/>
      <c r="DP413" s="663"/>
      <c r="DQ413" s="663"/>
      <c r="DR413" s="663"/>
      <c r="DS413" s="663"/>
      <c r="DT413" s="663"/>
      <c r="DU413" s="663"/>
      <c r="DV413" s="663"/>
      <c r="DW413" s="663"/>
      <c r="DX413" s="663"/>
      <c r="DY413" s="663"/>
      <c r="DZ413" s="663"/>
      <c r="EA413" s="663"/>
      <c r="EB413" s="663"/>
      <c r="EC413" s="663"/>
      <c r="ED413" s="663"/>
      <c r="EE413" s="663"/>
      <c r="EF413" s="663"/>
      <c r="EG413" s="663"/>
      <c r="EH413" s="663"/>
      <c r="EI413" s="663"/>
      <c r="EJ413" s="663"/>
      <c r="EK413" s="663"/>
      <c r="EL413" s="663"/>
      <c r="EM413" s="663"/>
      <c r="EN413" s="663"/>
      <c r="EO413" s="663"/>
      <c r="EP413" s="663"/>
      <c r="EQ413" s="663"/>
      <c r="ER413" s="663"/>
      <c r="ES413" s="663"/>
      <c r="ET413" s="663"/>
      <c r="EU413" s="663"/>
      <c r="EV413" s="663"/>
      <c r="EW413" s="663"/>
      <c r="EX413" s="663"/>
      <c r="EY413" s="663"/>
      <c r="EZ413" s="663"/>
      <c r="FA413" s="663"/>
      <c r="FB413" s="663"/>
      <c r="FC413" s="663"/>
      <c r="FD413" s="663"/>
      <c r="FE413" s="663"/>
      <c r="FF413" s="663"/>
      <c r="FG413" s="663"/>
      <c r="FH413" s="663"/>
      <c r="FI413" s="663"/>
      <c r="FJ413" s="663"/>
      <c r="FK413" s="663"/>
      <c r="FL413" s="663"/>
      <c r="FM413" s="663"/>
      <c r="FN413" s="663"/>
      <c r="FO413" s="663"/>
      <c r="FP413" s="663"/>
      <c r="FQ413" s="663"/>
      <c r="FR413" s="663"/>
      <c r="FS413" s="663"/>
      <c r="FT413" s="663"/>
      <c r="FU413" s="663"/>
      <c r="FV413" s="663"/>
      <c r="FW413" s="663"/>
      <c r="FX413" s="663"/>
      <c r="FY413" s="663"/>
      <c r="FZ413" s="663"/>
      <c r="GA413" s="663"/>
      <c r="GB413" s="663"/>
      <c r="GC413" s="663"/>
      <c r="GD413" s="663"/>
      <c r="GE413" s="663"/>
      <c r="GF413" s="663"/>
      <c r="GG413" s="663"/>
    </row>
    <row r="414" spans="1:189">
      <c r="A414" s="670"/>
      <c r="B414" s="670"/>
      <c r="C414" s="670"/>
      <c r="D414" s="670"/>
      <c r="E414" s="670"/>
      <c r="F414" s="670"/>
      <c r="G414" s="673"/>
      <c r="H414" s="627"/>
      <c r="I414" s="627"/>
      <c r="J414" s="672"/>
      <c r="K414" s="663"/>
      <c r="L414" s="663"/>
      <c r="M414" s="663"/>
      <c r="N414" s="663"/>
      <c r="O414" s="663"/>
      <c r="P414" s="663"/>
      <c r="Q414" s="663"/>
      <c r="R414" s="663"/>
      <c r="S414" s="663"/>
      <c r="T414" s="663"/>
      <c r="U414" s="663"/>
      <c r="V414" s="663"/>
      <c r="W414" s="663"/>
      <c r="X414" s="663"/>
      <c r="Y414" s="663"/>
      <c r="Z414" s="663"/>
      <c r="AA414" s="663"/>
      <c r="AB414" s="663"/>
      <c r="AC414" s="663"/>
      <c r="AD414" s="663"/>
      <c r="AE414" s="663"/>
      <c r="AF414" s="663"/>
      <c r="AG414" s="663"/>
      <c r="AH414" s="663"/>
      <c r="AI414" s="663"/>
      <c r="AJ414" s="663"/>
      <c r="AK414" s="663"/>
      <c r="AL414" s="663"/>
      <c r="AM414" s="663"/>
      <c r="AN414" s="663"/>
      <c r="AO414" s="663"/>
      <c r="AP414" s="663"/>
      <c r="AQ414" s="663"/>
      <c r="AR414" s="663"/>
      <c r="AS414" s="663"/>
      <c r="AT414" s="663"/>
      <c r="AU414" s="663"/>
      <c r="AV414" s="663"/>
      <c r="AW414" s="663"/>
      <c r="AX414" s="663"/>
      <c r="AY414" s="663"/>
      <c r="AZ414" s="663"/>
      <c r="BA414" s="663"/>
      <c r="BB414" s="663"/>
      <c r="BC414" s="663"/>
      <c r="BD414" s="663"/>
      <c r="BE414" s="663"/>
      <c r="BF414" s="663"/>
      <c r="BG414" s="663"/>
      <c r="BH414" s="663"/>
      <c r="BI414" s="663"/>
      <c r="BJ414" s="663"/>
      <c r="BK414" s="663"/>
      <c r="BL414" s="663"/>
      <c r="BM414" s="663"/>
      <c r="BN414" s="663"/>
      <c r="BO414" s="663"/>
      <c r="BP414" s="663"/>
      <c r="BQ414" s="663"/>
      <c r="BR414" s="663"/>
      <c r="BS414" s="663"/>
      <c r="BT414" s="663"/>
      <c r="BU414" s="663"/>
      <c r="BV414" s="663"/>
      <c r="BW414" s="663"/>
      <c r="BX414" s="663"/>
      <c r="BY414" s="663"/>
      <c r="BZ414" s="663"/>
      <c r="CA414" s="663"/>
      <c r="CB414" s="663"/>
      <c r="CC414" s="663"/>
      <c r="CD414" s="663"/>
      <c r="CE414" s="663"/>
      <c r="CF414" s="663"/>
      <c r="CG414" s="663"/>
      <c r="CH414" s="663"/>
      <c r="CI414" s="663"/>
      <c r="CJ414" s="663"/>
      <c r="CK414" s="663"/>
      <c r="CL414" s="663"/>
      <c r="CM414" s="663"/>
      <c r="CN414" s="663"/>
      <c r="CO414" s="663"/>
      <c r="CP414" s="663"/>
      <c r="CQ414" s="663"/>
      <c r="CR414" s="663"/>
      <c r="CS414" s="663"/>
      <c r="CT414" s="663"/>
      <c r="CU414" s="663"/>
      <c r="CV414" s="663"/>
      <c r="CW414" s="663"/>
      <c r="CX414" s="663"/>
      <c r="CY414" s="663"/>
      <c r="CZ414" s="663"/>
      <c r="DA414" s="663"/>
      <c r="DB414" s="663"/>
      <c r="DC414" s="663"/>
      <c r="DD414" s="663"/>
      <c r="DE414" s="663"/>
      <c r="DF414" s="663"/>
      <c r="DG414" s="663"/>
      <c r="DH414" s="663"/>
      <c r="DI414" s="663"/>
      <c r="DJ414" s="663"/>
      <c r="DK414" s="663"/>
      <c r="DL414" s="663"/>
      <c r="DM414" s="663"/>
      <c r="DN414" s="663"/>
      <c r="DO414" s="663"/>
      <c r="DP414" s="663"/>
      <c r="DQ414" s="663"/>
      <c r="DR414" s="663"/>
      <c r="DS414" s="663"/>
      <c r="DT414" s="663"/>
      <c r="DU414" s="663"/>
      <c r="DV414" s="663"/>
      <c r="DW414" s="663"/>
      <c r="DX414" s="663"/>
      <c r="DY414" s="663"/>
      <c r="DZ414" s="663"/>
      <c r="EA414" s="663"/>
      <c r="EB414" s="663"/>
      <c r="EC414" s="663"/>
      <c r="ED414" s="663"/>
      <c r="EE414" s="663"/>
      <c r="EF414" s="663"/>
      <c r="EG414" s="663"/>
      <c r="EH414" s="663"/>
      <c r="EI414" s="663"/>
      <c r="EJ414" s="663"/>
      <c r="EK414" s="663"/>
      <c r="EL414" s="663"/>
      <c r="EM414" s="663"/>
      <c r="EN414" s="663"/>
      <c r="EO414" s="663"/>
      <c r="EP414" s="663"/>
      <c r="EQ414" s="663"/>
      <c r="ER414" s="663"/>
      <c r="ES414" s="663"/>
      <c r="ET414" s="663"/>
      <c r="EU414" s="663"/>
      <c r="EV414" s="663"/>
      <c r="EW414" s="663"/>
      <c r="EX414" s="663"/>
      <c r="EY414" s="663"/>
      <c r="EZ414" s="663"/>
      <c r="FA414" s="663"/>
      <c r="FB414" s="663"/>
      <c r="FC414" s="663"/>
      <c r="FD414" s="663"/>
      <c r="FE414" s="663"/>
      <c r="FF414" s="663"/>
      <c r="FG414" s="663"/>
      <c r="FH414" s="663"/>
      <c r="FI414" s="663"/>
      <c r="FJ414" s="663"/>
      <c r="FK414" s="663"/>
      <c r="FL414" s="663"/>
      <c r="FM414" s="663"/>
      <c r="FN414" s="663"/>
      <c r="FO414" s="663"/>
      <c r="FP414" s="663"/>
      <c r="FQ414" s="663"/>
      <c r="FR414" s="663"/>
      <c r="FS414" s="663"/>
      <c r="FT414" s="663"/>
      <c r="FU414" s="663"/>
      <c r="FV414" s="663"/>
      <c r="FW414" s="663"/>
      <c r="FX414" s="663"/>
      <c r="FY414" s="663"/>
      <c r="FZ414" s="663"/>
      <c r="GA414" s="663"/>
      <c r="GB414" s="663"/>
      <c r="GC414" s="663"/>
      <c r="GD414" s="663"/>
      <c r="GE414" s="663"/>
      <c r="GF414" s="663"/>
      <c r="GG414" s="663"/>
    </row>
    <row r="415" spans="1:189">
      <c r="A415" s="670"/>
      <c r="B415" s="670"/>
      <c r="C415" s="670"/>
      <c r="D415" s="670"/>
      <c r="E415" s="670"/>
      <c r="F415" s="670"/>
      <c r="G415" s="673"/>
      <c r="H415" s="627"/>
      <c r="I415" s="627"/>
      <c r="J415" s="672"/>
      <c r="K415" s="663"/>
      <c r="L415" s="663"/>
      <c r="M415" s="663"/>
      <c r="N415" s="663"/>
      <c r="O415" s="663"/>
      <c r="P415" s="663"/>
      <c r="Q415" s="663"/>
      <c r="R415" s="663"/>
      <c r="S415" s="663"/>
      <c r="T415" s="663"/>
      <c r="U415" s="663"/>
      <c r="V415" s="663"/>
      <c r="W415" s="663"/>
      <c r="X415" s="663"/>
      <c r="Y415" s="663"/>
      <c r="Z415" s="663"/>
      <c r="AA415" s="663"/>
      <c r="AB415" s="663"/>
      <c r="AC415" s="663"/>
      <c r="AD415" s="663"/>
      <c r="AE415" s="663"/>
      <c r="AF415" s="663"/>
      <c r="AG415" s="663"/>
      <c r="AH415" s="663"/>
      <c r="AI415" s="663"/>
      <c r="AJ415" s="663"/>
      <c r="AK415" s="663"/>
      <c r="AL415" s="663"/>
      <c r="AM415" s="663"/>
      <c r="AN415" s="663"/>
      <c r="AO415" s="663"/>
      <c r="AP415" s="663"/>
      <c r="AQ415" s="663"/>
      <c r="AR415" s="663"/>
      <c r="AS415" s="663"/>
      <c r="AT415" s="663"/>
      <c r="AU415" s="663"/>
      <c r="AV415" s="663"/>
      <c r="AW415" s="663"/>
      <c r="AX415" s="663"/>
      <c r="AY415" s="663"/>
      <c r="AZ415" s="663"/>
      <c r="BA415" s="663"/>
      <c r="BB415" s="663"/>
      <c r="BC415" s="663"/>
      <c r="BD415" s="663"/>
      <c r="BE415" s="663"/>
      <c r="BF415" s="663"/>
      <c r="BG415" s="663"/>
      <c r="BH415" s="663"/>
      <c r="BI415" s="663"/>
      <c r="BJ415" s="663"/>
      <c r="BK415" s="663"/>
      <c r="BL415" s="663"/>
      <c r="BM415" s="663"/>
      <c r="BN415" s="663"/>
      <c r="BO415" s="663"/>
      <c r="BP415" s="663"/>
      <c r="BQ415" s="663"/>
      <c r="BR415" s="663"/>
      <c r="BS415" s="663"/>
      <c r="BT415" s="663"/>
      <c r="BU415" s="663"/>
      <c r="BV415" s="663"/>
      <c r="BW415" s="663"/>
      <c r="BX415" s="663"/>
      <c r="BY415" s="663"/>
      <c r="BZ415" s="663"/>
      <c r="CA415" s="663"/>
      <c r="CB415" s="663"/>
      <c r="CC415" s="663"/>
      <c r="CD415" s="663"/>
      <c r="CE415" s="663"/>
      <c r="CF415" s="663"/>
      <c r="CG415" s="663"/>
      <c r="CH415" s="663"/>
      <c r="CI415" s="663"/>
      <c r="CJ415" s="663"/>
      <c r="CK415" s="663"/>
      <c r="CL415" s="663"/>
      <c r="CM415" s="663"/>
      <c r="CN415" s="663"/>
      <c r="CO415" s="663"/>
      <c r="CP415" s="663"/>
      <c r="CQ415" s="663"/>
      <c r="CR415" s="663"/>
      <c r="CS415" s="663"/>
      <c r="CT415" s="663"/>
      <c r="CU415" s="663"/>
      <c r="CV415" s="663"/>
      <c r="CW415" s="663"/>
      <c r="CX415" s="663"/>
      <c r="CY415" s="663"/>
      <c r="CZ415" s="663"/>
      <c r="DA415" s="663"/>
      <c r="DB415" s="663"/>
      <c r="DC415" s="663"/>
      <c r="DD415" s="663"/>
      <c r="DE415" s="663"/>
      <c r="DF415" s="663"/>
      <c r="DG415" s="663"/>
      <c r="DH415" s="663"/>
      <c r="DI415" s="663"/>
      <c r="DJ415" s="663"/>
      <c r="DK415" s="663"/>
      <c r="DL415" s="663"/>
      <c r="DM415" s="663"/>
      <c r="DN415" s="663"/>
      <c r="DO415" s="663"/>
      <c r="DP415" s="663"/>
      <c r="DQ415" s="663"/>
      <c r="DR415" s="663"/>
      <c r="DS415" s="663"/>
      <c r="DT415" s="663"/>
      <c r="DU415" s="663"/>
      <c r="DV415" s="663"/>
      <c r="DW415" s="663"/>
      <c r="DX415" s="663"/>
      <c r="DY415" s="663"/>
      <c r="DZ415" s="663"/>
      <c r="EA415" s="663"/>
      <c r="EB415" s="663"/>
      <c r="EC415" s="663"/>
      <c r="ED415" s="663"/>
      <c r="EE415" s="663"/>
      <c r="EF415" s="663"/>
      <c r="EG415" s="663"/>
      <c r="EH415" s="663"/>
      <c r="EI415" s="663"/>
      <c r="EJ415" s="663"/>
      <c r="EK415" s="663"/>
      <c r="EL415" s="663"/>
      <c r="EM415" s="663"/>
      <c r="EN415" s="663"/>
      <c r="EO415" s="663"/>
      <c r="EP415" s="663"/>
      <c r="EQ415" s="663"/>
      <c r="ER415" s="663"/>
      <c r="ES415" s="663"/>
      <c r="ET415" s="663"/>
      <c r="EU415" s="663"/>
      <c r="EV415" s="663"/>
      <c r="EW415" s="663"/>
      <c r="EX415" s="663"/>
      <c r="EY415" s="663"/>
      <c r="EZ415" s="663"/>
      <c r="FA415" s="663"/>
      <c r="FB415" s="663"/>
      <c r="FC415" s="663"/>
      <c r="FD415" s="663"/>
      <c r="FE415" s="663"/>
      <c r="FF415" s="663"/>
      <c r="FG415" s="663"/>
      <c r="FH415" s="663"/>
      <c r="FI415" s="663"/>
      <c r="FJ415" s="663"/>
      <c r="FK415" s="663"/>
      <c r="FL415" s="663"/>
      <c r="FM415" s="663"/>
      <c r="FN415" s="663"/>
      <c r="FO415" s="663"/>
      <c r="FP415" s="663"/>
      <c r="FQ415" s="663"/>
      <c r="FR415" s="663"/>
      <c r="FS415" s="663"/>
      <c r="FT415" s="663"/>
      <c r="FU415" s="663"/>
      <c r="FV415" s="663"/>
      <c r="FW415" s="663"/>
      <c r="FX415" s="663"/>
      <c r="FY415" s="663"/>
      <c r="FZ415" s="663"/>
      <c r="GA415" s="663"/>
      <c r="GB415" s="663"/>
      <c r="GC415" s="663"/>
      <c r="GD415" s="663"/>
      <c r="GE415" s="663"/>
      <c r="GF415" s="663"/>
      <c r="GG415" s="663"/>
    </row>
    <row r="416" spans="1:189">
      <c r="A416" s="670"/>
      <c r="B416" s="670"/>
      <c r="C416" s="670"/>
      <c r="D416" s="670"/>
      <c r="E416" s="670"/>
      <c r="F416" s="670"/>
      <c r="G416" s="673"/>
      <c r="H416" s="627"/>
      <c r="I416" s="627"/>
      <c r="J416" s="672"/>
      <c r="K416" s="663"/>
      <c r="L416" s="663"/>
      <c r="M416" s="663"/>
      <c r="N416" s="663"/>
      <c r="O416" s="663"/>
      <c r="P416" s="663"/>
      <c r="Q416" s="663"/>
      <c r="R416" s="663"/>
      <c r="S416" s="663"/>
      <c r="T416" s="663"/>
      <c r="U416" s="663"/>
      <c r="V416" s="663"/>
      <c r="W416" s="663"/>
      <c r="X416" s="663"/>
      <c r="Y416" s="663"/>
      <c r="Z416" s="663"/>
      <c r="AA416" s="663"/>
      <c r="AB416" s="663"/>
      <c r="AC416" s="663"/>
      <c r="AD416" s="663"/>
      <c r="AE416" s="663"/>
      <c r="AF416" s="663"/>
      <c r="AG416" s="663"/>
      <c r="AH416" s="663"/>
      <c r="AI416" s="663"/>
      <c r="AJ416" s="663"/>
      <c r="AK416" s="663"/>
      <c r="AL416" s="663"/>
      <c r="AM416" s="663"/>
      <c r="AN416" s="663"/>
      <c r="AO416" s="663"/>
      <c r="AP416" s="663"/>
      <c r="AQ416" s="663"/>
      <c r="AR416" s="663"/>
      <c r="AS416" s="663"/>
      <c r="AT416" s="663"/>
      <c r="AU416" s="663"/>
      <c r="AV416" s="663"/>
      <c r="AW416" s="663"/>
      <c r="AX416" s="663"/>
      <c r="AY416" s="663"/>
      <c r="AZ416" s="663"/>
      <c r="BA416" s="663"/>
      <c r="BB416" s="663"/>
      <c r="BC416" s="663"/>
      <c r="BD416" s="663"/>
      <c r="BE416" s="663"/>
      <c r="BF416" s="663"/>
      <c r="BG416" s="663"/>
      <c r="BH416" s="663"/>
      <c r="BI416" s="663"/>
      <c r="BJ416" s="663"/>
      <c r="BK416" s="663"/>
      <c r="BL416" s="663"/>
      <c r="BM416" s="663"/>
      <c r="BN416" s="663"/>
      <c r="BO416" s="663"/>
      <c r="BP416" s="663"/>
      <c r="BQ416" s="663"/>
      <c r="BR416" s="663"/>
      <c r="BS416" s="663"/>
      <c r="BT416" s="663"/>
      <c r="BU416" s="663"/>
      <c r="BV416" s="663"/>
      <c r="BW416" s="663"/>
      <c r="BX416" s="663"/>
      <c r="BY416" s="663"/>
      <c r="BZ416" s="663"/>
      <c r="CA416" s="663"/>
      <c r="CB416" s="663"/>
      <c r="CC416" s="663"/>
      <c r="CD416" s="663"/>
      <c r="CE416" s="663"/>
      <c r="CF416" s="663"/>
      <c r="CG416" s="663"/>
      <c r="CH416" s="663"/>
      <c r="CI416" s="663"/>
      <c r="CJ416" s="663"/>
      <c r="CK416" s="663"/>
      <c r="CL416" s="663"/>
      <c r="CM416" s="663"/>
      <c r="CN416" s="663"/>
      <c r="CO416" s="663"/>
      <c r="CP416" s="663"/>
      <c r="CQ416" s="663"/>
      <c r="CR416" s="663"/>
      <c r="CS416" s="663"/>
      <c r="CT416" s="663"/>
      <c r="CU416" s="663"/>
      <c r="CV416" s="663"/>
      <c r="CW416" s="663"/>
      <c r="CX416" s="663"/>
      <c r="CY416" s="663"/>
      <c r="CZ416" s="663"/>
      <c r="DA416" s="663"/>
      <c r="DB416" s="663"/>
      <c r="DC416" s="663"/>
      <c r="DD416" s="663"/>
      <c r="DE416" s="663"/>
      <c r="DF416" s="663"/>
      <c r="DG416" s="663"/>
      <c r="DH416" s="663"/>
      <c r="DI416" s="663"/>
      <c r="DJ416" s="663"/>
      <c r="DK416" s="663"/>
      <c r="DL416" s="663"/>
      <c r="DM416" s="663"/>
      <c r="DN416" s="663"/>
      <c r="DO416" s="663"/>
      <c r="DP416" s="663"/>
      <c r="DQ416" s="663"/>
      <c r="DR416" s="663"/>
      <c r="DS416" s="663"/>
      <c r="DT416" s="663"/>
      <c r="DU416" s="663"/>
      <c r="DV416" s="663"/>
      <c r="DW416" s="663"/>
      <c r="DX416" s="663"/>
      <c r="DY416" s="663"/>
      <c r="DZ416" s="663"/>
      <c r="EA416" s="663"/>
      <c r="EB416" s="663"/>
      <c r="EC416" s="663"/>
      <c r="ED416" s="663"/>
      <c r="EE416" s="663"/>
      <c r="EF416" s="663"/>
      <c r="EG416" s="663"/>
      <c r="EH416" s="663"/>
      <c r="EI416" s="663"/>
      <c r="EJ416" s="663"/>
      <c r="EK416" s="663"/>
      <c r="EL416" s="663"/>
      <c r="EM416" s="663"/>
      <c r="EN416" s="663"/>
      <c r="EO416" s="663"/>
      <c r="EP416" s="663"/>
      <c r="EQ416" s="663"/>
      <c r="ER416" s="663"/>
      <c r="ES416" s="663"/>
      <c r="ET416" s="663"/>
      <c r="EU416" s="663"/>
      <c r="EV416" s="663"/>
      <c r="EW416" s="663"/>
      <c r="EX416" s="663"/>
      <c r="EY416" s="663"/>
      <c r="EZ416" s="663"/>
      <c r="FA416" s="663"/>
      <c r="FB416" s="663"/>
      <c r="FC416" s="663"/>
      <c r="FD416" s="663"/>
      <c r="FE416" s="663"/>
      <c r="FF416" s="663"/>
      <c r="FG416" s="663"/>
      <c r="FH416" s="663"/>
      <c r="FI416" s="663"/>
      <c r="FJ416" s="663"/>
      <c r="FK416" s="663"/>
      <c r="FL416" s="663"/>
      <c r="FM416" s="663"/>
      <c r="FN416" s="663"/>
      <c r="FO416" s="663"/>
      <c r="FP416" s="663"/>
      <c r="FQ416" s="663"/>
      <c r="FR416" s="663"/>
      <c r="FS416" s="663"/>
      <c r="FT416" s="663"/>
      <c r="FU416" s="663"/>
      <c r="FV416" s="663"/>
      <c r="FW416" s="663"/>
      <c r="FX416" s="663"/>
      <c r="FY416" s="663"/>
      <c r="FZ416" s="663"/>
      <c r="GA416" s="663"/>
      <c r="GB416" s="663"/>
      <c r="GC416" s="663"/>
      <c r="GD416" s="663"/>
      <c r="GE416" s="663"/>
      <c r="GF416" s="663"/>
      <c r="GG416" s="663"/>
    </row>
    <row r="417" spans="1:189">
      <c r="A417" s="670"/>
      <c r="B417" s="670"/>
      <c r="C417" s="670"/>
      <c r="D417" s="670"/>
      <c r="E417" s="670"/>
      <c r="F417" s="670"/>
      <c r="G417" s="673"/>
      <c r="H417" s="627"/>
      <c r="I417" s="627"/>
      <c r="J417" s="672"/>
      <c r="K417" s="663"/>
      <c r="L417" s="663"/>
      <c r="M417" s="663"/>
      <c r="N417" s="663"/>
      <c r="O417" s="663"/>
      <c r="P417" s="663"/>
      <c r="Q417" s="663"/>
      <c r="R417" s="663"/>
      <c r="S417" s="663"/>
      <c r="T417" s="663"/>
      <c r="U417" s="663"/>
      <c r="V417" s="663"/>
      <c r="W417" s="663"/>
      <c r="X417" s="663"/>
      <c r="Y417" s="663"/>
      <c r="Z417" s="663"/>
      <c r="AA417" s="663"/>
      <c r="AB417" s="663"/>
      <c r="AC417" s="663"/>
      <c r="AD417" s="663"/>
      <c r="AE417" s="663"/>
      <c r="AF417" s="663"/>
      <c r="AG417" s="663"/>
      <c r="AH417" s="663"/>
      <c r="AI417" s="663"/>
      <c r="AJ417" s="663"/>
      <c r="AK417" s="663"/>
      <c r="AL417" s="663"/>
      <c r="AM417" s="663"/>
      <c r="AN417" s="663"/>
      <c r="AO417" s="663"/>
      <c r="AP417" s="663"/>
      <c r="AQ417" s="663"/>
      <c r="AR417" s="663"/>
      <c r="AS417" s="663"/>
      <c r="AT417" s="663"/>
      <c r="AU417" s="663"/>
      <c r="AV417" s="663"/>
      <c r="AW417" s="663"/>
      <c r="AX417" s="663"/>
      <c r="AY417" s="663"/>
      <c r="AZ417" s="663"/>
      <c r="BA417" s="663"/>
      <c r="BB417" s="663"/>
      <c r="BC417" s="663"/>
      <c r="BD417" s="663"/>
      <c r="BE417" s="663"/>
      <c r="BF417" s="663"/>
      <c r="BG417" s="663"/>
      <c r="BH417" s="663"/>
      <c r="BI417" s="663"/>
      <c r="BJ417" s="663"/>
      <c r="BK417" s="663"/>
      <c r="BL417" s="663"/>
      <c r="BM417" s="663"/>
      <c r="BN417" s="663"/>
      <c r="BO417" s="663"/>
      <c r="BP417" s="663"/>
      <c r="BQ417" s="663"/>
      <c r="BR417" s="663"/>
      <c r="BS417" s="663"/>
      <c r="BT417" s="663"/>
      <c r="BU417" s="663"/>
      <c r="BV417" s="663"/>
      <c r="BW417" s="663"/>
      <c r="BX417" s="663"/>
      <c r="BY417" s="663"/>
      <c r="BZ417" s="663"/>
      <c r="CA417" s="663"/>
      <c r="CB417" s="663"/>
      <c r="CC417" s="663"/>
      <c r="CD417" s="663"/>
      <c r="CE417" s="663"/>
      <c r="CF417" s="663"/>
      <c r="CG417" s="663"/>
      <c r="CH417" s="663"/>
      <c r="CI417" s="663"/>
      <c r="CJ417" s="663"/>
      <c r="CK417" s="663"/>
      <c r="CL417" s="663"/>
      <c r="CM417" s="663"/>
      <c r="CN417" s="663"/>
      <c r="CO417" s="663"/>
      <c r="CP417" s="663"/>
      <c r="CQ417" s="663"/>
      <c r="CR417" s="663"/>
      <c r="CS417" s="663"/>
      <c r="CT417" s="663"/>
      <c r="CU417" s="663"/>
      <c r="CV417" s="663"/>
      <c r="CW417" s="663"/>
      <c r="CX417" s="663"/>
      <c r="CY417" s="663"/>
      <c r="CZ417" s="663"/>
      <c r="DA417" s="663"/>
      <c r="DB417" s="663"/>
      <c r="DC417" s="663"/>
      <c r="DD417" s="663"/>
      <c r="DE417" s="663"/>
      <c r="DF417" s="663"/>
      <c r="DG417" s="663"/>
      <c r="DH417" s="663"/>
      <c r="DI417" s="663"/>
      <c r="DJ417" s="663"/>
      <c r="DK417" s="663"/>
      <c r="DL417" s="663"/>
      <c r="DM417" s="663"/>
      <c r="DN417" s="663"/>
      <c r="DO417" s="663"/>
      <c r="DP417" s="663"/>
      <c r="DQ417" s="663"/>
      <c r="DR417" s="663"/>
      <c r="DS417" s="663"/>
      <c r="DT417" s="663"/>
      <c r="DU417" s="663"/>
      <c r="DV417" s="663"/>
      <c r="DW417" s="663"/>
      <c r="DX417" s="663"/>
      <c r="DY417" s="663"/>
      <c r="DZ417" s="663"/>
      <c r="EA417" s="663"/>
      <c r="EB417" s="663"/>
      <c r="EC417" s="663"/>
      <c r="ED417" s="663"/>
      <c r="EE417" s="663"/>
      <c r="EF417" s="663"/>
      <c r="EG417" s="663"/>
      <c r="EH417" s="663"/>
      <c r="EI417" s="663"/>
      <c r="EJ417" s="663"/>
      <c r="EK417" s="663"/>
      <c r="EL417" s="663"/>
      <c r="EM417" s="663"/>
      <c r="EN417" s="663"/>
      <c r="EO417" s="663"/>
      <c r="EP417" s="663"/>
      <c r="EQ417" s="663"/>
      <c r="ER417" s="663"/>
      <c r="ES417" s="663"/>
      <c r="ET417" s="663"/>
      <c r="EU417" s="663"/>
      <c r="EV417" s="663"/>
      <c r="EW417" s="663"/>
      <c r="EX417" s="663"/>
      <c r="EY417" s="663"/>
      <c r="EZ417" s="663"/>
      <c r="FA417" s="663"/>
      <c r="FB417" s="663"/>
      <c r="FC417" s="663"/>
      <c r="FD417" s="663"/>
      <c r="FE417" s="663"/>
      <c r="FF417" s="663"/>
      <c r="FG417" s="663"/>
      <c r="FH417" s="663"/>
      <c r="FI417" s="663"/>
      <c r="FJ417" s="663"/>
      <c r="FK417" s="663"/>
      <c r="FL417" s="663"/>
      <c r="FM417" s="663"/>
      <c r="FN417" s="663"/>
      <c r="FO417" s="663"/>
      <c r="FP417" s="663"/>
      <c r="FQ417" s="663"/>
      <c r="FR417" s="663"/>
      <c r="FS417" s="663"/>
      <c r="FT417" s="663"/>
      <c r="FU417" s="663"/>
      <c r="FV417" s="663"/>
      <c r="FW417" s="663"/>
      <c r="FX417" s="663"/>
      <c r="FY417" s="663"/>
      <c r="FZ417" s="663"/>
      <c r="GA417" s="663"/>
      <c r="GB417" s="663"/>
      <c r="GC417" s="663"/>
      <c r="GD417" s="663"/>
      <c r="GE417" s="663"/>
      <c r="GF417" s="663"/>
      <c r="GG417" s="663"/>
    </row>
    <row r="418" spans="1:189">
      <c r="A418" s="670"/>
      <c r="B418" s="670"/>
      <c r="C418" s="670"/>
      <c r="D418" s="670"/>
      <c r="E418" s="670"/>
      <c r="F418" s="670"/>
      <c r="G418" s="673"/>
      <c r="H418" s="627"/>
      <c r="I418" s="627"/>
      <c r="J418" s="672"/>
      <c r="K418" s="663"/>
      <c r="L418" s="663"/>
      <c r="M418" s="663"/>
      <c r="N418" s="663"/>
      <c r="O418" s="663"/>
      <c r="P418" s="663"/>
      <c r="Q418" s="663"/>
      <c r="R418" s="663"/>
      <c r="S418" s="663"/>
      <c r="T418" s="663"/>
      <c r="U418" s="663"/>
      <c r="V418" s="663"/>
      <c r="W418" s="663"/>
      <c r="X418" s="663"/>
      <c r="Y418" s="663"/>
      <c r="Z418" s="663"/>
      <c r="AA418" s="663"/>
      <c r="AB418" s="663"/>
      <c r="AC418" s="663"/>
      <c r="AD418" s="663"/>
      <c r="AE418" s="663"/>
      <c r="AF418" s="663"/>
      <c r="AG418" s="663"/>
      <c r="AH418" s="663"/>
      <c r="AI418" s="663"/>
      <c r="AJ418" s="663"/>
      <c r="AK418" s="663"/>
      <c r="AL418" s="663"/>
      <c r="AM418" s="663"/>
      <c r="AN418" s="663"/>
      <c r="AO418" s="663"/>
      <c r="AP418" s="663"/>
      <c r="AQ418" s="663"/>
      <c r="AR418" s="663"/>
      <c r="AS418" s="663"/>
      <c r="AT418" s="663"/>
      <c r="AU418" s="663"/>
      <c r="AV418" s="663"/>
      <c r="AW418" s="663"/>
      <c r="AX418" s="663"/>
      <c r="AY418" s="663"/>
      <c r="AZ418" s="663"/>
      <c r="BA418" s="663"/>
      <c r="BB418" s="663"/>
      <c r="BC418" s="663"/>
      <c r="BD418" s="663"/>
      <c r="BE418" s="663"/>
      <c r="BF418" s="663"/>
      <c r="BG418" s="663"/>
      <c r="BH418" s="663"/>
      <c r="BI418" s="663"/>
      <c r="BJ418" s="663"/>
      <c r="BK418" s="663"/>
      <c r="BL418" s="663"/>
      <c r="BM418" s="663"/>
      <c r="BN418" s="663"/>
      <c r="BO418" s="663"/>
      <c r="BP418" s="663"/>
      <c r="BQ418" s="663"/>
      <c r="BR418" s="663"/>
      <c r="BS418" s="663"/>
      <c r="BT418" s="663"/>
      <c r="BU418" s="663"/>
      <c r="BV418" s="663"/>
      <c r="BW418" s="663"/>
      <c r="BX418" s="663"/>
      <c r="BY418" s="663"/>
      <c r="BZ418" s="663"/>
      <c r="CA418" s="663"/>
      <c r="CB418" s="663"/>
      <c r="CC418" s="663"/>
      <c r="CD418" s="663"/>
      <c r="CE418" s="663"/>
      <c r="CF418" s="663"/>
      <c r="CG418" s="663"/>
      <c r="CH418" s="663"/>
      <c r="CI418" s="663"/>
      <c r="CJ418" s="663"/>
      <c r="CK418" s="663"/>
      <c r="CL418" s="663"/>
      <c r="CM418" s="663"/>
      <c r="CN418" s="663"/>
      <c r="CO418" s="663"/>
      <c r="CP418" s="663"/>
      <c r="CQ418" s="663"/>
      <c r="CR418" s="663"/>
      <c r="CS418" s="663"/>
      <c r="CT418" s="663"/>
      <c r="CU418" s="663"/>
      <c r="CV418" s="663"/>
      <c r="CW418" s="663"/>
      <c r="CX418" s="663"/>
      <c r="CY418" s="663"/>
      <c r="CZ418" s="663"/>
      <c r="DA418" s="663"/>
      <c r="DB418" s="663"/>
      <c r="DC418" s="663"/>
      <c r="DD418" s="663"/>
      <c r="DE418" s="663"/>
      <c r="DF418" s="663"/>
      <c r="DG418" s="663"/>
      <c r="DH418" s="663"/>
      <c r="DI418" s="663"/>
      <c r="DJ418" s="663"/>
      <c r="DK418" s="663"/>
      <c r="DL418" s="663"/>
      <c r="DM418" s="663"/>
      <c r="DN418" s="663"/>
      <c r="DO418" s="663"/>
      <c r="DP418" s="663"/>
      <c r="DQ418" s="663"/>
      <c r="DR418" s="663"/>
      <c r="DS418" s="663"/>
      <c r="DT418" s="663"/>
      <c r="DU418" s="663"/>
      <c r="DV418" s="663"/>
      <c r="DW418" s="663"/>
      <c r="DX418" s="663"/>
      <c r="DY418" s="663"/>
      <c r="DZ418" s="663"/>
      <c r="EA418" s="663"/>
      <c r="EB418" s="663"/>
      <c r="EC418" s="663"/>
      <c r="ED418" s="663"/>
      <c r="EE418" s="663"/>
      <c r="EF418" s="663"/>
      <c r="EG418" s="663"/>
      <c r="EH418" s="663"/>
      <c r="EI418" s="663"/>
      <c r="EJ418" s="663"/>
      <c r="EK418" s="663"/>
      <c r="EL418" s="663"/>
      <c r="EM418" s="663"/>
      <c r="EN418" s="663"/>
      <c r="EO418" s="663"/>
      <c r="EP418" s="663"/>
      <c r="EQ418" s="663"/>
      <c r="ER418" s="663"/>
      <c r="ES418" s="663"/>
      <c r="ET418" s="663"/>
      <c r="EU418" s="663"/>
      <c r="EV418" s="663"/>
      <c r="EW418" s="663"/>
      <c r="EX418" s="663"/>
      <c r="EY418" s="663"/>
      <c r="EZ418" s="663"/>
      <c r="FA418" s="663"/>
      <c r="FB418" s="663"/>
      <c r="FC418" s="663"/>
      <c r="FD418" s="663"/>
      <c r="FE418" s="663"/>
      <c r="FF418" s="663"/>
      <c r="FG418" s="663"/>
      <c r="FH418" s="663"/>
      <c r="FI418" s="663"/>
      <c r="FJ418" s="663"/>
      <c r="FK418" s="663"/>
      <c r="FL418" s="663"/>
      <c r="FM418" s="663"/>
      <c r="FN418" s="663"/>
      <c r="FO418" s="663"/>
      <c r="FP418" s="663"/>
      <c r="FQ418" s="663"/>
      <c r="FR418" s="663"/>
      <c r="FS418" s="663"/>
      <c r="FT418" s="663"/>
      <c r="FU418" s="663"/>
      <c r="FV418" s="663"/>
      <c r="FW418" s="663"/>
      <c r="FX418" s="663"/>
      <c r="FY418" s="663"/>
      <c r="FZ418" s="663"/>
      <c r="GA418" s="663"/>
      <c r="GB418" s="663"/>
      <c r="GC418" s="663"/>
      <c r="GD418" s="663"/>
      <c r="GE418" s="663"/>
      <c r="GF418" s="663"/>
      <c r="GG418" s="663"/>
    </row>
    <row r="419" spans="1:189">
      <c r="A419" s="670"/>
      <c r="B419" s="670"/>
      <c r="C419" s="670"/>
      <c r="D419" s="670"/>
      <c r="E419" s="670"/>
      <c r="F419" s="670"/>
      <c r="G419" s="673"/>
      <c r="H419" s="627"/>
      <c r="I419" s="627"/>
      <c r="J419" s="672"/>
      <c r="K419" s="663"/>
      <c r="L419" s="663"/>
      <c r="M419" s="663"/>
      <c r="N419" s="663"/>
      <c r="O419" s="663"/>
      <c r="P419" s="663"/>
      <c r="Q419" s="663"/>
      <c r="R419" s="663"/>
      <c r="S419" s="663"/>
      <c r="T419" s="663"/>
      <c r="U419" s="663"/>
      <c r="V419" s="663"/>
      <c r="W419" s="663"/>
      <c r="X419" s="663"/>
      <c r="Y419" s="663"/>
      <c r="Z419" s="663"/>
      <c r="AA419" s="663"/>
      <c r="AB419" s="663"/>
      <c r="AC419" s="663"/>
      <c r="AD419" s="663"/>
      <c r="AE419" s="663"/>
      <c r="AF419" s="663"/>
      <c r="AG419" s="663"/>
      <c r="AH419" s="663"/>
      <c r="AI419" s="663"/>
      <c r="AJ419" s="663"/>
      <c r="AK419" s="663"/>
      <c r="AL419" s="663"/>
      <c r="AM419" s="663"/>
      <c r="AN419" s="663"/>
      <c r="AO419" s="663"/>
      <c r="AP419" s="663"/>
      <c r="AQ419" s="663"/>
      <c r="AR419" s="663"/>
      <c r="AS419" s="663"/>
      <c r="AT419" s="663"/>
      <c r="AU419" s="663"/>
      <c r="AV419" s="663"/>
      <c r="AW419" s="663"/>
      <c r="AX419" s="663"/>
      <c r="AY419" s="663"/>
      <c r="AZ419" s="663"/>
      <c r="BA419" s="663"/>
      <c r="BB419" s="663"/>
      <c r="BC419" s="663"/>
      <c r="BD419" s="663"/>
      <c r="BE419" s="663"/>
      <c r="BF419" s="663"/>
      <c r="BG419" s="663"/>
      <c r="BH419" s="663"/>
      <c r="BI419" s="663"/>
      <c r="BJ419" s="663"/>
      <c r="BK419" s="663"/>
      <c r="BL419" s="663"/>
      <c r="BM419" s="663"/>
      <c r="BN419" s="663"/>
      <c r="BO419" s="663"/>
      <c r="BP419" s="663"/>
      <c r="BQ419" s="663"/>
      <c r="BR419" s="663"/>
      <c r="BS419" s="663"/>
      <c r="BT419" s="663"/>
      <c r="BU419" s="663"/>
      <c r="BV419" s="663"/>
      <c r="BW419" s="663"/>
      <c r="BX419" s="663"/>
      <c r="BY419" s="663"/>
      <c r="BZ419" s="663"/>
      <c r="CA419" s="663"/>
      <c r="CB419" s="663"/>
      <c r="CC419" s="663"/>
      <c r="CD419" s="663"/>
      <c r="CE419" s="663"/>
      <c r="CF419" s="663"/>
      <c r="CG419" s="663"/>
      <c r="CH419" s="663"/>
      <c r="CI419" s="663"/>
      <c r="CJ419" s="663"/>
      <c r="CK419" s="663"/>
      <c r="CL419" s="663"/>
      <c r="CM419" s="663"/>
      <c r="CN419" s="663"/>
      <c r="CO419" s="663"/>
      <c r="CP419" s="663"/>
      <c r="CQ419" s="663"/>
      <c r="CR419" s="663"/>
      <c r="CS419" s="663"/>
      <c r="CT419" s="663"/>
      <c r="CU419" s="663"/>
      <c r="CV419" s="663"/>
      <c r="CW419" s="663"/>
      <c r="CX419" s="663"/>
      <c r="CY419" s="663"/>
      <c r="CZ419" s="663"/>
      <c r="DA419" s="663"/>
      <c r="DB419" s="663"/>
      <c r="DC419" s="663"/>
      <c r="DD419" s="663"/>
      <c r="DE419" s="663"/>
      <c r="DF419" s="663"/>
      <c r="DG419" s="663"/>
      <c r="DH419" s="663"/>
      <c r="DI419" s="663"/>
      <c r="DJ419" s="663"/>
      <c r="DK419" s="663"/>
      <c r="DL419" s="663"/>
      <c r="DM419" s="663"/>
      <c r="DN419" s="663"/>
      <c r="DO419" s="663"/>
      <c r="DP419" s="663"/>
      <c r="DQ419" s="663"/>
      <c r="DR419" s="663"/>
      <c r="DS419" s="663"/>
      <c r="DT419" s="663"/>
      <c r="DU419" s="663"/>
      <c r="DV419" s="663"/>
      <c r="DW419" s="663"/>
      <c r="DX419" s="663"/>
      <c r="DY419" s="663"/>
      <c r="DZ419" s="663"/>
      <c r="EA419" s="663"/>
      <c r="EB419" s="663"/>
      <c r="EC419" s="663"/>
      <c r="ED419" s="663"/>
      <c r="EE419" s="663"/>
      <c r="EF419" s="663"/>
      <c r="EG419" s="663"/>
      <c r="EH419" s="663"/>
      <c r="EI419" s="663"/>
      <c r="EJ419" s="663"/>
      <c r="EK419" s="663"/>
      <c r="EL419" s="663"/>
      <c r="EM419" s="663"/>
      <c r="EN419" s="663"/>
      <c r="EO419" s="663"/>
      <c r="EP419" s="663"/>
      <c r="EQ419" s="663"/>
      <c r="ER419" s="663"/>
      <c r="ES419" s="663"/>
      <c r="ET419" s="663"/>
      <c r="EU419" s="663"/>
      <c r="EV419" s="663"/>
      <c r="EW419" s="663"/>
      <c r="EX419" s="663"/>
      <c r="EY419" s="663"/>
      <c r="EZ419" s="663"/>
      <c r="FA419" s="663"/>
      <c r="FB419" s="663"/>
      <c r="FC419" s="663"/>
      <c r="FD419" s="663"/>
      <c r="FE419" s="663"/>
      <c r="FF419" s="663"/>
      <c r="FG419" s="663"/>
      <c r="FH419" s="663"/>
      <c r="FI419" s="663"/>
      <c r="FJ419" s="663"/>
      <c r="FK419" s="663"/>
      <c r="FL419" s="663"/>
      <c r="FM419" s="663"/>
      <c r="FN419" s="663"/>
      <c r="FO419" s="663"/>
      <c r="FP419" s="663"/>
      <c r="FQ419" s="663"/>
      <c r="FR419" s="663"/>
      <c r="FS419" s="663"/>
      <c r="FT419" s="663"/>
      <c r="FU419" s="663"/>
      <c r="FV419" s="663"/>
      <c r="FW419" s="663"/>
      <c r="FX419" s="663"/>
      <c r="FY419" s="663"/>
      <c r="FZ419" s="663"/>
      <c r="GA419" s="663"/>
      <c r="GB419" s="663"/>
      <c r="GC419" s="663"/>
      <c r="GD419" s="663"/>
      <c r="GE419" s="663"/>
      <c r="GF419" s="663"/>
      <c r="GG419" s="663"/>
    </row>
    <row r="420" spans="1:189">
      <c r="A420" s="670"/>
      <c r="B420" s="670"/>
      <c r="C420" s="670"/>
      <c r="D420" s="670"/>
      <c r="E420" s="670"/>
      <c r="F420" s="670"/>
      <c r="G420" s="673"/>
      <c r="H420" s="627"/>
      <c r="I420" s="627"/>
      <c r="J420" s="672"/>
      <c r="K420" s="663"/>
      <c r="L420" s="663"/>
      <c r="M420" s="663"/>
      <c r="N420" s="663"/>
      <c r="O420" s="663"/>
      <c r="P420" s="663"/>
      <c r="Q420" s="663"/>
      <c r="R420" s="663"/>
      <c r="S420" s="663"/>
      <c r="T420" s="663"/>
      <c r="U420" s="663"/>
      <c r="V420" s="663"/>
      <c r="W420" s="663"/>
      <c r="X420" s="663"/>
      <c r="Y420" s="663"/>
      <c r="Z420" s="663"/>
      <c r="AA420" s="663"/>
      <c r="AB420" s="663"/>
      <c r="AC420" s="663"/>
      <c r="AD420" s="663"/>
      <c r="AE420" s="663"/>
      <c r="AF420" s="663"/>
      <c r="AG420" s="663"/>
      <c r="AH420" s="663"/>
      <c r="AI420" s="663"/>
      <c r="AJ420" s="663"/>
      <c r="AK420" s="663"/>
      <c r="AL420" s="663"/>
      <c r="AM420" s="663"/>
      <c r="AN420" s="663"/>
      <c r="AO420" s="663"/>
      <c r="AP420" s="663"/>
      <c r="AQ420" s="663"/>
      <c r="AR420" s="663"/>
      <c r="AS420" s="663"/>
      <c r="AT420" s="663"/>
      <c r="AU420" s="663"/>
      <c r="AV420" s="663"/>
      <c r="AW420" s="663"/>
      <c r="AX420" s="663"/>
      <c r="AY420" s="663"/>
      <c r="AZ420" s="663"/>
      <c r="BA420" s="663"/>
      <c r="BB420" s="663"/>
      <c r="BC420" s="663"/>
      <c r="BD420" s="663"/>
      <c r="BE420" s="663"/>
      <c r="BF420" s="663"/>
      <c r="BG420" s="663"/>
      <c r="BH420" s="663"/>
      <c r="BI420" s="663"/>
      <c r="BJ420" s="663"/>
      <c r="BK420" s="663"/>
      <c r="BL420" s="663"/>
      <c r="BM420" s="663"/>
      <c r="BN420" s="663"/>
      <c r="BO420" s="663"/>
      <c r="BP420" s="663"/>
      <c r="BQ420" s="663"/>
      <c r="BR420" s="663"/>
      <c r="BS420" s="663"/>
      <c r="BT420" s="663"/>
      <c r="BU420" s="663"/>
      <c r="BV420" s="663"/>
      <c r="BW420" s="663"/>
      <c r="BX420" s="663"/>
      <c r="BY420" s="663"/>
      <c r="BZ420" s="663"/>
      <c r="CA420" s="663"/>
      <c r="CB420" s="663"/>
      <c r="CC420" s="663"/>
      <c r="CD420" s="663"/>
      <c r="CE420" s="663"/>
      <c r="CF420" s="663"/>
      <c r="CG420" s="663"/>
      <c r="CH420" s="663"/>
      <c r="CI420" s="663"/>
      <c r="CJ420" s="663"/>
      <c r="CK420" s="663"/>
      <c r="CL420" s="663"/>
      <c r="CM420" s="663"/>
      <c r="CN420" s="663"/>
      <c r="CO420" s="663"/>
      <c r="CP420" s="663"/>
      <c r="CQ420" s="663"/>
      <c r="CR420" s="663"/>
      <c r="CS420" s="663"/>
      <c r="CT420" s="663"/>
      <c r="CU420" s="663"/>
      <c r="CV420" s="663"/>
      <c r="CW420" s="663"/>
      <c r="CX420" s="663"/>
      <c r="CY420" s="663"/>
      <c r="CZ420" s="663"/>
      <c r="DA420" s="663"/>
      <c r="DB420" s="663"/>
      <c r="DC420" s="663"/>
      <c r="DD420" s="663"/>
      <c r="DE420" s="663"/>
      <c r="DF420" s="663"/>
      <c r="DG420" s="663"/>
      <c r="DH420" s="663"/>
      <c r="DI420" s="663"/>
      <c r="DJ420" s="663"/>
      <c r="DK420" s="663"/>
      <c r="DL420" s="663"/>
      <c r="DM420" s="663"/>
      <c r="DN420" s="663"/>
      <c r="DO420" s="663"/>
      <c r="DP420" s="663"/>
      <c r="DQ420" s="663"/>
      <c r="DR420" s="663"/>
      <c r="DS420" s="663"/>
      <c r="DT420" s="663"/>
      <c r="DU420" s="663"/>
      <c r="DV420" s="663"/>
      <c r="DW420" s="663"/>
      <c r="DX420" s="663"/>
      <c r="DY420" s="663"/>
      <c r="DZ420" s="663"/>
      <c r="EA420" s="663"/>
      <c r="EB420" s="663"/>
      <c r="EC420" s="663"/>
      <c r="ED420" s="663"/>
      <c r="EE420" s="663"/>
      <c r="EF420" s="663"/>
      <c r="EG420" s="663"/>
      <c r="EH420" s="663"/>
      <c r="EI420" s="663"/>
      <c r="EJ420" s="663"/>
      <c r="EK420" s="663"/>
      <c r="EL420" s="663"/>
      <c r="EM420" s="663"/>
      <c r="EN420" s="663"/>
      <c r="EO420" s="663"/>
      <c r="EP420" s="663"/>
      <c r="EQ420" s="663"/>
      <c r="ER420" s="663"/>
      <c r="ES420" s="663"/>
      <c r="ET420" s="663"/>
      <c r="EU420" s="663"/>
      <c r="EV420" s="663"/>
      <c r="EW420" s="663"/>
      <c r="EX420" s="663"/>
      <c r="EY420" s="663"/>
      <c r="EZ420" s="663"/>
      <c r="FA420" s="663"/>
      <c r="FB420" s="663"/>
      <c r="FC420" s="663"/>
      <c r="FD420" s="663"/>
      <c r="FE420" s="663"/>
      <c r="FF420" s="663"/>
      <c r="FG420" s="663"/>
      <c r="FH420" s="663"/>
      <c r="FI420" s="663"/>
      <c r="FJ420" s="663"/>
      <c r="FK420" s="663"/>
      <c r="FL420" s="663"/>
      <c r="FM420" s="663"/>
      <c r="FN420" s="663"/>
      <c r="FO420" s="663"/>
      <c r="FP420" s="663"/>
      <c r="FQ420" s="663"/>
      <c r="FR420" s="663"/>
      <c r="FS420" s="663"/>
      <c r="FT420" s="663"/>
      <c r="FU420" s="663"/>
      <c r="FV420" s="663"/>
      <c r="FW420" s="663"/>
      <c r="FX420" s="663"/>
      <c r="FY420" s="663"/>
      <c r="FZ420" s="663"/>
      <c r="GA420" s="663"/>
      <c r="GB420" s="663"/>
      <c r="GC420" s="663"/>
      <c r="GD420" s="663"/>
      <c r="GE420" s="663"/>
      <c r="GF420" s="663"/>
      <c r="GG420" s="663"/>
    </row>
    <row r="421" spans="1:189">
      <c r="A421" s="670"/>
      <c r="B421" s="670"/>
      <c r="C421" s="670"/>
      <c r="D421" s="670"/>
      <c r="E421" s="670"/>
      <c r="F421" s="670"/>
      <c r="G421" s="673"/>
      <c r="H421" s="627"/>
      <c r="I421" s="627"/>
      <c r="J421" s="672"/>
      <c r="K421" s="663"/>
      <c r="L421" s="663"/>
      <c r="M421" s="663"/>
      <c r="N421" s="663"/>
      <c r="O421" s="663"/>
      <c r="P421" s="663"/>
      <c r="Q421" s="663"/>
      <c r="R421" s="663"/>
      <c r="S421" s="663"/>
      <c r="T421" s="663"/>
      <c r="U421" s="663"/>
      <c r="V421" s="663"/>
      <c r="W421" s="663"/>
      <c r="X421" s="663"/>
      <c r="Y421" s="663"/>
      <c r="Z421" s="663"/>
      <c r="AA421" s="663"/>
      <c r="AB421" s="663"/>
      <c r="AC421" s="663"/>
      <c r="AD421" s="663"/>
      <c r="AE421" s="663"/>
      <c r="AF421" s="663"/>
      <c r="AG421" s="663"/>
      <c r="AH421" s="663"/>
      <c r="AI421" s="663"/>
      <c r="AJ421" s="663"/>
      <c r="AK421" s="663"/>
      <c r="AL421" s="663"/>
      <c r="AM421" s="663"/>
      <c r="AN421" s="663"/>
      <c r="AO421" s="663"/>
      <c r="AP421" s="663"/>
      <c r="AQ421" s="663"/>
      <c r="AR421" s="663"/>
      <c r="AS421" s="663"/>
      <c r="AT421" s="663"/>
      <c r="AU421" s="663"/>
      <c r="AV421" s="663"/>
      <c r="AW421" s="663"/>
      <c r="AX421" s="663"/>
      <c r="AY421" s="663"/>
      <c r="AZ421" s="663"/>
      <c r="BA421" s="663"/>
      <c r="BB421" s="663"/>
      <c r="BC421" s="663"/>
      <c r="BD421" s="663"/>
      <c r="BE421" s="663"/>
      <c r="BF421" s="663"/>
      <c r="BG421" s="663"/>
      <c r="BH421" s="663"/>
      <c r="BI421" s="663"/>
      <c r="BJ421" s="663"/>
      <c r="BK421" s="663"/>
      <c r="BL421" s="663"/>
      <c r="BM421" s="663"/>
      <c r="BN421" s="663"/>
      <c r="BO421" s="663"/>
      <c r="BP421" s="663"/>
      <c r="BQ421" s="663"/>
      <c r="BR421" s="663"/>
      <c r="BS421" s="663"/>
      <c r="BT421" s="663"/>
      <c r="BU421" s="663"/>
      <c r="BV421" s="663"/>
      <c r="BW421" s="663"/>
      <c r="BX421" s="663"/>
      <c r="BY421" s="663"/>
      <c r="BZ421" s="663"/>
      <c r="CA421" s="663"/>
      <c r="CB421" s="663"/>
      <c r="CC421" s="663"/>
      <c r="CD421" s="663"/>
      <c r="CE421" s="663"/>
      <c r="CF421" s="663"/>
      <c r="CG421" s="663"/>
      <c r="CH421" s="663"/>
      <c r="CI421" s="663"/>
      <c r="CJ421" s="663"/>
      <c r="CK421" s="663"/>
      <c r="CL421" s="663"/>
      <c r="CM421" s="663"/>
      <c r="CN421" s="663"/>
      <c r="CO421" s="663"/>
      <c r="CP421" s="663"/>
      <c r="CQ421" s="663"/>
      <c r="CR421" s="663"/>
      <c r="CS421" s="663"/>
      <c r="CT421" s="663"/>
      <c r="CU421" s="663"/>
      <c r="CV421" s="663"/>
      <c r="CW421" s="663"/>
      <c r="CX421" s="663"/>
      <c r="CY421" s="663"/>
      <c r="CZ421" s="663"/>
      <c r="DA421" s="663"/>
      <c r="DB421" s="663"/>
      <c r="DC421" s="663"/>
      <c r="DD421" s="663"/>
      <c r="DE421" s="663"/>
      <c r="DF421" s="663"/>
      <c r="DG421" s="663"/>
      <c r="DH421" s="663"/>
      <c r="DI421" s="663"/>
      <c r="DJ421" s="663"/>
      <c r="DK421" s="663"/>
      <c r="DL421" s="663"/>
      <c r="DM421" s="663"/>
      <c r="DN421" s="663"/>
      <c r="DO421" s="663"/>
      <c r="DP421" s="663"/>
      <c r="DQ421" s="663"/>
      <c r="DR421" s="663"/>
      <c r="DS421" s="663"/>
      <c r="DT421" s="663"/>
      <c r="DU421" s="663"/>
      <c r="DV421" s="663"/>
      <c r="DW421" s="663"/>
      <c r="DX421" s="663"/>
      <c r="DY421" s="663"/>
      <c r="DZ421" s="663"/>
      <c r="EA421" s="663"/>
      <c r="EB421" s="663"/>
      <c r="EC421" s="663"/>
      <c r="ED421" s="663"/>
      <c r="EE421" s="663"/>
      <c r="EF421" s="663"/>
      <c r="EG421" s="663"/>
      <c r="EH421" s="663"/>
      <c r="EI421" s="663"/>
      <c r="EJ421" s="663"/>
      <c r="EK421" s="663"/>
      <c r="EL421" s="663"/>
      <c r="EM421" s="663"/>
      <c r="EN421" s="663"/>
      <c r="EO421" s="663"/>
      <c r="EP421" s="663"/>
      <c r="EQ421" s="663"/>
      <c r="ER421" s="663"/>
      <c r="ES421" s="663"/>
      <c r="ET421" s="663"/>
      <c r="EU421" s="663"/>
      <c r="EV421" s="663"/>
      <c r="EW421" s="663"/>
      <c r="EX421" s="663"/>
      <c r="EY421" s="663"/>
      <c r="EZ421" s="663"/>
      <c r="FA421" s="663"/>
      <c r="FB421" s="663"/>
      <c r="FC421" s="663"/>
      <c r="FD421" s="663"/>
      <c r="FE421" s="663"/>
      <c r="FF421" s="663"/>
      <c r="FG421" s="663"/>
      <c r="FH421" s="663"/>
      <c r="FI421" s="663"/>
      <c r="FJ421" s="663"/>
      <c r="FK421" s="663"/>
      <c r="FL421" s="663"/>
      <c r="FM421" s="663"/>
      <c r="FN421" s="663"/>
      <c r="FO421" s="663"/>
      <c r="FP421" s="663"/>
      <c r="FQ421" s="663"/>
      <c r="FR421" s="663"/>
      <c r="FS421" s="663"/>
      <c r="FT421" s="663"/>
      <c r="FU421" s="663"/>
      <c r="FV421" s="663"/>
      <c r="FW421" s="663"/>
      <c r="FX421" s="663"/>
      <c r="FY421" s="663"/>
      <c r="FZ421" s="663"/>
      <c r="GA421" s="663"/>
      <c r="GB421" s="663"/>
      <c r="GC421" s="663"/>
      <c r="GD421" s="663"/>
      <c r="GE421" s="663"/>
      <c r="GF421" s="663"/>
      <c r="GG421" s="663"/>
    </row>
    <row r="422" spans="1:189">
      <c r="A422" s="670"/>
      <c r="B422" s="670"/>
      <c r="C422" s="670"/>
      <c r="D422" s="670"/>
      <c r="E422" s="670"/>
      <c r="F422" s="670"/>
      <c r="G422" s="673"/>
      <c r="H422" s="627"/>
      <c r="I422" s="627"/>
      <c r="J422" s="672"/>
      <c r="K422" s="663"/>
      <c r="L422" s="663"/>
      <c r="M422" s="663"/>
      <c r="N422" s="663"/>
      <c r="O422" s="663"/>
      <c r="P422" s="663"/>
      <c r="Q422" s="663"/>
      <c r="R422" s="663"/>
      <c r="S422" s="663"/>
      <c r="T422" s="663"/>
      <c r="U422" s="663"/>
      <c r="V422" s="663"/>
      <c r="W422" s="663"/>
      <c r="X422" s="663"/>
      <c r="Y422" s="663"/>
      <c r="Z422" s="663"/>
      <c r="AA422" s="663"/>
      <c r="AB422" s="663"/>
      <c r="AC422" s="663"/>
      <c r="AD422" s="663"/>
      <c r="AE422" s="663"/>
      <c r="AF422" s="663"/>
      <c r="AG422" s="663"/>
      <c r="AH422" s="663"/>
      <c r="AI422" s="663"/>
      <c r="AJ422" s="663"/>
      <c r="AK422" s="663"/>
      <c r="AL422" s="663"/>
      <c r="AM422" s="663"/>
      <c r="AN422" s="663"/>
      <c r="AO422" s="663"/>
      <c r="AP422" s="663"/>
      <c r="AQ422" s="663"/>
      <c r="AR422" s="663"/>
      <c r="AS422" s="663"/>
      <c r="AT422" s="663"/>
      <c r="AU422" s="663"/>
      <c r="AV422" s="663"/>
      <c r="AW422" s="663"/>
      <c r="AX422" s="663"/>
      <c r="AY422" s="663"/>
      <c r="AZ422" s="663"/>
      <c r="BA422" s="663"/>
      <c r="BB422" s="663"/>
      <c r="BC422" s="663"/>
      <c r="BD422" s="663"/>
      <c r="BE422" s="663"/>
      <c r="BF422" s="663"/>
      <c r="BG422" s="663"/>
      <c r="BH422" s="663"/>
      <c r="BI422" s="663"/>
      <c r="BJ422" s="663"/>
      <c r="BK422" s="663"/>
      <c r="BL422" s="663"/>
      <c r="BM422" s="663"/>
      <c r="BN422" s="663"/>
      <c r="BO422" s="663"/>
      <c r="BP422" s="663"/>
      <c r="BQ422" s="663"/>
      <c r="BR422" s="663"/>
      <c r="BS422" s="663"/>
      <c r="BT422" s="663"/>
      <c r="BU422" s="663"/>
      <c r="BV422" s="663"/>
      <c r="BW422" s="663"/>
      <c r="BX422" s="663"/>
      <c r="BY422" s="663"/>
      <c r="BZ422" s="663"/>
      <c r="CA422" s="663"/>
      <c r="CB422" s="663"/>
      <c r="CC422" s="663"/>
      <c r="CD422" s="663"/>
      <c r="CE422" s="663"/>
      <c r="CF422" s="663"/>
      <c r="CG422" s="663"/>
      <c r="CH422" s="663"/>
      <c r="CI422" s="663"/>
      <c r="CJ422" s="663"/>
      <c r="CK422" s="663"/>
      <c r="CL422" s="663"/>
      <c r="CM422" s="663"/>
      <c r="CN422" s="663"/>
      <c r="CO422" s="663"/>
      <c r="CP422" s="663"/>
      <c r="CQ422" s="663"/>
      <c r="CR422" s="663"/>
      <c r="CS422" s="663"/>
      <c r="CT422" s="663"/>
      <c r="CU422" s="663"/>
      <c r="CV422" s="663"/>
      <c r="CW422" s="663"/>
      <c r="CX422" s="663"/>
      <c r="CY422" s="663"/>
      <c r="CZ422" s="663"/>
      <c r="DA422" s="663"/>
      <c r="DB422" s="663"/>
      <c r="DC422" s="663"/>
      <c r="DD422" s="663"/>
      <c r="DE422" s="663"/>
      <c r="DF422" s="663"/>
      <c r="DG422" s="663"/>
      <c r="DH422" s="663"/>
      <c r="DI422" s="663"/>
      <c r="DJ422" s="663"/>
      <c r="DK422" s="663"/>
      <c r="DL422" s="663"/>
      <c r="DM422" s="663"/>
      <c r="DN422" s="663"/>
      <c r="DO422" s="663"/>
      <c r="DP422" s="663"/>
      <c r="DQ422" s="663"/>
      <c r="DR422" s="663"/>
      <c r="DS422" s="663"/>
      <c r="DT422" s="663"/>
      <c r="DU422" s="663"/>
      <c r="DV422" s="663"/>
      <c r="DW422" s="663"/>
      <c r="DX422" s="663"/>
      <c r="DY422" s="663"/>
      <c r="DZ422" s="663"/>
      <c r="EA422" s="663"/>
      <c r="EB422" s="663"/>
      <c r="EC422" s="663"/>
      <c r="ED422" s="663"/>
      <c r="EE422" s="663"/>
      <c r="EF422" s="663"/>
      <c r="EG422" s="663"/>
      <c r="EH422" s="663"/>
      <c r="EI422" s="663"/>
      <c r="EJ422" s="663"/>
      <c r="EK422" s="663"/>
      <c r="EL422" s="663"/>
      <c r="EM422" s="663"/>
      <c r="EN422" s="663"/>
      <c r="EO422" s="663"/>
      <c r="EP422" s="663"/>
      <c r="EQ422" s="663"/>
      <c r="ER422" s="663"/>
      <c r="ES422" s="663"/>
      <c r="ET422" s="663"/>
      <c r="EU422" s="663"/>
      <c r="EV422" s="663"/>
      <c r="EW422" s="663"/>
      <c r="EX422" s="663"/>
      <c r="EY422" s="663"/>
      <c r="EZ422" s="663"/>
      <c r="FA422" s="663"/>
      <c r="FB422" s="663"/>
      <c r="FC422" s="663"/>
      <c r="FD422" s="663"/>
      <c r="FE422" s="663"/>
      <c r="FF422" s="663"/>
      <c r="FG422" s="663"/>
      <c r="FH422" s="663"/>
      <c r="FI422" s="663"/>
      <c r="FJ422" s="663"/>
      <c r="FK422" s="663"/>
      <c r="FL422" s="663"/>
      <c r="FM422" s="663"/>
      <c r="FN422" s="663"/>
      <c r="FO422" s="663"/>
      <c r="FP422" s="663"/>
      <c r="FQ422" s="663"/>
      <c r="FR422" s="663"/>
      <c r="FS422" s="663"/>
      <c r="FT422" s="663"/>
      <c r="FU422" s="663"/>
      <c r="FV422" s="663"/>
      <c r="FW422" s="663"/>
      <c r="FX422" s="663"/>
      <c r="FY422" s="663"/>
      <c r="FZ422" s="663"/>
      <c r="GA422" s="663"/>
      <c r="GB422" s="663"/>
      <c r="GC422" s="663"/>
      <c r="GD422" s="663"/>
      <c r="GE422" s="663"/>
      <c r="GF422" s="663"/>
      <c r="GG422" s="663"/>
    </row>
    <row r="423" spans="1:189">
      <c r="A423" s="670"/>
      <c r="B423" s="670"/>
      <c r="C423" s="670"/>
      <c r="D423" s="670"/>
      <c r="E423" s="670"/>
      <c r="F423" s="670"/>
      <c r="G423" s="673"/>
      <c r="H423" s="627"/>
      <c r="I423" s="627"/>
      <c r="J423" s="672"/>
      <c r="K423" s="663"/>
      <c r="L423" s="663"/>
      <c r="M423" s="663"/>
      <c r="N423" s="663"/>
      <c r="O423" s="663"/>
      <c r="P423" s="663"/>
      <c r="Q423" s="663"/>
      <c r="R423" s="663"/>
      <c r="S423" s="663"/>
      <c r="T423" s="663"/>
      <c r="U423" s="663"/>
      <c r="V423" s="663"/>
      <c r="W423" s="663"/>
      <c r="X423" s="663"/>
      <c r="Y423" s="663"/>
      <c r="Z423" s="663"/>
      <c r="AA423" s="663"/>
      <c r="AB423" s="663"/>
      <c r="AC423" s="663"/>
      <c r="AD423" s="663"/>
      <c r="AE423" s="663"/>
      <c r="AF423" s="663"/>
      <c r="AG423" s="663"/>
      <c r="AH423" s="663"/>
      <c r="AI423" s="663"/>
      <c r="AJ423" s="663"/>
      <c r="AK423" s="663"/>
      <c r="AL423" s="663"/>
      <c r="AM423" s="663"/>
      <c r="AN423" s="663"/>
      <c r="AO423" s="663"/>
      <c r="AP423" s="663"/>
      <c r="AQ423" s="663"/>
      <c r="AR423" s="663"/>
      <c r="AS423" s="663"/>
      <c r="AT423" s="663"/>
      <c r="AU423" s="663"/>
      <c r="AV423" s="663"/>
      <c r="AW423" s="663"/>
      <c r="AX423" s="663"/>
      <c r="AY423" s="663"/>
      <c r="AZ423" s="663"/>
      <c r="BA423" s="663"/>
      <c r="BB423" s="663"/>
      <c r="BC423" s="663"/>
      <c r="BD423" s="663"/>
      <c r="BE423" s="663"/>
      <c r="BF423" s="663"/>
      <c r="BG423" s="663"/>
      <c r="BH423" s="663"/>
      <c r="BI423" s="663"/>
      <c r="BJ423" s="663"/>
      <c r="BK423" s="663"/>
      <c r="BL423" s="663"/>
      <c r="BM423" s="663"/>
      <c r="BN423" s="663"/>
      <c r="BO423" s="663"/>
      <c r="BP423" s="663"/>
      <c r="BQ423" s="663"/>
      <c r="BR423" s="663"/>
      <c r="BS423" s="663"/>
      <c r="BT423" s="663"/>
      <c r="BU423" s="663"/>
      <c r="BV423" s="663"/>
      <c r="BW423" s="663"/>
      <c r="BX423" s="663"/>
      <c r="BY423" s="663"/>
      <c r="BZ423" s="663"/>
      <c r="CA423" s="663"/>
      <c r="CB423" s="663"/>
      <c r="CC423" s="663"/>
      <c r="CD423" s="663"/>
      <c r="CE423" s="663"/>
      <c r="CF423" s="663"/>
      <c r="CG423" s="663"/>
      <c r="CH423" s="663"/>
      <c r="CI423" s="663"/>
      <c r="CJ423" s="663"/>
      <c r="CK423" s="663"/>
      <c r="CL423" s="663"/>
      <c r="CM423" s="663"/>
      <c r="CN423" s="663"/>
      <c r="CO423" s="663"/>
      <c r="CP423" s="663"/>
      <c r="CQ423" s="663"/>
      <c r="CR423" s="663"/>
      <c r="CS423" s="663"/>
      <c r="CT423" s="663"/>
      <c r="CU423" s="663"/>
      <c r="CV423" s="663"/>
      <c r="CW423" s="663"/>
      <c r="CX423" s="663"/>
      <c r="CY423" s="663"/>
      <c r="CZ423" s="663"/>
      <c r="DA423" s="663"/>
      <c r="DB423" s="663"/>
      <c r="DC423" s="663"/>
      <c r="DD423" s="663"/>
      <c r="DE423" s="663"/>
      <c r="DF423" s="663"/>
      <c r="DG423" s="663"/>
      <c r="DH423" s="663"/>
      <c r="DI423" s="663"/>
      <c r="DJ423" s="663"/>
      <c r="DK423" s="663"/>
      <c r="DL423" s="663"/>
      <c r="DM423" s="663"/>
      <c r="DN423" s="663"/>
      <c r="DO423" s="663"/>
      <c r="DP423" s="663"/>
      <c r="DQ423" s="663"/>
      <c r="DR423" s="663"/>
      <c r="DS423" s="663"/>
      <c r="DT423" s="663"/>
      <c r="DU423" s="663"/>
      <c r="DV423" s="663"/>
      <c r="DW423" s="663"/>
      <c r="DX423" s="663"/>
      <c r="DY423" s="663"/>
      <c r="DZ423" s="663"/>
      <c r="EA423" s="663"/>
      <c r="EB423" s="663"/>
      <c r="EC423" s="663"/>
      <c r="ED423" s="663"/>
      <c r="EE423" s="663"/>
      <c r="EF423" s="663"/>
      <c r="EG423" s="663"/>
      <c r="EH423" s="663"/>
      <c r="EI423" s="663"/>
      <c r="EJ423" s="663"/>
      <c r="EK423" s="663"/>
      <c r="EL423" s="663"/>
      <c r="EM423" s="663"/>
      <c r="EN423" s="663"/>
      <c r="EO423" s="663"/>
      <c r="EP423" s="663"/>
      <c r="EQ423" s="663"/>
      <c r="ER423" s="663"/>
      <c r="ES423" s="663"/>
      <c r="ET423" s="663"/>
      <c r="EU423" s="663"/>
      <c r="EV423" s="663"/>
      <c r="EW423" s="663"/>
      <c r="EX423" s="663"/>
      <c r="EY423" s="663"/>
      <c r="EZ423" s="663"/>
      <c r="FA423" s="663"/>
      <c r="FB423" s="663"/>
      <c r="FC423" s="663"/>
      <c r="FD423" s="663"/>
      <c r="FE423" s="663"/>
      <c r="FF423" s="663"/>
      <c r="FG423" s="663"/>
      <c r="FH423" s="663"/>
      <c r="FI423" s="663"/>
      <c r="FJ423" s="663"/>
      <c r="FK423" s="663"/>
      <c r="FL423" s="663"/>
      <c r="FM423" s="663"/>
      <c r="FN423" s="663"/>
      <c r="FO423" s="663"/>
      <c r="FP423" s="663"/>
      <c r="FQ423" s="663"/>
      <c r="FR423" s="663"/>
      <c r="FS423" s="663"/>
      <c r="FT423" s="663"/>
      <c r="FU423" s="663"/>
      <c r="FV423" s="663"/>
      <c r="FW423" s="663"/>
      <c r="FX423" s="663"/>
      <c r="FY423" s="663"/>
      <c r="FZ423" s="663"/>
      <c r="GA423" s="663"/>
      <c r="GB423" s="663"/>
      <c r="GC423" s="663"/>
      <c r="GD423" s="663"/>
      <c r="GE423" s="663"/>
      <c r="GF423" s="663"/>
      <c r="GG423" s="663"/>
    </row>
    <row r="424" spans="1:189">
      <c r="A424" s="670"/>
      <c r="B424" s="670"/>
      <c r="C424" s="670"/>
      <c r="D424" s="670"/>
      <c r="E424" s="670"/>
      <c r="F424" s="670"/>
      <c r="G424" s="673"/>
      <c r="H424" s="627"/>
      <c r="I424" s="627"/>
      <c r="J424" s="672"/>
      <c r="K424" s="663"/>
      <c r="L424" s="663"/>
      <c r="M424" s="663"/>
      <c r="N424" s="663"/>
      <c r="O424" s="663"/>
      <c r="P424" s="663"/>
      <c r="Q424" s="663"/>
      <c r="R424" s="663"/>
      <c r="S424" s="663"/>
      <c r="T424" s="663"/>
      <c r="U424" s="663"/>
      <c r="V424" s="663"/>
      <c r="W424" s="663"/>
      <c r="X424" s="663"/>
      <c r="Y424" s="663"/>
      <c r="Z424" s="663"/>
      <c r="AA424" s="663"/>
      <c r="AB424" s="663"/>
      <c r="AC424" s="663"/>
      <c r="AD424" s="663"/>
      <c r="AE424" s="663"/>
      <c r="AF424" s="663"/>
      <c r="AG424" s="663"/>
      <c r="AH424" s="663"/>
      <c r="AI424" s="663"/>
      <c r="AJ424" s="663"/>
      <c r="AK424" s="663"/>
      <c r="AL424" s="663"/>
      <c r="AM424" s="663"/>
      <c r="AN424" s="663"/>
      <c r="AO424" s="663"/>
      <c r="AP424" s="663"/>
      <c r="AQ424" s="663"/>
      <c r="AR424" s="663"/>
      <c r="AS424" s="663"/>
      <c r="AT424" s="663"/>
      <c r="AU424" s="663"/>
      <c r="AV424" s="663"/>
      <c r="AW424" s="663"/>
      <c r="AX424" s="663"/>
      <c r="AY424" s="663"/>
      <c r="AZ424" s="663"/>
      <c r="BA424" s="663"/>
      <c r="BB424" s="663"/>
      <c r="BC424" s="663"/>
      <c r="BD424" s="663"/>
      <c r="BE424" s="663"/>
      <c r="BF424" s="663"/>
      <c r="BG424" s="663"/>
      <c r="BH424" s="663"/>
      <c r="BI424" s="663"/>
      <c r="BJ424" s="663"/>
      <c r="BK424" s="663"/>
      <c r="BL424" s="663"/>
      <c r="BM424" s="663"/>
      <c r="BN424" s="663"/>
      <c r="BO424" s="663"/>
      <c r="BP424" s="663"/>
      <c r="BQ424" s="663"/>
      <c r="BR424" s="663"/>
      <c r="BS424" s="663"/>
      <c r="BT424" s="663"/>
      <c r="BU424" s="663"/>
      <c r="BV424" s="663"/>
      <c r="BW424" s="663"/>
      <c r="BX424" s="663"/>
      <c r="BY424" s="663"/>
      <c r="BZ424" s="663"/>
      <c r="CA424" s="663"/>
      <c r="CB424" s="663"/>
      <c r="CC424" s="663"/>
      <c r="CD424" s="663"/>
      <c r="CE424" s="663"/>
      <c r="CF424" s="663"/>
      <c r="CG424" s="663"/>
      <c r="CH424" s="663"/>
      <c r="CI424" s="663"/>
      <c r="CJ424" s="663"/>
      <c r="CK424" s="663"/>
      <c r="CL424" s="663"/>
      <c r="CM424" s="663"/>
      <c r="CN424" s="663"/>
      <c r="CO424" s="663"/>
      <c r="CP424" s="663"/>
      <c r="CQ424" s="663"/>
      <c r="CR424" s="663"/>
      <c r="CS424" s="663"/>
      <c r="CT424" s="663"/>
      <c r="CU424" s="663"/>
      <c r="CV424" s="663"/>
      <c r="CW424" s="663"/>
      <c r="CX424" s="663"/>
      <c r="CY424" s="663"/>
      <c r="CZ424" s="663"/>
      <c r="DA424" s="663"/>
      <c r="DB424" s="663"/>
      <c r="DC424" s="663"/>
      <c r="DD424" s="663"/>
      <c r="DE424" s="663"/>
      <c r="DF424" s="663"/>
      <c r="DG424" s="663"/>
      <c r="DH424" s="663"/>
      <c r="DI424" s="663"/>
      <c r="DJ424" s="663"/>
      <c r="DK424" s="663"/>
      <c r="DL424" s="663"/>
      <c r="DM424" s="663"/>
      <c r="DN424" s="663"/>
      <c r="DO424" s="663"/>
      <c r="DP424" s="663"/>
      <c r="DQ424" s="663"/>
      <c r="DR424" s="663"/>
      <c r="DS424" s="663"/>
      <c r="DT424" s="663"/>
      <c r="DU424" s="663"/>
      <c r="DV424" s="663"/>
      <c r="DW424" s="663"/>
      <c r="DX424" s="663"/>
      <c r="DY424" s="663"/>
      <c r="DZ424" s="663"/>
      <c r="EA424" s="663"/>
      <c r="EB424" s="663"/>
      <c r="EC424" s="663"/>
      <c r="ED424" s="663"/>
      <c r="EE424" s="663"/>
      <c r="EF424" s="663"/>
      <c r="EG424" s="663"/>
      <c r="EH424" s="663"/>
      <c r="EI424" s="663"/>
      <c r="EJ424" s="663"/>
      <c r="EK424" s="663"/>
      <c r="EL424" s="663"/>
      <c r="EM424" s="663"/>
      <c r="EN424" s="663"/>
      <c r="EO424" s="663"/>
      <c r="EP424" s="663"/>
      <c r="EQ424" s="663"/>
      <c r="ER424" s="663"/>
      <c r="ES424" s="663"/>
      <c r="ET424" s="663"/>
      <c r="EU424" s="663"/>
      <c r="EV424" s="663"/>
      <c r="EW424" s="663"/>
      <c r="EX424" s="663"/>
      <c r="EY424" s="663"/>
      <c r="EZ424" s="663"/>
      <c r="FA424" s="663"/>
      <c r="FB424" s="663"/>
      <c r="FC424" s="663"/>
      <c r="FD424" s="663"/>
      <c r="FE424" s="663"/>
      <c r="FF424" s="663"/>
      <c r="FG424" s="663"/>
      <c r="FH424" s="663"/>
      <c r="FI424" s="663"/>
      <c r="FJ424" s="663"/>
      <c r="FK424" s="663"/>
      <c r="FL424" s="663"/>
      <c r="FM424" s="663"/>
      <c r="FN424" s="663"/>
      <c r="FO424" s="663"/>
      <c r="FP424" s="663"/>
      <c r="FQ424" s="663"/>
      <c r="FR424" s="663"/>
      <c r="FS424" s="663"/>
      <c r="FT424" s="663"/>
      <c r="FU424" s="663"/>
      <c r="FV424" s="663"/>
      <c r="FW424" s="663"/>
      <c r="FX424" s="663"/>
      <c r="FY424" s="663"/>
      <c r="FZ424" s="663"/>
      <c r="GA424" s="663"/>
      <c r="GB424" s="663"/>
      <c r="GC424" s="663"/>
      <c r="GD424" s="663"/>
      <c r="GE424" s="663"/>
      <c r="GF424" s="663"/>
      <c r="GG424" s="663"/>
    </row>
    <row r="425" spans="1:189">
      <c r="A425" s="670"/>
      <c r="B425" s="670"/>
      <c r="C425" s="670"/>
      <c r="D425" s="670"/>
      <c r="E425" s="670"/>
      <c r="F425" s="670"/>
      <c r="G425" s="673"/>
      <c r="H425" s="627"/>
      <c r="I425" s="627"/>
      <c r="J425" s="672"/>
      <c r="K425" s="663"/>
      <c r="L425" s="663"/>
      <c r="M425" s="663"/>
      <c r="N425" s="663"/>
      <c r="O425" s="663"/>
      <c r="P425" s="663"/>
      <c r="Q425" s="663"/>
      <c r="R425" s="663"/>
      <c r="S425" s="663"/>
      <c r="T425" s="663"/>
      <c r="U425" s="663"/>
      <c r="V425" s="663"/>
      <c r="W425" s="663"/>
      <c r="X425" s="663"/>
      <c r="Y425" s="663"/>
      <c r="Z425" s="663"/>
      <c r="AA425" s="663"/>
      <c r="AB425" s="663"/>
      <c r="AC425" s="663"/>
      <c r="AD425" s="663"/>
      <c r="AE425" s="663"/>
      <c r="AF425" s="663"/>
      <c r="AG425" s="663"/>
      <c r="AH425" s="663"/>
      <c r="AI425" s="663"/>
      <c r="AJ425" s="663"/>
      <c r="AK425" s="663"/>
      <c r="AL425" s="663"/>
      <c r="AM425" s="663"/>
      <c r="AN425" s="663"/>
      <c r="AO425" s="663"/>
      <c r="AP425" s="663"/>
      <c r="AQ425" s="663"/>
      <c r="AR425" s="663"/>
      <c r="AS425" s="663"/>
      <c r="AT425" s="663"/>
      <c r="AU425" s="663"/>
      <c r="AV425" s="663"/>
      <c r="AW425" s="663"/>
      <c r="AX425" s="663"/>
      <c r="AY425" s="663"/>
      <c r="AZ425" s="663"/>
      <c r="BA425" s="663"/>
      <c r="BB425" s="663"/>
      <c r="BC425" s="663"/>
      <c r="BD425" s="663"/>
      <c r="BE425" s="663"/>
      <c r="BF425" s="663"/>
      <c r="BG425" s="663"/>
      <c r="BH425" s="663"/>
      <c r="BI425" s="663"/>
      <c r="BJ425" s="663"/>
      <c r="BK425" s="663"/>
      <c r="BL425" s="663"/>
      <c r="BM425" s="663"/>
      <c r="BN425" s="663"/>
      <c r="BO425" s="663"/>
      <c r="BP425" s="663"/>
      <c r="BQ425" s="663"/>
      <c r="BR425" s="663"/>
      <c r="BS425" s="663"/>
      <c r="BT425" s="663"/>
      <c r="BU425" s="663"/>
      <c r="BV425" s="663"/>
      <c r="BW425" s="663"/>
      <c r="BX425" s="663"/>
      <c r="BY425" s="663"/>
      <c r="BZ425" s="663"/>
      <c r="CA425" s="663"/>
      <c r="CB425" s="663"/>
      <c r="CC425" s="663"/>
      <c r="CD425" s="663"/>
      <c r="CE425" s="663"/>
      <c r="CF425" s="663"/>
      <c r="CG425" s="663"/>
      <c r="CH425" s="663"/>
      <c r="CI425" s="663"/>
      <c r="CJ425" s="663"/>
      <c r="CK425" s="663"/>
      <c r="CL425" s="663"/>
      <c r="CM425" s="663"/>
      <c r="CN425" s="663"/>
      <c r="CO425" s="663"/>
      <c r="CP425" s="663"/>
      <c r="CQ425" s="663"/>
      <c r="CR425" s="663"/>
      <c r="CS425" s="663"/>
      <c r="CT425" s="663"/>
      <c r="CU425" s="663"/>
      <c r="CV425" s="663"/>
      <c r="CW425" s="663"/>
      <c r="CX425" s="663"/>
      <c r="CY425" s="663"/>
      <c r="CZ425" s="663"/>
      <c r="DA425" s="663"/>
      <c r="DB425" s="663"/>
      <c r="DC425" s="663"/>
      <c r="DD425" s="663"/>
      <c r="DE425" s="663"/>
      <c r="DF425" s="663"/>
      <c r="DG425" s="663"/>
      <c r="DH425" s="663"/>
      <c r="DI425" s="663"/>
      <c r="DJ425" s="663"/>
      <c r="DK425" s="663"/>
      <c r="DL425" s="663"/>
      <c r="DM425" s="663"/>
      <c r="DN425" s="663"/>
      <c r="DO425" s="663"/>
      <c r="DP425" s="663"/>
      <c r="DQ425" s="663"/>
      <c r="DR425" s="663"/>
      <c r="DS425" s="663"/>
      <c r="DT425" s="663"/>
      <c r="DU425" s="663"/>
      <c r="DV425" s="663"/>
      <c r="DW425" s="663"/>
      <c r="DX425" s="663"/>
      <c r="DY425" s="663"/>
      <c r="DZ425" s="663"/>
      <c r="EA425" s="663"/>
      <c r="EB425" s="663"/>
      <c r="EC425" s="663"/>
      <c r="ED425" s="663"/>
      <c r="EE425" s="663"/>
      <c r="EF425" s="663"/>
      <c r="EG425" s="663"/>
      <c r="EH425" s="663"/>
      <c r="EI425" s="663"/>
      <c r="EJ425" s="663"/>
      <c r="EK425" s="663"/>
      <c r="EL425" s="663"/>
      <c r="EM425" s="663"/>
      <c r="EN425" s="663"/>
      <c r="EO425" s="663"/>
      <c r="EP425" s="663"/>
      <c r="EQ425" s="663"/>
      <c r="ER425" s="663"/>
      <c r="ES425" s="663"/>
      <c r="ET425" s="663"/>
      <c r="EU425" s="663"/>
      <c r="EV425" s="663"/>
      <c r="EW425" s="663"/>
      <c r="EX425" s="663"/>
      <c r="EY425" s="663"/>
      <c r="EZ425" s="663"/>
      <c r="FA425" s="663"/>
      <c r="FB425" s="663"/>
      <c r="FC425" s="663"/>
      <c r="FD425" s="663"/>
      <c r="FE425" s="663"/>
      <c r="FF425" s="663"/>
      <c r="FG425" s="663"/>
      <c r="FH425" s="663"/>
      <c r="FI425" s="663"/>
      <c r="FJ425" s="663"/>
      <c r="FK425" s="663"/>
      <c r="FL425" s="663"/>
      <c r="FM425" s="663"/>
      <c r="FN425" s="663"/>
      <c r="FO425" s="663"/>
      <c r="FP425" s="663"/>
      <c r="FQ425" s="663"/>
      <c r="FR425" s="663"/>
      <c r="FS425" s="663"/>
      <c r="FT425" s="663"/>
      <c r="FU425" s="663"/>
      <c r="FV425" s="663"/>
      <c r="FW425" s="663"/>
      <c r="FX425" s="663"/>
      <c r="FY425" s="663"/>
      <c r="FZ425" s="663"/>
      <c r="GA425" s="663"/>
      <c r="GB425" s="663"/>
      <c r="GC425" s="663"/>
      <c r="GD425" s="663"/>
      <c r="GE425" s="663"/>
      <c r="GF425" s="663"/>
      <c r="GG425" s="663"/>
    </row>
    <row r="426" spans="1:189">
      <c r="A426" s="670"/>
      <c r="B426" s="670"/>
      <c r="C426" s="670"/>
      <c r="D426" s="670"/>
      <c r="E426" s="670"/>
      <c r="F426" s="670"/>
      <c r="G426" s="673"/>
      <c r="H426" s="627"/>
      <c r="I426" s="627"/>
      <c r="J426" s="672"/>
      <c r="K426" s="663"/>
      <c r="L426" s="663"/>
      <c r="M426" s="663"/>
      <c r="N426" s="663"/>
      <c r="O426" s="663"/>
      <c r="P426" s="663"/>
      <c r="Q426" s="663"/>
      <c r="R426" s="663"/>
      <c r="S426" s="663"/>
      <c r="T426" s="663"/>
      <c r="U426" s="663"/>
      <c r="V426" s="663"/>
      <c r="W426" s="663"/>
      <c r="X426" s="663"/>
      <c r="Y426" s="663"/>
      <c r="Z426" s="663"/>
      <c r="AA426" s="663"/>
      <c r="AB426" s="663"/>
      <c r="AC426" s="663"/>
      <c r="AD426" s="663"/>
      <c r="AE426" s="663"/>
      <c r="AF426" s="663"/>
      <c r="AG426" s="663"/>
      <c r="AH426" s="663"/>
      <c r="AI426" s="663"/>
      <c r="AJ426" s="663"/>
      <c r="AK426" s="663"/>
      <c r="AL426" s="663"/>
      <c r="AM426" s="663"/>
      <c r="AN426" s="663"/>
      <c r="AO426" s="663"/>
      <c r="AP426" s="663"/>
      <c r="AQ426" s="663"/>
      <c r="AR426" s="663"/>
      <c r="AS426" s="663"/>
      <c r="AT426" s="663"/>
      <c r="AU426" s="663"/>
      <c r="AV426" s="663"/>
      <c r="AW426" s="663"/>
      <c r="AX426" s="663"/>
      <c r="AY426" s="663"/>
      <c r="AZ426" s="663"/>
      <c r="BA426" s="663"/>
      <c r="BB426" s="663"/>
      <c r="BC426" s="663"/>
      <c r="BD426" s="663"/>
      <c r="BE426" s="663"/>
      <c r="BF426" s="663"/>
      <c r="BG426" s="663"/>
      <c r="BH426" s="663"/>
      <c r="BI426" s="663"/>
      <c r="BJ426" s="663"/>
      <c r="BK426" s="663"/>
      <c r="BL426" s="663"/>
      <c r="BM426" s="663"/>
      <c r="BN426" s="663"/>
      <c r="BO426" s="663"/>
      <c r="BP426" s="663"/>
      <c r="BQ426" s="663"/>
      <c r="BR426" s="663"/>
      <c r="BS426" s="663"/>
      <c r="BT426" s="663"/>
      <c r="BU426" s="663"/>
      <c r="BV426" s="663"/>
      <c r="BW426" s="663"/>
      <c r="BX426" s="663"/>
      <c r="BY426" s="663"/>
      <c r="BZ426" s="663"/>
      <c r="CA426" s="663"/>
      <c r="CB426" s="663"/>
      <c r="CC426" s="663"/>
      <c r="CD426" s="663"/>
      <c r="CE426" s="663"/>
      <c r="CF426" s="663"/>
      <c r="CG426" s="663"/>
      <c r="CH426" s="663"/>
      <c r="CI426" s="663"/>
      <c r="CJ426" s="663"/>
      <c r="CK426" s="663"/>
      <c r="CL426" s="663"/>
      <c r="CM426" s="663"/>
      <c r="CN426" s="663"/>
      <c r="CO426" s="663"/>
      <c r="CP426" s="663"/>
      <c r="CQ426" s="663"/>
      <c r="CR426" s="663"/>
      <c r="CS426" s="663"/>
      <c r="CT426" s="663"/>
      <c r="CU426" s="663"/>
      <c r="CV426" s="663"/>
      <c r="CW426" s="663"/>
      <c r="CX426" s="663"/>
      <c r="CY426" s="663"/>
      <c r="CZ426" s="663"/>
      <c r="DA426" s="663"/>
      <c r="DB426" s="663"/>
      <c r="DC426" s="663"/>
      <c r="DD426" s="663"/>
      <c r="DE426" s="663"/>
      <c r="DF426" s="663"/>
      <c r="DG426" s="663"/>
      <c r="DH426" s="663"/>
      <c r="DI426" s="663"/>
      <c r="DJ426" s="663"/>
      <c r="DK426" s="663"/>
      <c r="DL426" s="663"/>
      <c r="DM426" s="663"/>
      <c r="DN426" s="663"/>
      <c r="DO426" s="663"/>
      <c r="DP426" s="663"/>
      <c r="DQ426" s="663"/>
      <c r="DR426" s="663"/>
      <c r="DS426" s="663"/>
      <c r="DT426" s="663"/>
      <c r="DU426" s="663"/>
      <c r="DV426" s="663"/>
      <c r="DW426" s="663"/>
      <c r="DX426" s="663"/>
      <c r="DY426" s="663"/>
      <c r="DZ426" s="663"/>
      <c r="EA426" s="663"/>
      <c r="EB426" s="663"/>
      <c r="EC426" s="663"/>
      <c r="ED426" s="663"/>
      <c r="EE426" s="663"/>
      <c r="EF426" s="663"/>
      <c r="EG426" s="663"/>
      <c r="EH426" s="663"/>
      <c r="EI426" s="663"/>
      <c r="EJ426" s="663"/>
      <c r="EK426" s="663"/>
      <c r="EL426" s="663"/>
      <c r="EM426" s="663"/>
      <c r="EN426" s="663"/>
      <c r="EO426" s="663"/>
      <c r="EP426" s="663"/>
      <c r="EQ426" s="663"/>
      <c r="ER426" s="663"/>
      <c r="ES426" s="663"/>
      <c r="ET426" s="663"/>
      <c r="EU426" s="663"/>
      <c r="EV426" s="663"/>
      <c r="EW426" s="663"/>
      <c r="EX426" s="663"/>
      <c r="EY426" s="663"/>
      <c r="EZ426" s="663"/>
      <c r="FA426" s="663"/>
      <c r="FB426" s="663"/>
      <c r="FC426" s="663"/>
      <c r="FD426" s="663"/>
      <c r="FE426" s="663"/>
      <c r="FF426" s="663"/>
      <c r="FG426" s="663"/>
      <c r="FH426" s="663"/>
      <c r="FI426" s="663"/>
      <c r="FJ426" s="663"/>
      <c r="FK426" s="663"/>
      <c r="FL426" s="663"/>
      <c r="FM426" s="663"/>
      <c r="FN426" s="663"/>
      <c r="FO426" s="663"/>
      <c r="FP426" s="663"/>
      <c r="FQ426" s="663"/>
      <c r="FR426" s="663"/>
      <c r="FS426" s="663"/>
      <c r="FT426" s="663"/>
      <c r="FU426" s="663"/>
      <c r="FV426" s="663"/>
      <c r="FW426" s="663"/>
      <c r="FX426" s="663"/>
      <c r="FY426" s="663"/>
      <c r="FZ426" s="663"/>
      <c r="GA426" s="663"/>
      <c r="GB426" s="663"/>
      <c r="GC426" s="663"/>
      <c r="GD426" s="663"/>
      <c r="GE426" s="663"/>
      <c r="GF426" s="663"/>
      <c r="GG426" s="663"/>
    </row>
    <row r="427" spans="1:189">
      <c r="A427" s="670"/>
      <c r="B427" s="670"/>
      <c r="C427" s="670"/>
      <c r="D427" s="670"/>
      <c r="E427" s="670"/>
      <c r="F427" s="670"/>
      <c r="G427" s="673"/>
      <c r="H427" s="627"/>
      <c r="I427" s="627"/>
      <c r="J427" s="672"/>
      <c r="K427" s="663"/>
      <c r="L427" s="663"/>
      <c r="M427" s="663"/>
      <c r="N427" s="663"/>
      <c r="O427" s="663"/>
      <c r="P427" s="663"/>
      <c r="Q427" s="663"/>
      <c r="R427" s="663"/>
      <c r="S427" s="663"/>
      <c r="T427" s="663"/>
      <c r="U427" s="663"/>
      <c r="V427" s="663"/>
      <c r="W427" s="663"/>
      <c r="X427" s="663"/>
      <c r="Y427" s="663"/>
      <c r="Z427" s="663"/>
      <c r="AA427" s="663"/>
      <c r="AB427" s="663"/>
      <c r="AC427" s="663"/>
      <c r="AD427" s="663"/>
      <c r="AE427" s="663"/>
      <c r="AF427" s="663"/>
      <c r="AG427" s="663"/>
      <c r="AH427" s="663"/>
      <c r="AI427" s="663"/>
      <c r="AJ427" s="663"/>
      <c r="AK427" s="663"/>
      <c r="AL427" s="663"/>
      <c r="AM427" s="663"/>
      <c r="AN427" s="663"/>
      <c r="AO427" s="663"/>
      <c r="AP427" s="663"/>
      <c r="AQ427" s="663"/>
      <c r="AR427" s="663"/>
      <c r="AS427" s="663"/>
      <c r="AT427" s="663"/>
      <c r="AU427" s="663"/>
      <c r="AV427" s="663"/>
      <c r="AW427" s="663"/>
      <c r="AX427" s="663"/>
      <c r="AY427" s="663"/>
      <c r="AZ427" s="663"/>
      <c r="BA427" s="663"/>
      <c r="BB427" s="663"/>
      <c r="BC427" s="663"/>
      <c r="BD427" s="663"/>
      <c r="BE427" s="663"/>
      <c r="BF427" s="663"/>
      <c r="BG427" s="663"/>
      <c r="BH427" s="663"/>
      <c r="BI427" s="663"/>
      <c r="BJ427" s="663"/>
      <c r="BK427" s="663"/>
      <c r="BL427" s="663"/>
      <c r="BM427" s="663"/>
      <c r="BN427" s="663"/>
      <c r="BO427" s="663"/>
      <c r="BP427" s="663"/>
      <c r="BQ427" s="663"/>
      <c r="BR427" s="663"/>
      <c r="BS427" s="663"/>
      <c r="BT427" s="663"/>
      <c r="BU427" s="663"/>
      <c r="BV427" s="663"/>
      <c r="BW427" s="663"/>
      <c r="BX427" s="663"/>
      <c r="BY427" s="663"/>
      <c r="BZ427" s="663"/>
      <c r="CA427" s="663"/>
      <c r="CB427" s="663"/>
      <c r="CC427" s="663"/>
      <c r="CD427" s="663"/>
      <c r="CE427" s="663"/>
      <c r="CF427" s="663"/>
      <c r="CG427" s="663"/>
      <c r="CH427" s="663"/>
      <c r="CI427" s="663"/>
      <c r="CJ427" s="663"/>
      <c r="CK427" s="663"/>
      <c r="CL427" s="663"/>
      <c r="CM427" s="663"/>
      <c r="CN427" s="663"/>
      <c r="CO427" s="663"/>
      <c r="CP427" s="663"/>
      <c r="CQ427" s="663"/>
      <c r="CR427" s="663"/>
      <c r="CS427" s="663"/>
      <c r="CT427" s="663"/>
      <c r="CU427" s="663"/>
      <c r="CV427" s="663"/>
      <c r="CW427" s="663"/>
      <c r="CX427" s="663"/>
      <c r="CY427" s="663"/>
      <c r="CZ427" s="663"/>
      <c r="DA427" s="663"/>
      <c r="DB427" s="663"/>
      <c r="DC427" s="663"/>
      <c r="DD427" s="663"/>
      <c r="DE427" s="663"/>
      <c r="DF427" s="663"/>
      <c r="DG427" s="663"/>
      <c r="DH427" s="663"/>
      <c r="DI427" s="663"/>
      <c r="DJ427" s="663"/>
      <c r="DK427" s="663"/>
      <c r="DL427" s="663"/>
      <c r="DM427" s="663"/>
      <c r="DN427" s="663"/>
      <c r="DO427" s="663"/>
      <c r="DP427" s="663"/>
      <c r="DQ427" s="663"/>
      <c r="DR427" s="663"/>
      <c r="DS427" s="663"/>
      <c r="DT427" s="663"/>
      <c r="DU427" s="663"/>
      <c r="DV427" s="663"/>
      <c r="DW427" s="663"/>
      <c r="DX427" s="663"/>
      <c r="DY427" s="663"/>
      <c r="DZ427" s="663"/>
      <c r="EA427" s="663"/>
      <c r="EB427" s="663"/>
      <c r="EC427" s="663"/>
      <c r="ED427" s="663"/>
      <c r="EE427" s="663"/>
      <c r="EF427" s="663"/>
      <c r="EG427" s="663"/>
      <c r="EH427" s="663"/>
      <c r="EI427" s="663"/>
      <c r="EJ427" s="663"/>
      <c r="EK427" s="663"/>
      <c r="EL427" s="663"/>
      <c r="EM427" s="663"/>
      <c r="EN427" s="663"/>
      <c r="EO427" s="663"/>
      <c r="EP427" s="663"/>
      <c r="EQ427" s="663"/>
      <c r="ER427" s="663"/>
      <c r="ES427" s="663"/>
      <c r="ET427" s="663"/>
      <c r="EU427" s="663"/>
      <c r="EV427" s="663"/>
      <c r="EW427" s="663"/>
      <c r="EX427" s="663"/>
      <c r="EY427" s="663"/>
      <c r="EZ427" s="663"/>
      <c r="FA427" s="663"/>
      <c r="FB427" s="663"/>
      <c r="FC427" s="663"/>
      <c r="FD427" s="663"/>
      <c r="FE427" s="663"/>
      <c r="FF427" s="663"/>
      <c r="FG427" s="663"/>
      <c r="FH427" s="663"/>
      <c r="FI427" s="663"/>
      <c r="FJ427" s="663"/>
      <c r="FK427" s="663"/>
      <c r="FL427" s="663"/>
      <c r="FM427" s="663"/>
      <c r="FN427" s="663"/>
      <c r="FO427" s="663"/>
      <c r="FP427" s="663"/>
      <c r="FQ427" s="663"/>
      <c r="FR427" s="663"/>
      <c r="FS427" s="663"/>
      <c r="FT427" s="663"/>
      <c r="FU427" s="663"/>
      <c r="FV427" s="663"/>
      <c r="FW427" s="663"/>
      <c r="FX427" s="663"/>
      <c r="FY427" s="663"/>
      <c r="FZ427" s="663"/>
      <c r="GA427" s="663"/>
      <c r="GB427" s="663"/>
      <c r="GC427" s="663"/>
      <c r="GD427" s="663"/>
      <c r="GE427" s="663"/>
      <c r="GF427" s="663"/>
      <c r="GG427" s="663"/>
    </row>
    <row r="428" spans="1:189">
      <c r="A428" s="670"/>
      <c r="B428" s="670"/>
      <c r="C428" s="670"/>
      <c r="D428" s="670"/>
      <c r="E428" s="670"/>
      <c r="F428" s="670"/>
      <c r="G428" s="673"/>
      <c r="H428" s="627"/>
      <c r="I428" s="627"/>
      <c r="J428" s="672"/>
      <c r="K428" s="663"/>
      <c r="L428" s="663"/>
      <c r="M428" s="663"/>
      <c r="N428" s="663"/>
      <c r="O428" s="663"/>
      <c r="P428" s="663"/>
      <c r="Q428" s="663"/>
      <c r="R428" s="663"/>
      <c r="S428" s="663"/>
      <c r="T428" s="663"/>
      <c r="U428" s="663"/>
      <c r="V428" s="663"/>
      <c r="W428" s="663"/>
      <c r="X428" s="663"/>
      <c r="Y428" s="663"/>
      <c r="Z428" s="663"/>
      <c r="AA428" s="663"/>
      <c r="AB428" s="663"/>
      <c r="AC428" s="663"/>
      <c r="AD428" s="663"/>
      <c r="AE428" s="663"/>
      <c r="AF428" s="663"/>
      <c r="AG428" s="663"/>
      <c r="AH428" s="663"/>
      <c r="AI428" s="663"/>
      <c r="AJ428" s="663"/>
      <c r="AK428" s="663"/>
      <c r="AL428" s="663"/>
      <c r="AM428" s="663"/>
      <c r="AN428" s="663"/>
      <c r="AO428" s="663"/>
      <c r="AP428" s="663"/>
      <c r="AQ428" s="663"/>
      <c r="AR428" s="663"/>
      <c r="AS428" s="663"/>
      <c r="AT428" s="663"/>
      <c r="AU428" s="663"/>
      <c r="AV428" s="663"/>
      <c r="AW428" s="663"/>
      <c r="AX428" s="663"/>
      <c r="AY428" s="663"/>
      <c r="AZ428" s="663"/>
      <c r="BA428" s="663"/>
      <c r="BB428" s="663"/>
      <c r="BC428" s="663"/>
      <c r="BD428" s="663"/>
      <c r="BE428" s="663"/>
      <c r="BF428" s="663"/>
      <c r="BG428" s="663"/>
      <c r="BH428" s="663"/>
      <c r="BI428" s="663"/>
      <c r="BJ428" s="663"/>
      <c r="BK428" s="663"/>
      <c r="BL428" s="663"/>
      <c r="BM428" s="663"/>
      <c r="BN428" s="663"/>
      <c r="BO428" s="663"/>
      <c r="BP428" s="663"/>
      <c r="BQ428" s="663"/>
      <c r="BR428" s="663"/>
      <c r="BS428" s="663"/>
      <c r="BT428" s="663"/>
      <c r="BU428" s="663"/>
      <c r="BV428" s="663"/>
      <c r="BW428" s="663"/>
      <c r="BX428" s="663"/>
      <c r="BY428" s="663"/>
      <c r="BZ428" s="663"/>
      <c r="CA428" s="663"/>
      <c r="CB428" s="663"/>
      <c r="CC428" s="663"/>
      <c r="CD428" s="663"/>
      <c r="CE428" s="663"/>
      <c r="CF428" s="663"/>
      <c r="CG428" s="663"/>
      <c r="CH428" s="663"/>
      <c r="CI428" s="663"/>
      <c r="CJ428" s="663"/>
      <c r="CK428" s="663"/>
      <c r="CL428" s="663"/>
      <c r="CM428" s="663"/>
      <c r="CN428" s="663"/>
      <c r="CO428" s="663"/>
      <c r="CP428" s="663"/>
      <c r="CQ428" s="663"/>
      <c r="CR428" s="663"/>
      <c r="CS428" s="663"/>
      <c r="CT428" s="663"/>
      <c r="CU428" s="663"/>
      <c r="CV428" s="663"/>
      <c r="CW428" s="663"/>
      <c r="CX428" s="663"/>
      <c r="CY428" s="663"/>
      <c r="CZ428" s="663"/>
      <c r="DA428" s="663"/>
      <c r="DB428" s="663"/>
      <c r="DC428" s="663"/>
      <c r="DD428" s="663"/>
      <c r="DE428" s="663"/>
      <c r="DF428" s="663"/>
      <c r="DG428" s="663"/>
      <c r="DH428" s="663"/>
      <c r="DI428" s="663"/>
      <c r="DJ428" s="663"/>
      <c r="DK428" s="663"/>
      <c r="DL428" s="663"/>
      <c r="DM428" s="663"/>
      <c r="DN428" s="663"/>
      <c r="DO428" s="663"/>
      <c r="DP428" s="663"/>
      <c r="DQ428" s="663"/>
      <c r="DR428" s="663"/>
      <c r="DS428" s="663"/>
      <c r="DT428" s="663"/>
      <c r="DU428" s="663"/>
      <c r="DV428" s="663"/>
      <c r="DW428" s="663"/>
      <c r="DX428" s="663"/>
      <c r="DY428" s="663"/>
      <c r="DZ428" s="663"/>
      <c r="EA428" s="663"/>
      <c r="EB428" s="663"/>
      <c r="EC428" s="663"/>
      <c r="ED428" s="663"/>
      <c r="EE428" s="663"/>
      <c r="EF428" s="663"/>
      <c r="EG428" s="663"/>
      <c r="EH428" s="663"/>
      <c r="EI428" s="663"/>
      <c r="EJ428" s="663"/>
      <c r="EK428" s="663"/>
      <c r="EL428" s="663"/>
      <c r="EM428" s="663"/>
      <c r="EN428" s="663"/>
      <c r="EO428" s="663"/>
      <c r="EP428" s="663"/>
      <c r="EQ428" s="663"/>
      <c r="ER428" s="663"/>
      <c r="ES428" s="663"/>
      <c r="ET428" s="663"/>
      <c r="EU428" s="663"/>
      <c r="EV428" s="663"/>
      <c r="EW428" s="663"/>
      <c r="EX428" s="663"/>
      <c r="EY428" s="663"/>
      <c r="EZ428" s="663"/>
      <c r="FA428" s="663"/>
      <c r="FB428" s="663"/>
      <c r="FC428" s="663"/>
      <c r="FD428" s="663"/>
      <c r="FE428" s="663"/>
      <c r="FF428" s="663"/>
      <c r="FG428" s="663"/>
      <c r="FH428" s="663"/>
      <c r="FI428" s="663"/>
      <c r="FJ428" s="663"/>
      <c r="FK428" s="663"/>
      <c r="FL428" s="663"/>
      <c r="FM428" s="663"/>
      <c r="FN428" s="663"/>
      <c r="FO428" s="663"/>
      <c r="FP428" s="663"/>
      <c r="FQ428" s="663"/>
      <c r="FR428" s="663"/>
      <c r="FS428" s="663"/>
      <c r="FT428" s="663"/>
      <c r="FU428" s="663"/>
      <c r="FV428" s="663"/>
      <c r="FW428" s="663"/>
      <c r="FX428" s="663"/>
      <c r="FY428" s="663"/>
      <c r="FZ428" s="663"/>
      <c r="GA428" s="663"/>
      <c r="GB428" s="663"/>
      <c r="GC428" s="663"/>
      <c r="GD428" s="663"/>
      <c r="GE428" s="663"/>
      <c r="GF428" s="663"/>
      <c r="GG428" s="663"/>
    </row>
    <row r="429" spans="1:189">
      <c r="A429" s="670"/>
      <c r="B429" s="670"/>
      <c r="C429" s="670"/>
      <c r="D429" s="670"/>
      <c r="E429" s="670"/>
      <c r="F429" s="670"/>
      <c r="G429" s="673"/>
      <c r="H429" s="627"/>
      <c r="I429" s="627"/>
      <c r="J429" s="672"/>
      <c r="K429" s="663"/>
      <c r="L429" s="663"/>
      <c r="M429" s="663"/>
      <c r="N429" s="663"/>
      <c r="O429" s="663"/>
      <c r="P429" s="663"/>
      <c r="Q429" s="663"/>
      <c r="R429" s="663"/>
      <c r="S429" s="663"/>
      <c r="T429" s="663"/>
      <c r="U429" s="663"/>
      <c r="V429" s="663"/>
      <c r="W429" s="663"/>
      <c r="X429" s="663"/>
      <c r="Y429" s="663"/>
      <c r="Z429" s="663"/>
      <c r="AA429" s="663"/>
      <c r="AB429" s="663"/>
      <c r="AC429" s="663"/>
      <c r="AD429" s="663"/>
      <c r="AE429" s="663"/>
      <c r="AF429" s="663"/>
      <c r="AG429" s="663"/>
      <c r="AH429" s="663"/>
      <c r="AI429" s="663"/>
      <c r="AJ429" s="663"/>
      <c r="AK429" s="663"/>
      <c r="AL429" s="663"/>
      <c r="AM429" s="663"/>
      <c r="AN429" s="663"/>
      <c r="AO429" s="663"/>
      <c r="AP429" s="663"/>
      <c r="AQ429" s="663"/>
      <c r="AR429" s="663"/>
      <c r="AS429" s="663"/>
      <c r="AT429" s="663"/>
      <c r="AU429" s="663"/>
      <c r="AV429" s="663"/>
      <c r="AW429" s="663"/>
      <c r="AX429" s="663"/>
      <c r="AY429" s="663"/>
      <c r="AZ429" s="663"/>
      <c r="BA429" s="663"/>
      <c r="BB429" s="663"/>
      <c r="BC429" s="663"/>
      <c r="BD429" s="663"/>
      <c r="BE429" s="663"/>
      <c r="BF429" s="663"/>
      <c r="BG429" s="663"/>
      <c r="BH429" s="663"/>
      <c r="BI429" s="663"/>
      <c r="BJ429" s="663"/>
      <c r="BK429" s="663"/>
      <c r="BL429" s="663"/>
      <c r="BM429" s="663"/>
      <c r="BN429" s="663"/>
      <c r="BO429" s="663"/>
      <c r="BP429" s="663"/>
      <c r="BQ429" s="663"/>
      <c r="BR429" s="663"/>
      <c r="BS429" s="663"/>
      <c r="BT429" s="663"/>
      <c r="BU429" s="663"/>
      <c r="BV429" s="663"/>
      <c r="BW429" s="663"/>
      <c r="BX429" s="663"/>
      <c r="BY429" s="663"/>
      <c r="BZ429" s="663"/>
      <c r="CA429" s="663"/>
      <c r="CB429" s="663"/>
      <c r="CC429" s="663"/>
      <c r="CD429" s="663"/>
      <c r="CE429" s="663"/>
      <c r="CF429" s="663"/>
      <c r="CG429" s="663"/>
      <c r="CH429" s="663"/>
      <c r="CI429" s="663"/>
      <c r="CJ429" s="663"/>
      <c r="CK429" s="663"/>
      <c r="CL429" s="663"/>
      <c r="CM429" s="663"/>
      <c r="CN429" s="663"/>
      <c r="CO429" s="663"/>
      <c r="CP429" s="663"/>
      <c r="CQ429" s="663"/>
      <c r="CR429" s="663"/>
      <c r="CS429" s="663"/>
      <c r="CT429" s="663"/>
      <c r="CU429" s="663"/>
      <c r="CV429" s="663"/>
      <c r="CW429" s="663"/>
      <c r="CX429" s="663"/>
      <c r="CY429" s="663"/>
      <c r="CZ429" s="663"/>
      <c r="DA429" s="663"/>
      <c r="DB429" s="663"/>
      <c r="DC429" s="663"/>
      <c r="DD429" s="663"/>
      <c r="DE429" s="663"/>
      <c r="DF429" s="663"/>
      <c r="DG429" s="663"/>
      <c r="DH429" s="663"/>
      <c r="DI429" s="663"/>
      <c r="DJ429" s="663"/>
      <c r="DK429" s="663"/>
      <c r="DL429" s="663"/>
      <c r="DM429" s="663"/>
      <c r="DN429" s="663"/>
      <c r="DO429" s="663"/>
      <c r="DP429" s="663"/>
      <c r="DQ429" s="663"/>
      <c r="DR429" s="663"/>
      <c r="DS429" s="663"/>
      <c r="DT429" s="663"/>
      <c r="DU429" s="663"/>
      <c r="DV429" s="663"/>
      <c r="DW429" s="663"/>
      <c r="DX429" s="663"/>
      <c r="DY429" s="663"/>
      <c r="DZ429" s="663"/>
      <c r="EA429" s="663"/>
      <c r="EB429" s="663"/>
      <c r="EC429" s="663"/>
      <c r="ED429" s="663"/>
      <c r="EE429" s="663"/>
      <c r="EF429" s="663"/>
      <c r="EG429" s="663"/>
      <c r="EH429" s="663"/>
      <c r="EI429" s="663"/>
      <c r="EJ429" s="663"/>
      <c r="EK429" s="663"/>
      <c r="EL429" s="663"/>
      <c r="EM429" s="663"/>
      <c r="EN429" s="663"/>
      <c r="EO429" s="663"/>
      <c r="EP429" s="663"/>
      <c r="EQ429" s="663"/>
      <c r="ER429" s="663"/>
      <c r="ES429" s="663"/>
      <c r="ET429" s="663"/>
      <c r="EU429" s="663"/>
      <c r="EV429" s="663"/>
      <c r="EW429" s="663"/>
      <c r="EX429" s="663"/>
      <c r="EY429" s="663"/>
      <c r="EZ429" s="663"/>
      <c r="FA429" s="663"/>
      <c r="FB429" s="663"/>
      <c r="FC429" s="663"/>
      <c r="FD429" s="663"/>
      <c r="FE429" s="663"/>
      <c r="FF429" s="663"/>
      <c r="FG429" s="663"/>
      <c r="FH429" s="663"/>
      <c r="FI429" s="663"/>
      <c r="FJ429" s="663"/>
      <c r="FK429" s="663"/>
      <c r="FL429" s="663"/>
      <c r="FM429" s="663"/>
      <c r="FN429" s="663"/>
      <c r="FO429" s="663"/>
      <c r="FP429" s="663"/>
      <c r="FQ429" s="663"/>
      <c r="FR429" s="663"/>
      <c r="FS429" s="663"/>
      <c r="FT429" s="663"/>
      <c r="FU429" s="663"/>
      <c r="FV429" s="663"/>
      <c r="FW429" s="663"/>
      <c r="FX429" s="663"/>
      <c r="FY429" s="663"/>
      <c r="FZ429" s="663"/>
      <c r="GA429" s="663"/>
      <c r="GB429" s="663"/>
      <c r="GC429" s="663"/>
      <c r="GD429" s="663"/>
      <c r="GE429" s="663"/>
      <c r="GF429" s="663"/>
      <c r="GG429" s="663"/>
    </row>
    <row r="430" spans="1:189">
      <c r="A430" s="670"/>
      <c r="B430" s="670"/>
      <c r="C430" s="670"/>
      <c r="D430" s="670"/>
      <c r="E430" s="670"/>
      <c r="F430" s="670"/>
      <c r="G430" s="673"/>
      <c r="H430" s="627"/>
      <c r="I430" s="627"/>
      <c r="J430" s="672"/>
      <c r="K430" s="663"/>
      <c r="L430" s="663"/>
      <c r="M430" s="663"/>
      <c r="N430" s="663"/>
      <c r="O430" s="663"/>
      <c r="P430" s="663"/>
      <c r="Q430" s="663"/>
      <c r="R430" s="663"/>
      <c r="S430" s="663"/>
      <c r="T430" s="663"/>
      <c r="U430" s="663"/>
      <c r="V430" s="663"/>
      <c r="W430" s="663"/>
      <c r="X430" s="663"/>
      <c r="Y430" s="663"/>
      <c r="Z430" s="663"/>
      <c r="AA430" s="663"/>
      <c r="AB430" s="663"/>
      <c r="AC430" s="663"/>
      <c r="AD430" s="663"/>
      <c r="AE430" s="663"/>
      <c r="AF430" s="663"/>
      <c r="AG430" s="663"/>
      <c r="AH430" s="663"/>
      <c r="AI430" s="663"/>
      <c r="AJ430" s="663"/>
      <c r="AK430" s="663"/>
      <c r="AL430" s="663"/>
      <c r="AM430" s="663"/>
      <c r="AN430" s="663"/>
      <c r="AO430" s="663"/>
      <c r="AP430" s="663"/>
      <c r="AQ430" s="663"/>
      <c r="AR430" s="663"/>
      <c r="AS430" s="663"/>
      <c r="AT430" s="663"/>
      <c r="AU430" s="663"/>
      <c r="AV430" s="663"/>
      <c r="AW430" s="663"/>
      <c r="AX430" s="663"/>
      <c r="AY430" s="663"/>
      <c r="AZ430" s="663"/>
      <c r="BA430" s="663"/>
      <c r="BB430" s="663"/>
      <c r="BC430" s="663"/>
      <c r="BD430" s="663"/>
      <c r="BE430" s="663"/>
      <c r="BF430" s="663"/>
      <c r="BG430" s="663"/>
      <c r="BH430" s="663"/>
      <c r="BI430" s="663"/>
      <c r="BJ430" s="663"/>
      <c r="BK430" s="663"/>
      <c r="BL430" s="663"/>
      <c r="BM430" s="663"/>
      <c r="BN430" s="663"/>
      <c r="BO430" s="663"/>
      <c r="BP430" s="663"/>
      <c r="BQ430" s="663"/>
      <c r="BR430" s="663"/>
      <c r="BS430" s="663"/>
      <c r="BT430" s="663"/>
      <c r="BU430" s="663"/>
      <c r="BV430" s="663"/>
      <c r="BW430" s="663"/>
      <c r="BX430" s="663"/>
      <c r="BY430" s="663"/>
      <c r="BZ430" s="663"/>
      <c r="CA430" s="663"/>
      <c r="CB430" s="663"/>
      <c r="CC430" s="663"/>
      <c r="CD430" s="663"/>
      <c r="CE430" s="663"/>
      <c r="CF430" s="663"/>
      <c r="CG430" s="663"/>
      <c r="CH430" s="663"/>
      <c r="CI430" s="663"/>
      <c r="CJ430" s="663"/>
      <c r="CK430" s="663"/>
      <c r="CL430" s="663"/>
      <c r="CM430" s="663"/>
      <c r="CN430" s="663"/>
      <c r="CO430" s="663"/>
      <c r="CP430" s="663"/>
      <c r="CQ430" s="663"/>
      <c r="CR430" s="663"/>
      <c r="CS430" s="663"/>
      <c r="CT430" s="663"/>
      <c r="CU430" s="663"/>
      <c r="CV430" s="663"/>
      <c r="CW430" s="663"/>
      <c r="CX430" s="663"/>
      <c r="CY430" s="663"/>
      <c r="CZ430" s="663"/>
      <c r="DA430" s="663"/>
      <c r="DB430" s="663"/>
      <c r="DC430" s="663"/>
      <c r="DD430" s="663"/>
      <c r="DE430" s="663"/>
      <c r="DF430" s="663"/>
      <c r="DG430" s="663"/>
      <c r="DH430" s="663"/>
      <c r="DI430" s="663"/>
      <c r="DJ430" s="663"/>
      <c r="DK430" s="663"/>
      <c r="DL430" s="663"/>
      <c r="DM430" s="663"/>
      <c r="DN430" s="663"/>
      <c r="DO430" s="663"/>
      <c r="DP430" s="663"/>
      <c r="DQ430" s="663"/>
      <c r="DR430" s="663"/>
      <c r="DS430" s="663"/>
      <c r="DT430" s="663"/>
      <c r="DU430" s="663"/>
      <c r="DV430" s="663"/>
      <c r="DW430" s="663"/>
      <c r="DX430" s="663"/>
      <c r="DY430" s="663"/>
      <c r="DZ430" s="663"/>
      <c r="EA430" s="663"/>
      <c r="EB430" s="663"/>
      <c r="EC430" s="663"/>
      <c r="ED430" s="663"/>
      <c r="EE430" s="663"/>
      <c r="EF430" s="663"/>
      <c r="EG430" s="663"/>
      <c r="EH430" s="663"/>
      <c r="EI430" s="663"/>
      <c r="EJ430" s="663"/>
      <c r="EK430" s="663"/>
      <c r="EL430" s="663"/>
      <c r="EM430" s="663"/>
      <c r="EN430" s="663"/>
      <c r="EO430" s="663"/>
      <c r="EP430" s="663"/>
      <c r="EQ430" s="663"/>
      <c r="ER430" s="663"/>
      <c r="ES430" s="663"/>
      <c r="ET430" s="663"/>
      <c r="EU430" s="663"/>
      <c r="EV430" s="663"/>
      <c r="EW430" s="663"/>
      <c r="EX430" s="663"/>
      <c r="EY430" s="663"/>
      <c r="EZ430" s="663"/>
      <c r="FA430" s="663"/>
      <c r="FB430" s="663"/>
      <c r="FC430" s="663"/>
      <c r="FD430" s="663"/>
      <c r="FE430" s="663"/>
      <c r="FF430" s="663"/>
      <c r="FG430" s="663"/>
      <c r="FH430" s="663"/>
      <c r="FI430" s="663"/>
      <c r="FJ430" s="663"/>
      <c r="FK430" s="663"/>
      <c r="FL430" s="663"/>
      <c r="FM430" s="663"/>
      <c r="FN430" s="663"/>
      <c r="FO430" s="663"/>
      <c r="FP430" s="663"/>
      <c r="FQ430" s="663"/>
      <c r="FR430" s="663"/>
      <c r="FS430" s="663"/>
      <c r="FT430" s="663"/>
      <c r="FU430" s="663"/>
      <c r="FV430" s="663"/>
      <c r="FW430" s="663"/>
      <c r="FX430" s="663"/>
      <c r="FY430" s="663"/>
      <c r="FZ430" s="663"/>
      <c r="GA430" s="663"/>
      <c r="GB430" s="663"/>
      <c r="GC430" s="663"/>
      <c r="GD430" s="663"/>
      <c r="GE430" s="663"/>
      <c r="GF430" s="663"/>
      <c r="GG430" s="663"/>
    </row>
    <row r="431" spans="1:189">
      <c r="A431" s="670"/>
      <c r="B431" s="670"/>
      <c r="C431" s="670"/>
      <c r="D431" s="670"/>
      <c r="E431" s="670"/>
      <c r="F431" s="670"/>
      <c r="G431" s="673"/>
      <c r="H431" s="627"/>
      <c r="I431" s="627"/>
      <c r="J431" s="672"/>
      <c r="K431" s="663"/>
      <c r="L431" s="663"/>
      <c r="M431" s="663"/>
      <c r="N431" s="663"/>
      <c r="O431" s="663"/>
      <c r="P431" s="663"/>
      <c r="Q431" s="663"/>
      <c r="R431" s="663"/>
      <c r="S431" s="663"/>
      <c r="T431" s="663"/>
      <c r="U431" s="663"/>
      <c r="V431" s="663"/>
      <c r="W431" s="663"/>
      <c r="X431" s="663"/>
      <c r="Y431" s="663"/>
      <c r="Z431" s="663"/>
      <c r="AA431" s="663"/>
      <c r="AB431" s="663"/>
      <c r="AC431" s="663"/>
      <c r="AD431" s="663"/>
      <c r="AE431" s="663"/>
      <c r="AF431" s="663"/>
      <c r="AG431" s="663"/>
      <c r="AH431" s="663"/>
      <c r="AI431" s="663"/>
      <c r="AJ431" s="663"/>
      <c r="AK431" s="663"/>
      <c r="AL431" s="663"/>
      <c r="AM431" s="663"/>
      <c r="AN431" s="663"/>
      <c r="AO431" s="663"/>
      <c r="AP431" s="663"/>
      <c r="AQ431" s="663"/>
      <c r="AR431" s="663"/>
      <c r="AS431" s="663"/>
      <c r="AT431" s="663"/>
      <c r="AU431" s="663"/>
      <c r="AV431" s="663"/>
      <c r="AW431" s="663"/>
      <c r="AX431" s="663"/>
      <c r="AY431" s="663"/>
      <c r="AZ431" s="663"/>
      <c r="BA431" s="663"/>
      <c r="BB431" s="663"/>
      <c r="BC431" s="663"/>
      <c r="BD431" s="663"/>
      <c r="BE431" s="663"/>
      <c r="BF431" s="663"/>
      <c r="BG431" s="663"/>
      <c r="BH431" s="663"/>
      <c r="BI431" s="663"/>
      <c r="BJ431" s="663"/>
      <c r="BK431" s="663"/>
      <c r="BL431" s="663"/>
      <c r="BM431" s="663"/>
      <c r="BN431" s="663"/>
      <c r="BO431" s="663"/>
      <c r="BP431" s="663"/>
      <c r="BQ431" s="663"/>
      <c r="BR431" s="663"/>
      <c r="BS431" s="663"/>
      <c r="BT431" s="663"/>
      <c r="BU431" s="663"/>
      <c r="BV431" s="663"/>
      <c r="BW431" s="663"/>
      <c r="BX431" s="663"/>
      <c r="BY431" s="663"/>
      <c r="BZ431" s="663"/>
      <c r="CA431" s="663"/>
      <c r="CB431" s="663"/>
      <c r="CC431" s="663"/>
      <c r="CD431" s="663"/>
      <c r="CE431" s="663"/>
      <c r="CF431" s="663"/>
      <c r="CG431" s="663"/>
      <c r="CH431" s="663"/>
      <c r="CI431" s="663"/>
      <c r="CJ431" s="663"/>
      <c r="CK431" s="663"/>
      <c r="CL431" s="663"/>
      <c r="CM431" s="663"/>
      <c r="CN431" s="663"/>
      <c r="CO431" s="663"/>
      <c r="CP431" s="663"/>
      <c r="CQ431" s="663"/>
      <c r="CR431" s="663"/>
      <c r="CS431" s="663"/>
      <c r="CT431" s="663"/>
      <c r="CU431" s="663"/>
      <c r="CV431" s="663"/>
      <c r="CW431" s="663"/>
      <c r="CX431" s="663"/>
      <c r="CY431" s="663"/>
      <c r="CZ431" s="663"/>
      <c r="DA431" s="663"/>
      <c r="DB431" s="663"/>
      <c r="DC431" s="663"/>
      <c r="DD431" s="663"/>
      <c r="DE431" s="663"/>
      <c r="DF431" s="663"/>
      <c r="DG431" s="663"/>
      <c r="DH431" s="663"/>
      <c r="DI431" s="663"/>
      <c r="DJ431" s="663"/>
      <c r="DK431" s="663"/>
      <c r="DL431" s="663"/>
      <c r="DM431" s="663"/>
      <c r="DN431" s="663"/>
      <c r="DO431" s="663"/>
      <c r="DP431" s="663"/>
      <c r="DQ431" s="663"/>
      <c r="DR431" s="663"/>
      <c r="DS431" s="663"/>
      <c r="DT431" s="663"/>
      <c r="DU431" s="663"/>
      <c r="DV431" s="663"/>
      <c r="DW431" s="663"/>
      <c r="DX431" s="663"/>
      <c r="DY431" s="663"/>
      <c r="DZ431" s="663"/>
      <c r="EA431" s="663"/>
      <c r="EB431" s="663"/>
      <c r="EC431" s="663"/>
      <c r="ED431" s="663"/>
      <c r="EE431" s="663"/>
      <c r="EF431" s="663"/>
      <c r="EG431" s="663"/>
      <c r="EH431" s="663"/>
      <c r="EI431" s="663"/>
      <c r="EJ431" s="663"/>
      <c r="EK431" s="663"/>
      <c r="EL431" s="663"/>
      <c r="EM431" s="663"/>
      <c r="EN431" s="663"/>
      <c r="EO431" s="663"/>
      <c r="EP431" s="663"/>
      <c r="EQ431" s="663"/>
      <c r="ER431" s="663"/>
      <c r="ES431" s="663"/>
      <c r="ET431" s="663"/>
      <c r="EU431" s="663"/>
      <c r="EV431" s="663"/>
      <c r="EW431" s="663"/>
      <c r="EX431" s="663"/>
      <c r="EY431" s="663"/>
      <c r="EZ431" s="663"/>
      <c r="FA431" s="663"/>
      <c r="FB431" s="663"/>
      <c r="FC431" s="663"/>
      <c r="FD431" s="663"/>
      <c r="FE431" s="663"/>
      <c r="FF431" s="663"/>
      <c r="FG431" s="663"/>
      <c r="FH431" s="663"/>
      <c r="FI431" s="663"/>
      <c r="FJ431" s="663"/>
      <c r="FK431" s="663"/>
      <c r="FL431" s="663"/>
      <c r="FM431" s="663"/>
      <c r="FN431" s="663"/>
      <c r="FO431" s="663"/>
      <c r="FP431" s="663"/>
      <c r="FQ431" s="663"/>
      <c r="FR431" s="663"/>
      <c r="FS431" s="663"/>
      <c r="FT431" s="663"/>
      <c r="FU431" s="663"/>
      <c r="FV431" s="663"/>
      <c r="FW431" s="663"/>
      <c r="FX431" s="663"/>
      <c r="FY431" s="663"/>
      <c r="FZ431" s="663"/>
      <c r="GA431" s="663"/>
      <c r="GB431" s="663"/>
      <c r="GC431" s="663"/>
      <c r="GD431" s="663"/>
      <c r="GE431" s="663"/>
      <c r="GF431" s="663"/>
      <c r="GG431" s="663"/>
    </row>
    <row r="432" spans="1:189">
      <c r="A432" s="670"/>
      <c r="B432" s="670"/>
      <c r="C432" s="670"/>
      <c r="D432" s="670"/>
      <c r="E432" s="670"/>
      <c r="F432" s="670"/>
      <c r="G432" s="673"/>
      <c r="H432" s="627"/>
      <c r="I432" s="627"/>
      <c r="J432" s="672"/>
      <c r="K432" s="663"/>
      <c r="L432" s="663"/>
      <c r="M432" s="663"/>
      <c r="N432" s="663"/>
      <c r="O432" s="663"/>
      <c r="P432" s="663"/>
      <c r="Q432" s="663"/>
      <c r="R432" s="663"/>
      <c r="S432" s="663"/>
      <c r="T432" s="663"/>
      <c r="U432" s="663"/>
      <c r="V432" s="663"/>
      <c r="W432" s="663"/>
      <c r="X432" s="663"/>
      <c r="Y432" s="663"/>
      <c r="Z432" s="663"/>
      <c r="AA432" s="663"/>
      <c r="AB432" s="663"/>
      <c r="AC432" s="663"/>
      <c r="AD432" s="663"/>
      <c r="AE432" s="663"/>
      <c r="AF432" s="663"/>
      <c r="AG432" s="663"/>
      <c r="AH432" s="663"/>
      <c r="AI432" s="663"/>
      <c r="AJ432" s="663"/>
      <c r="AK432" s="663"/>
      <c r="AL432" s="663"/>
      <c r="AM432" s="663"/>
      <c r="AN432" s="663"/>
      <c r="AO432" s="663"/>
      <c r="AP432" s="663"/>
      <c r="AQ432" s="663"/>
      <c r="AR432" s="663"/>
      <c r="AS432" s="663"/>
      <c r="AT432" s="663"/>
      <c r="AU432" s="663"/>
      <c r="AV432" s="663"/>
      <c r="AW432" s="663"/>
      <c r="AX432" s="663"/>
      <c r="AY432" s="663"/>
      <c r="AZ432" s="663"/>
      <c r="BA432" s="663"/>
      <c r="BB432" s="663"/>
      <c r="BC432" s="663"/>
      <c r="BD432" s="663"/>
      <c r="BE432" s="663"/>
      <c r="BF432" s="663"/>
      <c r="BG432" s="663"/>
      <c r="BH432" s="663"/>
      <c r="BI432" s="663"/>
      <c r="BJ432" s="663"/>
      <c r="BK432" s="663"/>
      <c r="BL432" s="663"/>
      <c r="BM432" s="663"/>
      <c r="BN432" s="663"/>
      <c r="BO432" s="663"/>
      <c r="BP432" s="663"/>
      <c r="BQ432" s="663"/>
      <c r="BR432" s="663"/>
      <c r="BS432" s="663"/>
      <c r="BT432" s="663"/>
      <c r="BU432" s="663"/>
      <c r="BV432" s="663"/>
      <c r="BW432" s="663"/>
      <c r="BX432" s="663"/>
      <c r="BY432" s="663"/>
      <c r="BZ432" s="663"/>
      <c r="CA432" s="663"/>
      <c r="CB432" s="663"/>
      <c r="CC432" s="663"/>
      <c r="CD432" s="663"/>
      <c r="CE432" s="663"/>
      <c r="CF432" s="663"/>
      <c r="CG432" s="663"/>
      <c r="CH432" s="663"/>
      <c r="CI432" s="663"/>
      <c r="CJ432" s="663"/>
      <c r="CK432" s="663"/>
      <c r="CL432" s="663"/>
      <c r="CM432" s="663"/>
      <c r="CN432" s="663"/>
      <c r="CO432" s="663"/>
      <c r="CP432" s="663"/>
      <c r="CQ432" s="663"/>
      <c r="CR432" s="663"/>
      <c r="CS432" s="663"/>
      <c r="CT432" s="663"/>
      <c r="CU432" s="663"/>
      <c r="CV432" s="663"/>
      <c r="CW432" s="663"/>
      <c r="CX432" s="663"/>
      <c r="CY432" s="663"/>
      <c r="CZ432" s="663"/>
      <c r="DA432" s="663"/>
      <c r="DB432" s="663"/>
      <c r="DC432" s="663"/>
      <c r="DD432" s="663"/>
      <c r="DE432" s="663"/>
      <c r="DF432" s="663"/>
      <c r="DG432" s="663"/>
      <c r="DH432" s="663"/>
      <c r="DI432" s="663"/>
      <c r="DJ432" s="663"/>
      <c r="DK432" s="663"/>
      <c r="DL432" s="663"/>
      <c r="DM432" s="663"/>
      <c r="DN432" s="663"/>
      <c r="DO432" s="663"/>
      <c r="DP432" s="663"/>
      <c r="DQ432" s="663"/>
      <c r="DR432" s="663"/>
      <c r="DS432" s="663"/>
      <c r="DT432" s="663"/>
      <c r="DU432" s="663"/>
      <c r="DV432" s="663"/>
      <c r="DW432" s="663"/>
      <c r="DX432" s="663"/>
      <c r="DY432" s="663"/>
      <c r="DZ432" s="663"/>
      <c r="EA432" s="663"/>
      <c r="EB432" s="663"/>
      <c r="EC432" s="663"/>
      <c r="ED432" s="663"/>
      <c r="EE432" s="663"/>
      <c r="EF432" s="663"/>
      <c r="EG432" s="663"/>
      <c r="EH432" s="663"/>
      <c r="EI432" s="663"/>
      <c r="EJ432" s="663"/>
      <c r="EK432" s="663"/>
      <c r="EL432" s="663"/>
      <c r="EM432" s="663"/>
      <c r="EN432" s="663"/>
      <c r="EO432" s="663"/>
      <c r="EP432" s="663"/>
      <c r="EQ432" s="663"/>
      <c r="ER432" s="663"/>
      <c r="ES432" s="663"/>
      <c r="ET432" s="663"/>
      <c r="EU432" s="663"/>
      <c r="EV432" s="663"/>
      <c r="EW432" s="663"/>
      <c r="EX432" s="663"/>
      <c r="EY432" s="663"/>
      <c r="EZ432" s="663"/>
      <c r="FA432" s="663"/>
      <c r="FB432" s="663"/>
      <c r="FC432" s="663"/>
      <c r="FD432" s="663"/>
      <c r="FE432" s="663"/>
      <c r="FF432" s="663"/>
      <c r="FG432" s="663"/>
      <c r="FH432" s="663"/>
      <c r="FI432" s="663"/>
      <c r="FJ432" s="663"/>
      <c r="FK432" s="663"/>
      <c r="FL432" s="663"/>
      <c r="FM432" s="663"/>
      <c r="FN432" s="663"/>
      <c r="FO432" s="663"/>
      <c r="FP432" s="663"/>
      <c r="FQ432" s="663"/>
      <c r="FR432" s="663"/>
      <c r="FS432" s="663"/>
      <c r="FT432" s="663"/>
      <c r="FU432" s="663"/>
      <c r="FV432" s="663"/>
      <c r="FW432" s="663"/>
      <c r="FX432" s="663"/>
      <c r="FY432" s="663"/>
      <c r="FZ432" s="663"/>
      <c r="GA432" s="663"/>
      <c r="GB432" s="663"/>
      <c r="GC432" s="663"/>
      <c r="GD432" s="663"/>
      <c r="GE432" s="663"/>
      <c r="GF432" s="663"/>
      <c r="GG432" s="663"/>
    </row>
    <row r="433" spans="1:189">
      <c r="A433" s="670"/>
      <c r="B433" s="670"/>
      <c r="C433" s="670"/>
      <c r="D433" s="670"/>
      <c r="E433" s="670"/>
      <c r="F433" s="670"/>
      <c r="G433" s="673"/>
      <c r="H433" s="627"/>
      <c r="I433" s="627"/>
      <c r="J433" s="672"/>
      <c r="K433" s="663"/>
      <c r="L433" s="663"/>
      <c r="M433" s="663"/>
      <c r="N433" s="663"/>
      <c r="O433" s="663"/>
      <c r="P433" s="663"/>
      <c r="Q433" s="663"/>
      <c r="R433" s="663"/>
      <c r="S433" s="663"/>
      <c r="T433" s="663"/>
      <c r="U433" s="663"/>
      <c r="V433" s="663"/>
      <c r="W433" s="663"/>
      <c r="X433" s="663"/>
      <c r="Y433" s="663"/>
      <c r="Z433" s="663"/>
      <c r="AA433" s="663"/>
      <c r="AB433" s="663"/>
      <c r="AC433" s="663"/>
      <c r="AD433" s="663"/>
      <c r="AE433" s="663"/>
      <c r="AF433" s="663"/>
      <c r="AG433" s="663"/>
      <c r="AH433" s="663"/>
      <c r="AI433" s="663"/>
      <c r="AJ433" s="663"/>
      <c r="AK433" s="663"/>
      <c r="AL433" s="663"/>
      <c r="AM433" s="663"/>
      <c r="AN433" s="663"/>
      <c r="AO433" s="663"/>
      <c r="AP433" s="663"/>
      <c r="AQ433" s="663"/>
      <c r="AR433" s="663"/>
      <c r="AS433" s="663"/>
      <c r="AT433" s="663"/>
      <c r="AU433" s="663"/>
      <c r="AV433" s="663"/>
      <c r="AW433" s="663"/>
      <c r="AX433" s="663"/>
      <c r="AY433" s="663"/>
      <c r="AZ433" s="663"/>
      <c r="BA433" s="663"/>
      <c r="BB433" s="663"/>
      <c r="BC433" s="663"/>
      <c r="BD433" s="663"/>
      <c r="BE433" s="663"/>
      <c r="BF433" s="663"/>
      <c r="BG433" s="663"/>
      <c r="BH433" s="663"/>
      <c r="BI433" s="663"/>
      <c r="BJ433" s="663"/>
      <c r="BK433" s="663"/>
      <c r="BL433" s="663"/>
      <c r="BM433" s="663"/>
      <c r="BN433" s="663"/>
      <c r="BO433" s="663"/>
      <c r="BP433" s="663"/>
      <c r="BQ433" s="663"/>
      <c r="BR433" s="663"/>
      <c r="BS433" s="663"/>
      <c r="BT433" s="663"/>
      <c r="BU433" s="663"/>
      <c r="BV433" s="663"/>
      <c r="BW433" s="663"/>
      <c r="BX433" s="663"/>
      <c r="BY433" s="663"/>
      <c r="BZ433" s="663"/>
      <c r="CA433" s="663"/>
      <c r="CB433" s="663"/>
      <c r="CC433" s="663"/>
      <c r="CD433" s="663"/>
      <c r="CE433" s="663"/>
      <c r="CF433" s="663"/>
      <c r="CG433" s="663"/>
      <c r="CH433" s="663"/>
      <c r="CI433" s="663"/>
      <c r="CJ433" s="663"/>
      <c r="CK433" s="663"/>
      <c r="CL433" s="663"/>
      <c r="CM433" s="663"/>
      <c r="CN433" s="663"/>
      <c r="CO433" s="663"/>
      <c r="CP433" s="663"/>
      <c r="CQ433" s="663"/>
      <c r="CR433" s="663"/>
      <c r="CS433" s="663"/>
      <c r="CT433" s="663"/>
      <c r="CU433" s="663"/>
      <c r="CV433" s="663"/>
      <c r="CW433" s="663"/>
      <c r="CX433" s="663"/>
      <c r="CY433" s="663"/>
      <c r="CZ433" s="663"/>
      <c r="DA433" s="663"/>
      <c r="DB433" s="663"/>
      <c r="DC433" s="663"/>
      <c r="DD433" s="663"/>
      <c r="DE433" s="663"/>
      <c r="DF433" s="663"/>
      <c r="DG433" s="663"/>
      <c r="DH433" s="663"/>
      <c r="DI433" s="663"/>
      <c r="DJ433" s="663"/>
      <c r="DK433" s="663"/>
      <c r="DL433" s="663"/>
      <c r="DM433" s="663"/>
      <c r="DN433" s="663"/>
      <c r="DO433" s="663"/>
      <c r="DP433" s="663"/>
      <c r="DQ433" s="663"/>
      <c r="DR433" s="663"/>
      <c r="DS433" s="663"/>
      <c r="DT433" s="663"/>
      <c r="DU433" s="663"/>
      <c r="DV433" s="663"/>
      <c r="DW433" s="663"/>
      <c r="DX433" s="663"/>
      <c r="DY433" s="663"/>
      <c r="DZ433" s="663"/>
      <c r="EA433" s="663"/>
      <c r="EB433" s="663"/>
      <c r="EC433" s="663"/>
      <c r="ED433" s="663"/>
      <c r="EE433" s="663"/>
      <c r="EF433" s="663"/>
      <c r="EG433" s="663"/>
      <c r="EH433" s="663"/>
      <c r="EI433" s="663"/>
      <c r="EJ433" s="663"/>
      <c r="EK433" s="663"/>
      <c r="EL433" s="663"/>
      <c r="EM433" s="663"/>
      <c r="EN433" s="663"/>
      <c r="EO433" s="663"/>
      <c r="EP433" s="663"/>
      <c r="EQ433" s="663"/>
      <c r="ER433" s="663"/>
      <c r="ES433" s="663"/>
      <c r="ET433" s="663"/>
      <c r="EU433" s="663"/>
      <c r="EV433" s="663"/>
      <c r="EW433" s="663"/>
      <c r="EX433" s="663"/>
      <c r="EY433" s="663"/>
      <c r="EZ433" s="663"/>
      <c r="FA433" s="663"/>
      <c r="FB433" s="663"/>
      <c r="FC433" s="663"/>
      <c r="FD433" s="663"/>
      <c r="FE433" s="663"/>
      <c r="FF433" s="663"/>
      <c r="FG433" s="663"/>
      <c r="FH433" s="663"/>
      <c r="FI433" s="663"/>
      <c r="FJ433" s="663"/>
      <c r="FK433" s="663"/>
      <c r="FL433" s="663"/>
      <c r="FM433" s="663"/>
      <c r="FN433" s="663"/>
      <c r="FO433" s="663"/>
      <c r="FP433" s="663"/>
      <c r="FQ433" s="663"/>
      <c r="FR433" s="663"/>
      <c r="FS433" s="663"/>
      <c r="FT433" s="663"/>
      <c r="FU433" s="663"/>
      <c r="FV433" s="663"/>
      <c r="FW433" s="663"/>
      <c r="FX433" s="663"/>
      <c r="FY433" s="663"/>
      <c r="FZ433" s="663"/>
      <c r="GA433" s="663"/>
      <c r="GB433" s="663"/>
      <c r="GC433" s="663"/>
      <c r="GD433" s="663"/>
      <c r="GE433" s="663"/>
      <c r="GF433" s="663"/>
      <c r="GG433" s="663"/>
    </row>
    <row r="434" spans="1:189">
      <c r="A434" s="670"/>
      <c r="B434" s="670"/>
      <c r="C434" s="670"/>
      <c r="D434" s="670"/>
      <c r="E434" s="670"/>
      <c r="F434" s="670"/>
      <c r="G434" s="673"/>
      <c r="H434" s="627"/>
      <c r="I434" s="627"/>
      <c r="J434" s="672"/>
      <c r="K434" s="663"/>
      <c r="L434" s="663"/>
      <c r="M434" s="663"/>
      <c r="N434" s="663"/>
      <c r="O434" s="663"/>
      <c r="P434" s="663"/>
      <c r="Q434" s="663"/>
      <c r="R434" s="663"/>
      <c r="S434" s="663"/>
      <c r="T434" s="663"/>
      <c r="U434" s="663"/>
      <c r="V434" s="663"/>
      <c r="W434" s="663"/>
      <c r="X434" s="663"/>
      <c r="Y434" s="663"/>
      <c r="Z434" s="663"/>
      <c r="AA434" s="663"/>
      <c r="AB434" s="663"/>
      <c r="AC434" s="663"/>
      <c r="AD434" s="663"/>
      <c r="AE434" s="663"/>
      <c r="AF434" s="663"/>
      <c r="AG434" s="663"/>
      <c r="AH434" s="663"/>
      <c r="AI434" s="663"/>
      <c r="AJ434" s="663"/>
      <c r="AK434" s="663"/>
      <c r="AL434" s="663"/>
      <c r="AM434" s="663"/>
      <c r="AN434" s="663"/>
      <c r="AO434" s="663"/>
      <c r="AP434" s="663"/>
      <c r="AQ434" s="663"/>
      <c r="AR434" s="663"/>
      <c r="AS434" s="663"/>
      <c r="AT434" s="663"/>
      <c r="AU434" s="663"/>
      <c r="AV434" s="663"/>
      <c r="AW434" s="663"/>
      <c r="AX434" s="663"/>
      <c r="AY434" s="663"/>
      <c r="AZ434" s="663"/>
      <c r="BA434" s="663"/>
      <c r="BB434" s="663"/>
      <c r="BC434" s="663"/>
      <c r="BD434" s="663"/>
      <c r="BE434" s="663"/>
      <c r="BF434" s="663"/>
      <c r="BG434" s="663"/>
      <c r="BH434" s="663"/>
      <c r="BI434" s="663"/>
      <c r="BJ434" s="663"/>
      <c r="BK434" s="663"/>
      <c r="BL434" s="663"/>
      <c r="BM434" s="663"/>
      <c r="BN434" s="663"/>
      <c r="BO434" s="663"/>
      <c r="BP434" s="663"/>
      <c r="BQ434" s="663"/>
      <c r="BR434" s="663"/>
      <c r="BS434" s="663"/>
      <c r="BT434" s="663"/>
      <c r="BU434" s="663"/>
      <c r="BV434" s="663"/>
      <c r="BW434" s="663"/>
      <c r="BX434" s="663"/>
      <c r="BY434" s="663"/>
      <c r="BZ434" s="663"/>
      <c r="CA434" s="663"/>
      <c r="CB434" s="663"/>
      <c r="CC434" s="663"/>
      <c r="CD434" s="663"/>
      <c r="CE434" s="663"/>
      <c r="CF434" s="663"/>
      <c r="CG434" s="663"/>
      <c r="CH434" s="663"/>
      <c r="CI434" s="663"/>
      <c r="CJ434" s="663"/>
      <c r="CK434" s="663"/>
      <c r="CL434" s="663"/>
      <c r="CM434" s="663"/>
      <c r="CN434" s="663"/>
      <c r="CO434" s="663"/>
      <c r="CP434" s="663"/>
      <c r="CQ434" s="663"/>
      <c r="CR434" s="663"/>
      <c r="CS434" s="663"/>
      <c r="CT434" s="663"/>
      <c r="CU434" s="663"/>
      <c r="CV434" s="663"/>
      <c r="CW434" s="663"/>
      <c r="CX434" s="663"/>
      <c r="CY434" s="663"/>
      <c r="CZ434" s="663"/>
      <c r="DA434" s="663"/>
      <c r="DB434" s="663"/>
      <c r="DC434" s="663"/>
      <c r="DD434" s="663"/>
      <c r="DE434" s="663"/>
      <c r="DF434" s="663"/>
      <c r="DG434" s="663"/>
      <c r="DH434" s="663"/>
      <c r="DI434" s="663"/>
      <c r="DJ434" s="663"/>
      <c r="DK434" s="663"/>
      <c r="DL434" s="663"/>
      <c r="DM434" s="663"/>
      <c r="DN434" s="663"/>
      <c r="DO434" s="663"/>
      <c r="DP434" s="663"/>
      <c r="DQ434" s="663"/>
      <c r="DR434" s="663"/>
      <c r="DS434" s="663"/>
      <c r="DT434" s="663"/>
      <c r="DU434" s="663"/>
      <c r="DV434" s="663"/>
      <c r="DW434" s="663"/>
      <c r="DX434" s="663"/>
      <c r="DY434" s="663"/>
      <c r="DZ434" s="663"/>
      <c r="EA434" s="663"/>
      <c r="EB434" s="663"/>
      <c r="EC434" s="663"/>
      <c r="ED434" s="663"/>
      <c r="EE434" s="663"/>
      <c r="EF434" s="663"/>
      <c r="EG434" s="663"/>
      <c r="EH434" s="663"/>
      <c r="EI434" s="663"/>
      <c r="EJ434" s="663"/>
      <c r="EK434" s="663"/>
      <c r="EL434" s="663"/>
      <c r="EM434" s="663"/>
      <c r="EN434" s="663"/>
      <c r="EO434" s="663"/>
      <c r="EP434" s="663"/>
      <c r="EQ434" s="663"/>
      <c r="ER434" s="663"/>
      <c r="ES434" s="663"/>
      <c r="ET434" s="663"/>
      <c r="EU434" s="663"/>
      <c r="EV434" s="663"/>
      <c r="EW434" s="663"/>
      <c r="EX434" s="663"/>
      <c r="EY434" s="663"/>
      <c r="EZ434" s="663"/>
      <c r="FA434" s="663"/>
      <c r="FB434" s="663"/>
      <c r="FC434" s="663"/>
      <c r="FD434" s="663"/>
      <c r="FE434" s="663"/>
      <c r="FF434" s="663"/>
      <c r="FG434" s="663"/>
      <c r="FH434" s="663"/>
      <c r="FI434" s="663"/>
      <c r="FJ434" s="663"/>
      <c r="FK434" s="663"/>
      <c r="FL434" s="663"/>
      <c r="FM434" s="663"/>
      <c r="FN434" s="663"/>
      <c r="FO434" s="663"/>
      <c r="FP434" s="663"/>
      <c r="FQ434" s="663"/>
      <c r="FR434" s="663"/>
      <c r="FS434" s="663"/>
      <c r="FT434" s="663"/>
      <c r="FU434" s="663"/>
      <c r="FV434" s="663"/>
      <c r="FW434" s="663"/>
      <c r="FX434" s="663"/>
      <c r="FY434" s="663"/>
      <c r="FZ434" s="663"/>
      <c r="GA434" s="663"/>
      <c r="GB434" s="663"/>
      <c r="GC434" s="663"/>
      <c r="GD434" s="663"/>
      <c r="GE434" s="663"/>
      <c r="GF434" s="663"/>
      <c r="GG434" s="663"/>
    </row>
    <row r="435" spans="1:189">
      <c r="A435" s="670"/>
      <c r="B435" s="670"/>
      <c r="C435" s="670"/>
      <c r="D435" s="670"/>
      <c r="E435" s="670"/>
      <c r="F435" s="670"/>
      <c r="G435" s="673"/>
      <c r="H435" s="627"/>
      <c r="I435" s="627"/>
      <c r="J435" s="672"/>
      <c r="K435" s="663"/>
      <c r="L435" s="663"/>
      <c r="M435" s="663"/>
      <c r="N435" s="663"/>
      <c r="O435" s="663"/>
      <c r="P435" s="663"/>
      <c r="Q435" s="663"/>
      <c r="R435" s="663"/>
      <c r="S435" s="663"/>
      <c r="T435" s="663"/>
      <c r="U435" s="663"/>
      <c r="V435" s="663"/>
      <c r="W435" s="663"/>
      <c r="X435" s="663"/>
      <c r="Y435" s="663"/>
      <c r="Z435" s="663"/>
      <c r="AA435" s="663"/>
      <c r="AB435" s="663"/>
      <c r="AC435" s="663"/>
      <c r="AD435" s="663"/>
      <c r="AE435" s="663"/>
      <c r="AF435" s="663"/>
      <c r="AG435" s="663"/>
      <c r="AH435" s="663"/>
      <c r="AI435" s="663"/>
      <c r="AJ435" s="663"/>
      <c r="AK435" s="663"/>
      <c r="AL435" s="663"/>
      <c r="AM435" s="663"/>
      <c r="AN435" s="663"/>
      <c r="AO435" s="663"/>
      <c r="AP435" s="663"/>
      <c r="AQ435" s="663"/>
      <c r="AR435" s="663"/>
      <c r="AS435" s="663"/>
      <c r="AT435" s="663"/>
      <c r="AU435" s="663"/>
      <c r="AV435" s="663"/>
      <c r="AW435" s="663"/>
      <c r="AX435" s="663"/>
      <c r="AY435" s="663"/>
      <c r="AZ435" s="663"/>
      <c r="BA435" s="663"/>
      <c r="BB435" s="663"/>
      <c r="BC435" s="663"/>
      <c r="BD435" s="663"/>
      <c r="BE435" s="663"/>
      <c r="BF435" s="663"/>
      <c r="BG435" s="663"/>
      <c r="BH435" s="663"/>
      <c r="BI435" s="663"/>
      <c r="BJ435" s="663"/>
      <c r="BK435" s="663"/>
      <c r="BL435" s="663"/>
      <c r="BM435" s="663"/>
      <c r="BN435" s="663"/>
      <c r="BO435" s="663"/>
      <c r="BP435" s="663"/>
      <c r="BQ435" s="663"/>
      <c r="BR435" s="663"/>
      <c r="BS435" s="663"/>
      <c r="BT435" s="663"/>
      <c r="BU435" s="663"/>
      <c r="BV435" s="663"/>
      <c r="BW435" s="663"/>
      <c r="BX435" s="663"/>
      <c r="BY435" s="663"/>
      <c r="BZ435" s="663"/>
      <c r="CA435" s="663"/>
      <c r="CB435" s="663"/>
      <c r="CC435" s="663"/>
      <c r="CD435" s="663"/>
      <c r="CE435" s="663"/>
      <c r="CF435" s="663"/>
      <c r="CG435" s="663"/>
      <c r="CH435" s="663"/>
      <c r="CI435" s="663"/>
      <c r="CJ435" s="663"/>
      <c r="CK435" s="663"/>
      <c r="CL435" s="663"/>
      <c r="CM435" s="663"/>
      <c r="CN435" s="663"/>
      <c r="CO435" s="663"/>
      <c r="CP435" s="663"/>
      <c r="CQ435" s="663"/>
      <c r="CR435" s="663"/>
      <c r="CS435" s="663"/>
      <c r="CT435" s="663"/>
      <c r="CU435" s="663"/>
      <c r="CV435" s="663"/>
      <c r="CW435" s="663"/>
      <c r="CX435" s="663"/>
      <c r="CY435" s="663"/>
      <c r="CZ435" s="663"/>
      <c r="DA435" s="663"/>
      <c r="DB435" s="663"/>
      <c r="DC435" s="663"/>
      <c r="DD435" s="663"/>
      <c r="DE435" s="663"/>
      <c r="DF435" s="663"/>
      <c r="DG435" s="663"/>
      <c r="DH435" s="663"/>
      <c r="DI435" s="663"/>
      <c r="DJ435" s="663"/>
      <c r="DK435" s="663"/>
      <c r="DL435" s="663"/>
      <c r="DM435" s="663"/>
      <c r="DN435" s="663"/>
      <c r="DO435" s="663"/>
      <c r="DP435" s="663"/>
      <c r="DQ435" s="663"/>
      <c r="DR435" s="663"/>
      <c r="DS435" s="663"/>
      <c r="DT435" s="663"/>
      <c r="DU435" s="663"/>
      <c r="DV435" s="663"/>
      <c r="DW435" s="663"/>
      <c r="DX435" s="663"/>
      <c r="DY435" s="663"/>
      <c r="DZ435" s="663"/>
      <c r="EA435" s="663"/>
      <c r="EB435" s="663"/>
      <c r="EC435" s="663"/>
      <c r="ED435" s="663"/>
      <c r="EE435" s="663"/>
      <c r="EF435" s="663"/>
      <c r="EG435" s="663"/>
      <c r="EH435" s="663"/>
      <c r="EI435" s="663"/>
      <c r="EJ435" s="663"/>
      <c r="EK435" s="663"/>
      <c r="EL435" s="663"/>
      <c r="EM435" s="663"/>
      <c r="EN435" s="663"/>
      <c r="EO435" s="663"/>
      <c r="EP435" s="663"/>
      <c r="EQ435" s="663"/>
      <c r="ER435" s="663"/>
      <c r="ES435" s="663"/>
      <c r="ET435" s="663"/>
      <c r="EU435" s="663"/>
      <c r="EV435" s="663"/>
      <c r="EW435" s="663"/>
      <c r="EX435" s="663"/>
      <c r="EY435" s="663"/>
      <c r="EZ435" s="663"/>
      <c r="FA435" s="663"/>
      <c r="FB435" s="663"/>
      <c r="FC435" s="663"/>
      <c r="FD435" s="663"/>
      <c r="FE435" s="663"/>
      <c r="FF435" s="663"/>
      <c r="FG435" s="663"/>
      <c r="FH435" s="663"/>
      <c r="FI435" s="663"/>
      <c r="FJ435" s="663"/>
      <c r="FK435" s="663"/>
      <c r="FL435" s="663"/>
      <c r="FM435" s="663"/>
      <c r="FN435" s="663"/>
      <c r="FO435" s="663"/>
      <c r="FP435" s="663"/>
      <c r="FQ435" s="663"/>
      <c r="FR435" s="663"/>
      <c r="FS435" s="663"/>
      <c r="FT435" s="663"/>
      <c r="FU435" s="663"/>
      <c r="FV435" s="663"/>
      <c r="FW435" s="663"/>
      <c r="FX435" s="663"/>
      <c r="FY435" s="663"/>
      <c r="FZ435" s="663"/>
      <c r="GA435" s="663"/>
      <c r="GB435" s="663"/>
      <c r="GC435" s="663"/>
      <c r="GD435" s="663"/>
      <c r="GE435" s="663"/>
      <c r="GF435" s="663"/>
      <c r="GG435" s="663"/>
    </row>
    <row r="436" spans="1:189">
      <c r="A436" s="670"/>
      <c r="B436" s="670"/>
      <c r="C436" s="670"/>
      <c r="D436" s="670"/>
      <c r="E436" s="670"/>
      <c r="F436" s="670"/>
      <c r="G436" s="673"/>
      <c r="H436" s="627"/>
      <c r="I436" s="627"/>
      <c r="J436" s="672"/>
      <c r="K436" s="663"/>
      <c r="L436" s="663"/>
      <c r="M436" s="663"/>
      <c r="N436" s="663"/>
      <c r="O436" s="663"/>
      <c r="P436" s="663"/>
      <c r="Q436" s="663"/>
      <c r="R436" s="663"/>
      <c r="S436" s="663"/>
      <c r="T436" s="663"/>
      <c r="U436" s="663"/>
      <c r="V436" s="663"/>
      <c r="W436" s="663"/>
      <c r="X436" s="663"/>
      <c r="Y436" s="663"/>
      <c r="Z436" s="663"/>
      <c r="AA436" s="663"/>
      <c r="AB436" s="663"/>
      <c r="AC436" s="663"/>
      <c r="AD436" s="663"/>
      <c r="AE436" s="663"/>
      <c r="AF436" s="663"/>
      <c r="AG436" s="663"/>
      <c r="AH436" s="663"/>
      <c r="AI436" s="663"/>
      <c r="AJ436" s="663"/>
      <c r="AK436" s="663"/>
      <c r="AL436" s="663"/>
      <c r="AM436" s="663"/>
      <c r="AN436" s="663"/>
      <c r="AO436" s="663"/>
      <c r="AP436" s="663"/>
      <c r="AQ436" s="663"/>
      <c r="AR436" s="663"/>
      <c r="AS436" s="663"/>
      <c r="AT436" s="663"/>
      <c r="AU436" s="663"/>
      <c r="AV436" s="663"/>
      <c r="AW436" s="663"/>
      <c r="AX436" s="663"/>
      <c r="AY436" s="663"/>
      <c r="AZ436" s="663"/>
      <c r="BA436" s="663"/>
      <c r="BB436" s="663"/>
      <c r="BC436" s="663"/>
      <c r="BD436" s="663"/>
      <c r="BE436" s="663"/>
      <c r="BF436" s="663"/>
      <c r="BG436" s="663"/>
      <c r="BH436" s="663"/>
      <c r="BI436" s="663"/>
      <c r="BJ436" s="663"/>
      <c r="BK436" s="663"/>
      <c r="BL436" s="663"/>
      <c r="BM436" s="663"/>
      <c r="BN436" s="663"/>
      <c r="BO436" s="663"/>
      <c r="BP436" s="663"/>
      <c r="BQ436" s="663"/>
      <c r="BR436" s="663"/>
      <c r="BS436" s="663"/>
      <c r="BT436" s="663"/>
      <c r="BU436" s="663"/>
      <c r="BV436" s="663"/>
      <c r="BW436" s="663"/>
      <c r="BX436" s="663"/>
      <c r="BY436" s="663"/>
      <c r="BZ436" s="663"/>
      <c r="CA436" s="663"/>
      <c r="CB436" s="663"/>
      <c r="CC436" s="663"/>
      <c r="CD436" s="663"/>
      <c r="CE436" s="663"/>
      <c r="CF436" s="663"/>
      <c r="CG436" s="663"/>
      <c r="CH436" s="663"/>
      <c r="CI436" s="663"/>
      <c r="CJ436" s="663"/>
      <c r="CK436" s="663"/>
      <c r="CL436" s="663"/>
      <c r="CM436" s="663"/>
      <c r="CN436" s="663"/>
      <c r="CO436" s="663"/>
      <c r="CP436" s="663"/>
      <c r="CQ436" s="663"/>
      <c r="CR436" s="663"/>
      <c r="CS436" s="663"/>
      <c r="CT436" s="663"/>
      <c r="CU436" s="663"/>
      <c r="CV436" s="663"/>
      <c r="CW436" s="663"/>
      <c r="CX436" s="663"/>
      <c r="CY436" s="663"/>
      <c r="CZ436" s="663"/>
      <c r="DA436" s="663"/>
      <c r="DB436" s="663"/>
      <c r="DC436" s="663"/>
      <c r="DD436" s="663"/>
      <c r="DE436" s="663"/>
      <c r="DF436" s="663"/>
      <c r="DG436" s="663"/>
      <c r="DH436" s="663"/>
      <c r="DI436" s="663"/>
      <c r="DJ436" s="663"/>
      <c r="DK436" s="663"/>
      <c r="DL436" s="663"/>
      <c r="DM436" s="663"/>
      <c r="DN436" s="663"/>
      <c r="DO436" s="663"/>
      <c r="DP436" s="663"/>
      <c r="DQ436" s="663"/>
      <c r="DR436" s="663"/>
      <c r="DS436" s="663"/>
      <c r="DT436" s="663"/>
      <c r="DU436" s="663"/>
      <c r="DV436" s="663"/>
      <c r="DW436" s="663"/>
      <c r="DX436" s="663"/>
      <c r="DY436" s="663"/>
      <c r="DZ436" s="663"/>
      <c r="EA436" s="663"/>
      <c r="EB436" s="663"/>
      <c r="EC436" s="663"/>
      <c r="ED436" s="663"/>
      <c r="EE436" s="663"/>
      <c r="EF436" s="663"/>
      <c r="EG436" s="663"/>
      <c r="EH436" s="663"/>
      <c r="EI436" s="663"/>
      <c r="EJ436" s="663"/>
      <c r="EK436" s="663"/>
      <c r="EL436" s="663"/>
      <c r="EM436" s="663"/>
      <c r="EN436" s="663"/>
      <c r="EO436" s="663"/>
      <c r="EP436" s="663"/>
      <c r="EQ436" s="663"/>
      <c r="ER436" s="663"/>
      <c r="ES436" s="663"/>
      <c r="ET436" s="663"/>
      <c r="EU436" s="663"/>
      <c r="EV436" s="663"/>
      <c r="EW436" s="663"/>
      <c r="EX436" s="663"/>
      <c r="EY436" s="663"/>
      <c r="EZ436" s="663"/>
      <c r="FA436" s="663"/>
      <c r="FB436" s="663"/>
      <c r="FC436" s="663"/>
      <c r="FD436" s="663"/>
      <c r="FE436" s="663"/>
      <c r="FF436" s="663"/>
      <c r="FG436" s="663"/>
      <c r="FH436" s="663"/>
      <c r="FI436" s="663"/>
      <c r="FJ436" s="663"/>
      <c r="FK436" s="663"/>
      <c r="FL436" s="663"/>
      <c r="FM436" s="663"/>
      <c r="FN436" s="663"/>
      <c r="FO436" s="663"/>
      <c r="FP436" s="663"/>
      <c r="FQ436" s="663"/>
      <c r="FR436" s="663"/>
      <c r="FS436" s="663"/>
      <c r="FT436" s="663"/>
      <c r="FU436" s="663"/>
      <c r="FV436" s="663"/>
      <c r="FW436" s="663"/>
      <c r="FX436" s="663"/>
      <c r="FY436" s="663"/>
      <c r="FZ436" s="663"/>
      <c r="GA436" s="663"/>
      <c r="GB436" s="663"/>
      <c r="GC436" s="663"/>
      <c r="GD436" s="663"/>
      <c r="GE436" s="663"/>
      <c r="GF436" s="663"/>
      <c r="GG436" s="663"/>
    </row>
    <row r="437" spans="1:189">
      <c r="A437" s="670"/>
      <c r="B437" s="670"/>
      <c r="C437" s="670"/>
      <c r="D437" s="670"/>
      <c r="E437" s="670"/>
      <c r="F437" s="670"/>
      <c r="G437" s="673"/>
      <c r="H437" s="627"/>
      <c r="I437" s="627"/>
      <c r="J437" s="672"/>
      <c r="K437" s="663"/>
      <c r="L437" s="663"/>
      <c r="M437" s="663"/>
      <c r="N437" s="663"/>
      <c r="O437" s="663"/>
      <c r="P437" s="663"/>
      <c r="Q437" s="663"/>
      <c r="R437" s="663"/>
      <c r="S437" s="663"/>
      <c r="T437" s="663"/>
      <c r="U437" s="663"/>
      <c r="V437" s="663"/>
      <c r="W437" s="663"/>
      <c r="X437" s="663"/>
      <c r="Y437" s="663"/>
      <c r="Z437" s="663"/>
      <c r="AA437" s="663"/>
      <c r="AB437" s="663"/>
      <c r="AC437" s="663"/>
      <c r="AD437" s="663"/>
      <c r="AE437" s="663"/>
      <c r="AF437" s="663"/>
      <c r="AG437" s="663"/>
      <c r="AH437" s="663"/>
      <c r="AI437" s="663"/>
      <c r="AJ437" s="663"/>
      <c r="AK437" s="663"/>
      <c r="AL437" s="663"/>
      <c r="AM437" s="663"/>
      <c r="AN437" s="663"/>
      <c r="AO437" s="663"/>
      <c r="AP437" s="663"/>
      <c r="AQ437" s="663"/>
      <c r="AR437" s="663"/>
      <c r="AS437" s="663"/>
      <c r="AT437" s="663"/>
      <c r="AU437" s="663"/>
      <c r="AV437" s="663"/>
      <c r="AW437" s="663"/>
      <c r="AX437" s="663"/>
      <c r="AY437" s="663"/>
      <c r="AZ437" s="663"/>
      <c r="BA437" s="663"/>
      <c r="BB437" s="663"/>
      <c r="BC437" s="663"/>
      <c r="BD437" s="663"/>
      <c r="BE437" s="663"/>
      <c r="BF437" s="663"/>
      <c r="BG437" s="663"/>
      <c r="BH437" s="663"/>
      <c r="BI437" s="663"/>
      <c r="BJ437" s="663"/>
      <c r="BK437" s="663"/>
      <c r="BL437" s="663"/>
      <c r="BM437" s="663"/>
      <c r="BN437" s="663"/>
      <c r="BO437" s="663"/>
      <c r="BP437" s="663"/>
      <c r="BQ437" s="663"/>
      <c r="BR437" s="663"/>
      <c r="BS437" s="663"/>
      <c r="BT437" s="663"/>
      <c r="BU437" s="663"/>
      <c r="BV437" s="663"/>
      <c r="BW437" s="663"/>
      <c r="BX437" s="663"/>
      <c r="BY437" s="663"/>
      <c r="BZ437" s="663"/>
      <c r="CA437" s="663"/>
      <c r="CB437" s="663"/>
      <c r="CC437" s="663"/>
      <c r="CD437" s="663"/>
      <c r="CE437" s="663"/>
      <c r="CF437" s="663"/>
      <c r="CG437" s="663"/>
      <c r="CH437" s="663"/>
      <c r="CI437" s="663"/>
      <c r="CJ437" s="663"/>
      <c r="CK437" s="663"/>
      <c r="CL437" s="663"/>
      <c r="CM437" s="663"/>
      <c r="CN437" s="663"/>
      <c r="CO437" s="663"/>
      <c r="CP437" s="663"/>
      <c r="CQ437" s="663"/>
      <c r="CR437" s="663"/>
      <c r="CS437" s="663"/>
      <c r="CT437" s="663"/>
      <c r="CU437" s="663"/>
      <c r="CV437" s="663"/>
      <c r="CW437" s="663"/>
      <c r="CX437" s="663"/>
      <c r="CY437" s="663"/>
      <c r="CZ437" s="663"/>
      <c r="DA437" s="663"/>
      <c r="DB437" s="663"/>
      <c r="DC437" s="663"/>
      <c r="DD437" s="663"/>
      <c r="DE437" s="663"/>
      <c r="DF437" s="663"/>
      <c r="DG437" s="663"/>
      <c r="DH437" s="663"/>
      <c r="DI437" s="663"/>
      <c r="DJ437" s="663"/>
      <c r="DK437" s="663"/>
      <c r="DL437" s="663"/>
      <c r="DM437" s="663"/>
      <c r="DN437" s="663"/>
      <c r="DO437" s="663"/>
      <c r="DP437" s="663"/>
      <c r="DQ437" s="663"/>
      <c r="DR437" s="663"/>
      <c r="DS437" s="663"/>
      <c r="DT437" s="663"/>
      <c r="DU437" s="663"/>
      <c r="DV437" s="663"/>
      <c r="DW437" s="663"/>
      <c r="DX437" s="663"/>
      <c r="DY437" s="663"/>
      <c r="DZ437" s="663"/>
      <c r="EA437" s="663"/>
      <c r="EB437" s="663"/>
      <c r="EC437" s="663"/>
      <c r="ED437" s="663"/>
      <c r="EE437" s="663"/>
      <c r="EF437" s="663"/>
      <c r="EG437" s="663"/>
      <c r="EH437" s="663"/>
      <c r="EI437" s="663"/>
      <c r="EJ437" s="663"/>
      <c r="EK437" s="663"/>
      <c r="EL437" s="663"/>
      <c r="EM437" s="663"/>
      <c r="EN437" s="663"/>
      <c r="EO437" s="663"/>
      <c r="EP437" s="663"/>
      <c r="EQ437" s="663"/>
      <c r="ER437" s="663"/>
      <c r="ES437" s="663"/>
      <c r="ET437" s="663"/>
      <c r="EU437" s="663"/>
      <c r="EV437" s="663"/>
      <c r="EW437" s="663"/>
      <c r="EX437" s="663"/>
      <c r="EY437" s="663"/>
      <c r="EZ437" s="663"/>
      <c r="FA437" s="663"/>
      <c r="FB437" s="663"/>
      <c r="FC437" s="663"/>
      <c r="FD437" s="663"/>
      <c r="FE437" s="663"/>
      <c r="FF437" s="663"/>
      <c r="FG437" s="663"/>
      <c r="FH437" s="663"/>
      <c r="FI437" s="663"/>
      <c r="FJ437" s="663"/>
      <c r="FK437" s="663"/>
      <c r="FL437" s="663"/>
      <c r="FM437" s="663"/>
      <c r="FN437" s="663"/>
      <c r="FO437" s="663"/>
      <c r="FP437" s="663"/>
      <c r="FQ437" s="663"/>
      <c r="FR437" s="663"/>
      <c r="FS437" s="663"/>
      <c r="FT437" s="663"/>
      <c r="FU437" s="663"/>
      <c r="FV437" s="663"/>
      <c r="FW437" s="663"/>
      <c r="FX437" s="663"/>
      <c r="FY437" s="663"/>
      <c r="FZ437" s="663"/>
      <c r="GA437" s="663"/>
      <c r="GB437" s="663"/>
      <c r="GC437" s="663"/>
      <c r="GD437" s="663"/>
      <c r="GE437" s="663"/>
      <c r="GF437" s="663"/>
      <c r="GG437" s="663"/>
    </row>
    <row r="438" spans="1:189">
      <c r="A438" s="670"/>
      <c r="B438" s="670"/>
      <c r="C438" s="670"/>
      <c r="D438" s="670"/>
      <c r="E438" s="670"/>
      <c r="F438" s="670"/>
      <c r="G438" s="673"/>
      <c r="H438" s="627"/>
      <c r="I438" s="627"/>
      <c r="J438" s="672"/>
      <c r="K438" s="663"/>
      <c r="L438" s="663"/>
      <c r="M438" s="663"/>
      <c r="N438" s="663"/>
      <c r="O438" s="663"/>
      <c r="P438" s="663"/>
      <c r="Q438" s="663"/>
      <c r="R438" s="663"/>
      <c r="S438" s="663"/>
      <c r="T438" s="663"/>
      <c r="U438" s="663"/>
      <c r="V438" s="663"/>
      <c r="W438" s="663"/>
      <c r="X438" s="663"/>
      <c r="Y438" s="663"/>
      <c r="Z438" s="663"/>
      <c r="AA438" s="663"/>
      <c r="AB438" s="663"/>
      <c r="AC438" s="663"/>
      <c r="AD438" s="663"/>
      <c r="AE438" s="663"/>
      <c r="AF438" s="663"/>
      <c r="AG438" s="663"/>
      <c r="AH438" s="663"/>
      <c r="AI438" s="663"/>
      <c r="AJ438" s="663"/>
      <c r="AK438" s="663"/>
      <c r="AL438" s="663"/>
      <c r="AM438" s="663"/>
      <c r="AN438" s="663"/>
      <c r="AO438" s="663"/>
      <c r="AP438" s="663"/>
      <c r="AQ438" s="663"/>
      <c r="AR438" s="663"/>
      <c r="AS438" s="663"/>
      <c r="AT438" s="663"/>
      <c r="AU438" s="663"/>
      <c r="AV438" s="663"/>
      <c r="AW438" s="663"/>
      <c r="AX438" s="663"/>
      <c r="AY438" s="663"/>
      <c r="AZ438" s="663"/>
      <c r="BA438" s="663"/>
      <c r="BB438" s="663"/>
      <c r="BC438" s="663"/>
      <c r="BD438" s="663"/>
      <c r="BE438" s="663"/>
      <c r="BF438" s="663"/>
      <c r="BG438" s="663"/>
      <c r="BH438" s="663"/>
      <c r="BI438" s="663"/>
      <c r="BJ438" s="663"/>
      <c r="BK438" s="663"/>
      <c r="BL438" s="663"/>
      <c r="BM438" s="663"/>
      <c r="BN438" s="663"/>
      <c r="BO438" s="663"/>
      <c r="BP438" s="663"/>
      <c r="BQ438" s="663"/>
      <c r="BR438" s="663"/>
      <c r="BS438" s="663"/>
      <c r="BT438" s="663"/>
      <c r="BU438" s="663"/>
      <c r="BV438" s="663"/>
      <c r="BW438" s="663"/>
      <c r="BX438" s="663"/>
      <c r="BY438" s="663"/>
      <c r="BZ438" s="663"/>
      <c r="CA438" s="663"/>
      <c r="CB438" s="663"/>
      <c r="CC438" s="663"/>
      <c r="CD438" s="663"/>
      <c r="CE438" s="663"/>
      <c r="CF438" s="663"/>
      <c r="CG438" s="663"/>
      <c r="CH438" s="663"/>
      <c r="CI438" s="663"/>
      <c r="CJ438" s="663"/>
      <c r="CK438" s="663"/>
      <c r="CL438" s="663"/>
      <c r="CM438" s="663"/>
      <c r="CN438" s="663"/>
      <c r="CO438" s="663"/>
      <c r="CP438" s="663"/>
      <c r="CQ438" s="663"/>
      <c r="CR438" s="663"/>
      <c r="CS438" s="663"/>
      <c r="CT438" s="663"/>
      <c r="CU438" s="663"/>
      <c r="CV438" s="663"/>
      <c r="CW438" s="663"/>
      <c r="CX438" s="663"/>
      <c r="CY438" s="663"/>
      <c r="CZ438" s="663"/>
      <c r="DA438" s="663"/>
      <c r="DB438" s="663"/>
      <c r="DC438" s="663"/>
      <c r="DD438" s="663"/>
      <c r="DE438" s="663"/>
      <c r="DF438" s="663"/>
      <c r="DG438" s="663"/>
      <c r="DH438" s="663"/>
      <c r="DI438" s="663"/>
      <c r="DJ438" s="663"/>
      <c r="DK438" s="663"/>
      <c r="DL438" s="663"/>
      <c r="DM438" s="663"/>
      <c r="DN438" s="663"/>
      <c r="DO438" s="663"/>
      <c r="DP438" s="663"/>
      <c r="DQ438" s="663"/>
      <c r="DR438" s="663"/>
      <c r="DS438" s="663"/>
      <c r="DT438" s="663"/>
      <c r="DU438" s="663"/>
      <c r="DV438" s="663"/>
      <c r="DW438" s="663"/>
      <c r="DX438" s="663"/>
      <c r="DY438" s="663"/>
      <c r="DZ438" s="663"/>
      <c r="EA438" s="663"/>
      <c r="EB438" s="663"/>
      <c r="EC438" s="663"/>
      <c r="ED438" s="663"/>
      <c r="EE438" s="663"/>
      <c r="EF438" s="663"/>
      <c r="EG438" s="663"/>
      <c r="EH438" s="663"/>
      <c r="EI438" s="663"/>
      <c r="EJ438" s="663"/>
      <c r="EK438" s="663"/>
      <c r="EL438" s="663"/>
      <c r="EM438" s="663"/>
      <c r="EN438" s="663"/>
      <c r="EO438" s="663"/>
      <c r="EP438" s="663"/>
      <c r="EQ438" s="663"/>
      <c r="ER438" s="663"/>
      <c r="ES438" s="663"/>
      <c r="ET438" s="663"/>
      <c r="EU438" s="663"/>
      <c r="EV438" s="663"/>
      <c r="EW438" s="663"/>
      <c r="EX438" s="663"/>
      <c r="EY438" s="663"/>
      <c r="EZ438" s="663"/>
      <c r="FA438" s="663"/>
      <c r="FB438" s="663"/>
      <c r="FC438" s="663"/>
      <c r="FD438" s="663"/>
      <c r="FE438" s="663"/>
      <c r="FF438" s="663"/>
      <c r="FG438" s="663"/>
      <c r="FH438" s="663"/>
      <c r="FI438" s="663"/>
      <c r="FJ438" s="663"/>
      <c r="FK438" s="663"/>
      <c r="FL438" s="663"/>
      <c r="FM438" s="663"/>
      <c r="FN438" s="663"/>
      <c r="FO438" s="663"/>
      <c r="FP438" s="663"/>
      <c r="FQ438" s="663"/>
      <c r="FR438" s="663"/>
      <c r="FS438" s="663"/>
      <c r="FT438" s="663"/>
      <c r="FU438" s="663"/>
      <c r="FV438" s="663"/>
      <c r="FW438" s="663"/>
      <c r="FX438" s="663"/>
      <c r="FY438" s="663"/>
      <c r="FZ438" s="663"/>
      <c r="GA438" s="663"/>
      <c r="GB438" s="663"/>
      <c r="GC438" s="663"/>
      <c r="GD438" s="663"/>
      <c r="GE438" s="663"/>
      <c r="GF438" s="663"/>
      <c r="GG438" s="663"/>
    </row>
    <row r="439" spans="1:189">
      <c r="A439" s="670"/>
      <c r="B439" s="670"/>
      <c r="C439" s="670"/>
      <c r="D439" s="670"/>
      <c r="E439" s="670"/>
      <c r="F439" s="670"/>
      <c r="G439" s="673"/>
      <c r="H439" s="627"/>
      <c r="I439" s="627"/>
      <c r="J439" s="672"/>
      <c r="K439" s="663"/>
      <c r="L439" s="663"/>
      <c r="M439" s="663"/>
      <c r="N439" s="663"/>
      <c r="O439" s="663"/>
      <c r="P439" s="663"/>
      <c r="Q439" s="663"/>
      <c r="R439" s="663"/>
      <c r="S439" s="663"/>
      <c r="T439" s="663"/>
      <c r="U439" s="663"/>
      <c r="V439" s="663"/>
      <c r="W439" s="663"/>
      <c r="X439" s="663"/>
      <c r="Y439" s="663"/>
      <c r="Z439" s="663"/>
      <c r="AA439" s="663"/>
      <c r="AB439" s="663"/>
      <c r="AC439" s="663"/>
      <c r="AD439" s="663"/>
      <c r="AE439" s="663"/>
      <c r="AF439" s="663"/>
      <c r="AG439" s="663"/>
      <c r="AH439" s="663"/>
      <c r="AI439" s="663"/>
      <c r="AJ439" s="663"/>
      <c r="AK439" s="663"/>
      <c r="AL439" s="663"/>
      <c r="AM439" s="663"/>
      <c r="AN439" s="663"/>
      <c r="AO439" s="663"/>
      <c r="AP439" s="663"/>
      <c r="AQ439" s="663"/>
      <c r="AR439" s="663"/>
      <c r="AS439" s="663"/>
      <c r="AT439" s="663"/>
      <c r="AU439" s="663"/>
      <c r="AV439" s="663"/>
      <c r="AW439" s="663"/>
      <c r="AX439" s="663"/>
      <c r="AY439" s="663"/>
      <c r="AZ439" s="663"/>
      <c r="BA439" s="663"/>
      <c r="BB439" s="663"/>
      <c r="BC439" s="663"/>
      <c r="BD439" s="663"/>
      <c r="BE439" s="663"/>
      <c r="BF439" s="663"/>
      <c r="BG439" s="663"/>
      <c r="BH439" s="663"/>
      <c r="BI439" s="663"/>
      <c r="BJ439" s="663"/>
      <c r="BK439" s="663"/>
      <c r="BL439" s="663"/>
      <c r="BM439" s="663"/>
      <c r="BN439" s="663"/>
      <c r="BO439" s="663"/>
      <c r="BP439" s="663"/>
      <c r="BQ439" s="663"/>
      <c r="BR439" s="663"/>
      <c r="BS439" s="663"/>
      <c r="BT439" s="663"/>
      <c r="BU439" s="663"/>
      <c r="BV439" s="663"/>
      <c r="BW439" s="663"/>
      <c r="BX439" s="663"/>
      <c r="BY439" s="663"/>
      <c r="BZ439" s="663"/>
      <c r="CA439" s="663"/>
      <c r="CB439" s="663"/>
      <c r="CC439" s="663"/>
      <c r="CD439" s="663"/>
      <c r="CE439" s="663"/>
      <c r="CF439" s="663"/>
      <c r="CG439" s="663"/>
      <c r="CH439" s="663"/>
      <c r="CI439" s="663"/>
      <c r="CJ439" s="663"/>
      <c r="CK439" s="663"/>
      <c r="CL439" s="663"/>
      <c r="CM439" s="663"/>
      <c r="CN439" s="663"/>
      <c r="CO439" s="663"/>
      <c r="CP439" s="663"/>
      <c r="CQ439" s="663"/>
      <c r="CR439" s="663"/>
      <c r="CS439" s="663"/>
      <c r="CT439" s="663"/>
      <c r="CU439" s="663"/>
      <c r="CV439" s="663"/>
      <c r="CW439" s="663"/>
      <c r="CX439" s="663"/>
      <c r="CY439" s="663"/>
      <c r="CZ439" s="663"/>
      <c r="DA439" s="663"/>
      <c r="DB439" s="663"/>
      <c r="DC439" s="663"/>
      <c r="DD439" s="663"/>
      <c r="DE439" s="663"/>
      <c r="DF439" s="663"/>
      <c r="DG439" s="663"/>
      <c r="DH439" s="663"/>
      <c r="DI439" s="663"/>
      <c r="DJ439" s="663"/>
      <c r="DK439" s="663"/>
      <c r="DL439" s="663"/>
      <c r="DM439" s="663"/>
      <c r="DN439" s="663"/>
      <c r="DO439" s="663"/>
      <c r="DP439" s="663"/>
      <c r="DQ439" s="663"/>
      <c r="DR439" s="663"/>
      <c r="DS439" s="663"/>
      <c r="DT439" s="663"/>
      <c r="DU439" s="663"/>
      <c r="DV439" s="663"/>
      <c r="DW439" s="663"/>
      <c r="DX439" s="663"/>
      <c r="DY439" s="663"/>
      <c r="DZ439" s="663"/>
      <c r="EA439" s="663"/>
      <c r="EB439" s="663"/>
      <c r="EC439" s="663"/>
      <c r="ED439" s="663"/>
      <c r="EE439" s="663"/>
      <c r="EF439" s="663"/>
      <c r="EG439" s="663"/>
      <c r="EH439" s="663"/>
      <c r="EI439" s="663"/>
      <c r="EJ439" s="663"/>
      <c r="EK439" s="663"/>
      <c r="EL439" s="663"/>
      <c r="EM439" s="663"/>
      <c r="EN439" s="663"/>
      <c r="EO439" s="663"/>
      <c r="EP439" s="663"/>
      <c r="EQ439" s="663"/>
      <c r="ER439" s="663"/>
      <c r="ES439" s="663"/>
      <c r="ET439" s="663"/>
      <c r="EU439" s="663"/>
      <c r="EV439" s="663"/>
      <c r="EW439" s="663"/>
      <c r="EX439" s="663"/>
      <c r="EY439" s="663"/>
      <c r="EZ439" s="663"/>
      <c r="FA439" s="663"/>
      <c r="FB439" s="663"/>
      <c r="FC439" s="663"/>
      <c r="FD439" s="663"/>
      <c r="FE439" s="663"/>
      <c r="FF439" s="663"/>
      <c r="FG439" s="663"/>
      <c r="FH439" s="663"/>
      <c r="FI439" s="663"/>
      <c r="FJ439" s="663"/>
      <c r="FK439" s="663"/>
      <c r="FL439" s="663"/>
      <c r="FM439" s="663"/>
      <c r="FN439" s="663"/>
      <c r="FO439" s="663"/>
      <c r="FP439" s="663"/>
      <c r="FQ439" s="663"/>
      <c r="FR439" s="663"/>
      <c r="FS439" s="663"/>
      <c r="FT439" s="663"/>
      <c r="FU439" s="663"/>
      <c r="FV439" s="663"/>
      <c r="FW439" s="663"/>
      <c r="FX439" s="663"/>
      <c r="FY439" s="663"/>
      <c r="FZ439" s="663"/>
      <c r="GA439" s="663"/>
      <c r="GB439" s="663"/>
      <c r="GC439" s="663"/>
      <c r="GD439" s="663"/>
      <c r="GE439" s="663"/>
      <c r="GF439" s="663"/>
      <c r="GG439" s="663"/>
    </row>
    <row r="440" spans="1:189">
      <c r="A440" s="670"/>
      <c r="B440" s="670"/>
      <c r="C440" s="670"/>
      <c r="D440" s="670"/>
      <c r="E440" s="670"/>
      <c r="F440" s="670"/>
      <c r="G440" s="673"/>
      <c r="H440" s="627"/>
      <c r="I440" s="627"/>
      <c r="J440" s="672"/>
      <c r="K440" s="663"/>
      <c r="L440" s="663"/>
      <c r="M440" s="663"/>
      <c r="N440" s="663"/>
      <c r="O440" s="663"/>
      <c r="P440" s="663"/>
      <c r="Q440" s="663"/>
      <c r="R440" s="663"/>
      <c r="S440" s="663"/>
      <c r="T440" s="663"/>
      <c r="U440" s="663"/>
      <c r="V440" s="663"/>
      <c r="W440" s="663"/>
      <c r="X440" s="663"/>
      <c r="Y440" s="663"/>
      <c r="Z440" s="663"/>
      <c r="AA440" s="663"/>
      <c r="AB440" s="663"/>
      <c r="AC440" s="663"/>
      <c r="AD440" s="663"/>
      <c r="AE440" s="663"/>
      <c r="AF440" s="663"/>
      <c r="AG440" s="663"/>
      <c r="AH440" s="663"/>
      <c r="AI440" s="663"/>
      <c r="AJ440" s="663"/>
      <c r="AK440" s="663"/>
      <c r="AL440" s="663"/>
      <c r="AM440" s="663"/>
      <c r="AN440" s="663"/>
      <c r="AO440" s="663"/>
      <c r="AP440" s="663"/>
      <c r="AQ440" s="663"/>
      <c r="AR440" s="663"/>
      <c r="AS440" s="663"/>
      <c r="AT440" s="663"/>
      <c r="AU440" s="663"/>
      <c r="AV440" s="663"/>
      <c r="AW440" s="663"/>
      <c r="AX440" s="663"/>
      <c r="AY440" s="663"/>
      <c r="AZ440" s="663"/>
      <c r="BA440" s="663"/>
      <c r="BB440" s="663"/>
      <c r="BC440" s="663"/>
      <c r="BD440" s="663"/>
      <c r="BE440" s="663"/>
      <c r="BF440" s="663"/>
      <c r="BG440" s="663"/>
      <c r="BH440" s="663"/>
      <c r="BI440" s="663"/>
      <c r="BJ440" s="663"/>
      <c r="BK440" s="663"/>
      <c r="BL440" s="663"/>
      <c r="BM440" s="663"/>
      <c r="BN440" s="663"/>
      <c r="BO440" s="663"/>
      <c r="BP440" s="663"/>
      <c r="BQ440" s="663"/>
      <c r="BR440" s="663"/>
      <c r="BS440" s="663"/>
      <c r="BT440" s="663"/>
      <c r="BU440" s="663"/>
      <c r="BV440" s="663"/>
      <c r="BW440" s="663"/>
      <c r="BX440" s="663"/>
      <c r="BY440" s="663"/>
      <c r="BZ440" s="663"/>
      <c r="CA440" s="663"/>
      <c r="CB440" s="663"/>
      <c r="CC440" s="663"/>
      <c r="CD440" s="663"/>
      <c r="CE440" s="663"/>
      <c r="CF440" s="663"/>
      <c r="CG440" s="663"/>
      <c r="CH440" s="663"/>
      <c r="CI440" s="663"/>
      <c r="CJ440" s="663"/>
      <c r="CK440" s="663"/>
      <c r="CL440" s="663"/>
      <c r="CM440" s="663"/>
      <c r="CN440" s="663"/>
      <c r="CO440" s="663"/>
      <c r="CP440" s="663"/>
      <c r="CQ440" s="663"/>
      <c r="CR440" s="663"/>
      <c r="CS440" s="663"/>
      <c r="CT440" s="663"/>
      <c r="CU440" s="663"/>
      <c r="CV440" s="663"/>
      <c r="CW440" s="663"/>
      <c r="CX440" s="663"/>
      <c r="CY440" s="663"/>
      <c r="CZ440" s="663"/>
      <c r="DA440" s="663"/>
      <c r="DB440" s="663"/>
      <c r="DC440" s="663"/>
      <c r="DD440" s="663"/>
      <c r="DE440" s="663"/>
      <c r="DF440" s="663"/>
      <c r="DG440" s="663"/>
      <c r="DH440" s="663"/>
      <c r="DI440" s="663"/>
      <c r="DJ440" s="663"/>
      <c r="DK440" s="663"/>
      <c r="DL440" s="663"/>
      <c r="DM440" s="663"/>
      <c r="DN440" s="663"/>
      <c r="DO440" s="663"/>
      <c r="DP440" s="663"/>
      <c r="DQ440" s="663"/>
      <c r="DR440" s="663"/>
      <c r="DS440" s="663"/>
      <c r="DT440" s="663"/>
      <c r="DU440" s="663"/>
      <c r="DV440" s="663"/>
      <c r="DW440" s="663"/>
      <c r="DX440" s="663"/>
      <c r="DY440" s="663"/>
      <c r="DZ440" s="663"/>
      <c r="EA440" s="663"/>
      <c r="EB440" s="663"/>
      <c r="EC440" s="663"/>
      <c r="ED440" s="663"/>
      <c r="EE440" s="663"/>
      <c r="EF440" s="663"/>
      <c r="EG440" s="663"/>
      <c r="EH440" s="663"/>
      <c r="EI440" s="663"/>
      <c r="EJ440" s="663"/>
      <c r="EK440" s="663"/>
      <c r="EL440" s="663"/>
      <c r="EM440" s="663"/>
      <c r="EN440" s="663"/>
      <c r="EO440" s="663"/>
      <c r="EP440" s="663"/>
      <c r="EQ440" s="663"/>
      <c r="ER440" s="663"/>
      <c r="ES440" s="663"/>
      <c r="ET440" s="663"/>
      <c r="EU440" s="663"/>
      <c r="EV440" s="663"/>
      <c r="EW440" s="663"/>
      <c r="EX440" s="663"/>
      <c r="EY440" s="663"/>
      <c r="EZ440" s="663"/>
      <c r="FA440" s="663"/>
      <c r="FB440" s="663"/>
      <c r="FC440" s="663"/>
      <c r="FD440" s="663"/>
      <c r="FE440" s="663"/>
      <c r="FF440" s="663"/>
      <c r="FG440" s="663"/>
      <c r="FH440" s="663"/>
      <c r="FI440" s="663"/>
      <c r="FJ440" s="663"/>
      <c r="FK440" s="663"/>
      <c r="FL440" s="663"/>
      <c r="FM440" s="663"/>
      <c r="FN440" s="663"/>
      <c r="FO440" s="663"/>
      <c r="FP440" s="663"/>
      <c r="FQ440" s="663"/>
      <c r="FR440" s="663"/>
      <c r="FS440" s="663"/>
      <c r="FT440" s="663"/>
      <c r="FU440" s="663"/>
      <c r="FV440" s="663"/>
      <c r="FW440" s="663"/>
      <c r="FX440" s="663"/>
      <c r="FY440" s="663"/>
      <c r="FZ440" s="663"/>
      <c r="GA440" s="663"/>
      <c r="GB440" s="663"/>
      <c r="GC440" s="663"/>
      <c r="GD440" s="663"/>
      <c r="GE440" s="663"/>
      <c r="GF440" s="663"/>
      <c r="GG440" s="663"/>
    </row>
    <row r="441" spans="1:189">
      <c r="A441" s="670"/>
      <c r="B441" s="670"/>
      <c r="C441" s="670"/>
      <c r="D441" s="670"/>
      <c r="E441" s="670"/>
      <c r="F441" s="670"/>
      <c r="G441" s="673"/>
      <c r="H441" s="627"/>
      <c r="I441" s="627"/>
      <c r="J441" s="672"/>
      <c r="K441" s="663"/>
      <c r="L441" s="663"/>
      <c r="M441" s="663"/>
      <c r="N441" s="663"/>
      <c r="O441" s="663"/>
      <c r="P441" s="663"/>
      <c r="Q441" s="663"/>
      <c r="R441" s="663"/>
      <c r="S441" s="663"/>
      <c r="T441" s="663"/>
      <c r="U441" s="663"/>
      <c r="V441" s="663"/>
      <c r="W441" s="663"/>
      <c r="X441" s="663"/>
      <c r="Y441" s="663"/>
      <c r="Z441" s="663"/>
      <c r="AA441" s="663"/>
      <c r="AB441" s="663"/>
      <c r="AC441" s="663"/>
      <c r="AD441" s="663"/>
      <c r="AE441" s="663"/>
      <c r="AF441" s="663"/>
      <c r="AG441" s="663"/>
      <c r="AH441" s="663"/>
      <c r="AI441" s="663"/>
      <c r="AJ441" s="663"/>
      <c r="AK441" s="663"/>
      <c r="AL441" s="663"/>
      <c r="AM441" s="663"/>
      <c r="AN441" s="663"/>
      <c r="AO441" s="663"/>
      <c r="AP441" s="663"/>
      <c r="AQ441" s="663"/>
      <c r="AR441" s="663"/>
      <c r="AS441" s="663"/>
      <c r="AT441" s="663"/>
      <c r="AU441" s="663"/>
      <c r="AV441" s="663"/>
      <c r="AW441" s="663"/>
      <c r="AX441" s="663"/>
      <c r="AY441" s="663"/>
      <c r="AZ441" s="663"/>
      <c r="BA441" s="663"/>
      <c r="BB441" s="663"/>
      <c r="BC441" s="663"/>
      <c r="BD441" s="663"/>
      <c r="BE441" s="663"/>
      <c r="BF441" s="663"/>
      <c r="BG441" s="663"/>
      <c r="BH441" s="663"/>
      <c r="BI441" s="663"/>
      <c r="BJ441" s="663"/>
      <c r="BK441" s="663"/>
      <c r="BL441" s="663"/>
      <c r="BM441" s="663"/>
      <c r="BN441" s="663"/>
      <c r="BO441" s="663"/>
      <c r="BP441" s="663"/>
      <c r="BQ441" s="663"/>
      <c r="BR441" s="663"/>
      <c r="BS441" s="663"/>
      <c r="BT441" s="663"/>
      <c r="BU441" s="663"/>
      <c r="BV441" s="663"/>
      <c r="BW441" s="663"/>
      <c r="BX441" s="663"/>
      <c r="BY441" s="663"/>
      <c r="BZ441" s="663"/>
      <c r="CA441" s="663"/>
      <c r="CB441" s="663"/>
      <c r="CC441" s="663"/>
      <c r="CD441" s="663"/>
      <c r="CE441" s="663"/>
      <c r="CF441" s="663"/>
      <c r="CG441" s="663"/>
      <c r="CH441" s="663"/>
      <c r="CI441" s="663"/>
      <c r="CJ441" s="663"/>
      <c r="CK441" s="663"/>
      <c r="CL441" s="663"/>
      <c r="CM441" s="663"/>
      <c r="CN441" s="663"/>
      <c r="CO441" s="663"/>
      <c r="CP441" s="663"/>
      <c r="CQ441" s="663"/>
      <c r="CR441" s="663"/>
      <c r="CS441" s="663"/>
      <c r="CT441" s="663"/>
      <c r="CU441" s="663"/>
      <c r="CV441" s="663"/>
      <c r="CW441" s="663"/>
      <c r="CX441" s="663"/>
      <c r="CY441" s="663"/>
      <c r="CZ441" s="663"/>
      <c r="DA441" s="663"/>
      <c r="DB441" s="663"/>
      <c r="DC441" s="663"/>
      <c r="DD441" s="663"/>
      <c r="DE441" s="663"/>
      <c r="DF441" s="663"/>
      <c r="DG441" s="663"/>
      <c r="DH441" s="663"/>
      <c r="DI441" s="663"/>
      <c r="DJ441" s="663"/>
      <c r="DK441" s="663"/>
      <c r="DL441" s="663"/>
      <c r="DM441" s="663"/>
      <c r="DN441" s="663"/>
      <c r="DO441" s="663"/>
      <c r="DP441" s="663"/>
      <c r="DQ441" s="663"/>
      <c r="DR441" s="663"/>
      <c r="DS441" s="663"/>
      <c r="DT441" s="663"/>
      <c r="DU441" s="663"/>
      <c r="DV441" s="663"/>
      <c r="DW441" s="663"/>
      <c r="DX441" s="663"/>
      <c r="DY441" s="663"/>
      <c r="DZ441" s="663"/>
      <c r="EA441" s="663"/>
      <c r="EB441" s="663"/>
      <c r="EC441" s="663"/>
      <c r="ED441" s="663"/>
      <c r="EE441" s="663"/>
      <c r="EF441" s="663"/>
      <c r="EG441" s="663"/>
      <c r="EH441" s="663"/>
      <c r="EI441" s="663"/>
      <c r="EJ441" s="663"/>
      <c r="EK441" s="663"/>
      <c r="EL441" s="663"/>
      <c r="EM441" s="663"/>
      <c r="EN441" s="663"/>
      <c r="EO441" s="663"/>
      <c r="EP441" s="663"/>
      <c r="EQ441" s="663"/>
      <c r="ER441" s="663"/>
      <c r="ES441" s="663"/>
      <c r="ET441" s="663"/>
      <c r="EU441" s="663"/>
      <c r="EV441" s="663"/>
      <c r="EW441" s="663"/>
      <c r="EX441" s="663"/>
      <c r="EY441" s="663"/>
      <c r="EZ441" s="663"/>
      <c r="FA441" s="663"/>
      <c r="FB441" s="663"/>
      <c r="FC441" s="663"/>
      <c r="FD441" s="663"/>
      <c r="FE441" s="663"/>
      <c r="FF441" s="663"/>
      <c r="FG441" s="663"/>
      <c r="FH441" s="663"/>
      <c r="FI441" s="663"/>
      <c r="FJ441" s="663"/>
      <c r="FK441" s="663"/>
      <c r="FL441" s="663"/>
      <c r="FM441" s="663"/>
      <c r="FN441" s="663"/>
      <c r="FO441" s="663"/>
      <c r="FP441" s="663"/>
      <c r="FQ441" s="663"/>
      <c r="FR441" s="663"/>
      <c r="FS441" s="663"/>
      <c r="FT441" s="663"/>
      <c r="FU441" s="663"/>
      <c r="FV441" s="663"/>
      <c r="FW441" s="663"/>
      <c r="FX441" s="663"/>
      <c r="FY441" s="663"/>
      <c r="FZ441" s="663"/>
      <c r="GA441" s="663"/>
      <c r="GB441" s="663"/>
      <c r="GC441" s="663"/>
      <c r="GD441" s="663"/>
      <c r="GE441" s="663"/>
      <c r="GF441" s="663"/>
      <c r="GG441" s="663"/>
    </row>
    <row r="442" spans="1:189">
      <c r="A442" s="670"/>
      <c r="B442" s="670"/>
      <c r="C442" s="670"/>
      <c r="D442" s="670"/>
      <c r="E442" s="670"/>
      <c r="F442" s="670"/>
      <c r="G442" s="673"/>
      <c r="H442" s="627"/>
      <c r="I442" s="627"/>
      <c r="J442" s="672"/>
      <c r="K442" s="663"/>
      <c r="L442" s="663"/>
      <c r="M442" s="663"/>
      <c r="N442" s="663"/>
      <c r="O442" s="663"/>
      <c r="P442" s="663"/>
      <c r="Q442" s="663"/>
      <c r="R442" s="663"/>
      <c r="S442" s="663"/>
      <c r="T442" s="663"/>
      <c r="U442" s="663"/>
      <c r="V442" s="663"/>
      <c r="W442" s="663"/>
      <c r="X442" s="663"/>
      <c r="Y442" s="663"/>
      <c r="Z442" s="663"/>
      <c r="AA442" s="663"/>
      <c r="AB442" s="663"/>
      <c r="AC442" s="663"/>
      <c r="AD442" s="663"/>
      <c r="AE442" s="663"/>
      <c r="AF442" s="663"/>
      <c r="AG442" s="663"/>
      <c r="AH442" s="663"/>
      <c r="AI442" s="663"/>
      <c r="AJ442" s="663"/>
      <c r="AK442" s="663"/>
      <c r="AL442" s="663"/>
      <c r="AM442" s="663"/>
      <c r="AN442" s="663"/>
      <c r="AO442" s="663"/>
      <c r="AP442" s="663"/>
      <c r="AQ442" s="663"/>
      <c r="AR442" s="663"/>
      <c r="AS442" s="663"/>
      <c r="AT442" s="663"/>
      <c r="AU442" s="663"/>
      <c r="AV442" s="663"/>
      <c r="AW442" s="663"/>
      <c r="AX442" s="663"/>
      <c r="AY442" s="663"/>
      <c r="AZ442" s="663"/>
      <c r="BA442" s="663"/>
      <c r="BB442" s="663"/>
      <c r="BC442" s="663"/>
      <c r="BD442" s="663"/>
      <c r="BE442" s="663"/>
      <c r="BF442" s="663"/>
      <c r="BG442" s="663"/>
      <c r="BH442" s="663"/>
      <c r="BI442" s="663"/>
      <c r="BJ442" s="663"/>
      <c r="BK442" s="663"/>
      <c r="BL442" s="663"/>
      <c r="BM442" s="663"/>
      <c r="BN442" s="663"/>
      <c r="BO442" s="663"/>
      <c r="BP442" s="663"/>
      <c r="BQ442" s="663"/>
      <c r="BR442" s="663"/>
      <c r="BS442" s="663"/>
      <c r="BT442" s="663"/>
      <c r="BU442" s="663"/>
      <c r="BV442" s="663"/>
      <c r="BW442" s="663"/>
      <c r="BX442" s="663"/>
      <c r="BY442" s="663"/>
      <c r="BZ442" s="663"/>
      <c r="CA442" s="663"/>
      <c r="CB442" s="663"/>
      <c r="CC442" s="663"/>
      <c r="CD442" s="663"/>
      <c r="CE442" s="663"/>
      <c r="CF442" s="663"/>
      <c r="CG442" s="663"/>
      <c r="CH442" s="663"/>
      <c r="CI442" s="663"/>
      <c r="CJ442" s="663"/>
      <c r="CK442" s="663"/>
      <c r="CL442" s="663"/>
      <c r="CM442" s="663"/>
      <c r="CN442" s="663"/>
      <c r="CO442" s="663"/>
      <c r="CP442" s="663"/>
      <c r="CQ442" s="663"/>
      <c r="CR442" s="663"/>
      <c r="CS442" s="663"/>
      <c r="CT442" s="663"/>
      <c r="CU442" s="663"/>
      <c r="CV442" s="663"/>
      <c r="CW442" s="663"/>
      <c r="CX442" s="663"/>
      <c r="CY442" s="663"/>
      <c r="CZ442" s="663"/>
      <c r="DA442" s="663"/>
      <c r="DB442" s="663"/>
      <c r="DC442" s="663"/>
      <c r="DD442" s="663"/>
      <c r="DE442" s="663"/>
      <c r="DF442" s="663"/>
      <c r="DG442" s="663"/>
      <c r="DH442" s="663"/>
      <c r="DI442" s="663"/>
      <c r="DJ442" s="663"/>
      <c r="DK442" s="663"/>
      <c r="DL442" s="663"/>
      <c r="DM442" s="663"/>
      <c r="DN442" s="663"/>
      <c r="DO442" s="663"/>
      <c r="DP442" s="663"/>
      <c r="DQ442" s="663"/>
      <c r="DR442" s="663"/>
      <c r="DS442" s="663"/>
      <c r="DT442" s="663"/>
      <c r="DU442" s="663"/>
      <c r="DV442" s="663"/>
      <c r="DW442" s="663"/>
      <c r="DX442" s="663"/>
      <c r="DY442" s="663"/>
      <c r="DZ442" s="663"/>
      <c r="EA442" s="663"/>
      <c r="EB442" s="663"/>
      <c r="EC442" s="663"/>
      <c r="ED442" s="663"/>
      <c r="EE442" s="663"/>
      <c r="EF442" s="663"/>
      <c r="EG442" s="663"/>
      <c r="EH442" s="663"/>
      <c r="EI442" s="663"/>
      <c r="EJ442" s="663"/>
      <c r="EK442" s="663"/>
      <c r="EL442" s="663"/>
      <c r="EM442" s="663"/>
      <c r="EN442" s="663"/>
      <c r="EO442" s="663"/>
      <c r="EP442" s="663"/>
      <c r="EQ442" s="663"/>
      <c r="ER442" s="663"/>
      <c r="ES442" s="663"/>
      <c r="ET442" s="663"/>
      <c r="EU442" s="663"/>
      <c r="EV442" s="663"/>
      <c r="EW442" s="663"/>
      <c r="EX442" s="663"/>
      <c r="EY442" s="663"/>
      <c r="EZ442" s="663"/>
      <c r="FA442" s="663"/>
      <c r="FB442" s="663"/>
      <c r="FC442" s="663"/>
      <c r="FD442" s="663"/>
      <c r="FE442" s="663"/>
      <c r="FF442" s="663"/>
      <c r="FG442" s="663"/>
      <c r="FH442" s="663"/>
      <c r="FI442" s="663"/>
      <c r="FJ442" s="663"/>
      <c r="FK442" s="663"/>
      <c r="FL442" s="663"/>
      <c r="FM442" s="663"/>
      <c r="FN442" s="663"/>
      <c r="FO442" s="663"/>
      <c r="FP442" s="663"/>
      <c r="FQ442" s="663"/>
      <c r="FR442" s="663"/>
      <c r="FS442" s="663"/>
      <c r="FT442" s="663"/>
      <c r="FU442" s="663"/>
      <c r="FV442" s="663"/>
      <c r="FW442" s="663"/>
      <c r="FX442" s="663"/>
      <c r="FY442" s="663"/>
      <c r="FZ442" s="663"/>
      <c r="GA442" s="663"/>
      <c r="GB442" s="663"/>
      <c r="GC442" s="663"/>
      <c r="GD442" s="663"/>
      <c r="GE442" s="663"/>
      <c r="GF442" s="663"/>
      <c r="GG442" s="663"/>
    </row>
    <row r="443" spans="1:189">
      <c r="A443" s="670"/>
      <c r="B443" s="670"/>
      <c r="C443" s="670"/>
      <c r="D443" s="670"/>
      <c r="E443" s="670"/>
      <c r="F443" s="670"/>
      <c r="G443" s="673"/>
      <c r="H443" s="627"/>
      <c r="I443" s="627"/>
      <c r="J443" s="672"/>
      <c r="K443" s="663"/>
      <c r="L443" s="663"/>
      <c r="M443" s="663"/>
      <c r="N443" s="663"/>
      <c r="O443" s="663"/>
      <c r="P443" s="663"/>
      <c r="Q443" s="663"/>
      <c r="R443" s="663"/>
      <c r="S443" s="663"/>
      <c r="T443" s="663"/>
      <c r="U443" s="663"/>
      <c r="V443" s="663"/>
      <c r="W443" s="663"/>
      <c r="X443" s="663"/>
      <c r="Y443" s="663"/>
      <c r="Z443" s="663"/>
      <c r="AA443" s="663"/>
      <c r="AB443" s="663"/>
      <c r="AC443" s="663"/>
      <c r="AD443" s="663"/>
      <c r="AE443" s="663"/>
      <c r="AF443" s="663"/>
      <c r="AG443" s="663"/>
      <c r="AH443" s="663"/>
      <c r="AI443" s="663"/>
      <c r="AJ443" s="663"/>
      <c r="AK443" s="663"/>
      <c r="AL443" s="663"/>
      <c r="AM443" s="663"/>
      <c r="AN443" s="663"/>
      <c r="AO443" s="663"/>
      <c r="AP443" s="663"/>
      <c r="AQ443" s="663"/>
      <c r="AR443" s="663"/>
      <c r="AS443" s="663"/>
      <c r="AT443" s="663"/>
      <c r="AU443" s="663"/>
      <c r="AV443" s="663"/>
      <c r="AW443" s="663"/>
      <c r="AX443" s="663"/>
      <c r="AY443" s="663"/>
      <c r="AZ443" s="663"/>
      <c r="BA443" s="663"/>
      <c r="BB443" s="663"/>
      <c r="BC443" s="663"/>
      <c r="BD443" s="663"/>
      <c r="BE443" s="663"/>
      <c r="BF443" s="663"/>
      <c r="BG443" s="663"/>
      <c r="BH443" s="663"/>
      <c r="BI443" s="663"/>
      <c r="BJ443" s="663"/>
      <c r="BK443" s="663"/>
      <c r="BL443" s="663"/>
      <c r="BM443" s="663"/>
      <c r="BN443" s="663"/>
      <c r="BO443" s="663"/>
      <c r="BP443" s="663"/>
      <c r="BQ443" s="663"/>
      <c r="BR443" s="663"/>
      <c r="BS443" s="663"/>
      <c r="BT443" s="663"/>
      <c r="BU443" s="663"/>
      <c r="BV443" s="663"/>
      <c r="BW443" s="663"/>
      <c r="BX443" s="663"/>
      <c r="BY443" s="663"/>
      <c r="BZ443" s="663"/>
      <c r="CA443" s="663"/>
      <c r="CB443" s="663"/>
      <c r="CC443" s="663"/>
      <c r="CD443" s="663"/>
      <c r="CE443" s="663"/>
      <c r="CF443" s="663"/>
      <c r="CG443" s="663"/>
      <c r="CH443" s="663"/>
      <c r="CI443" s="663"/>
      <c r="CJ443" s="663"/>
      <c r="CK443" s="663"/>
      <c r="CL443" s="663"/>
      <c r="CM443" s="663"/>
      <c r="CN443" s="663"/>
      <c r="CO443" s="663"/>
      <c r="CP443" s="663"/>
      <c r="CQ443" s="663"/>
      <c r="CR443" s="663"/>
      <c r="CS443" s="663"/>
      <c r="CT443" s="663"/>
      <c r="CU443" s="663"/>
      <c r="CV443" s="663"/>
      <c r="CW443" s="663"/>
      <c r="CX443" s="663"/>
      <c r="CY443" s="663"/>
      <c r="CZ443" s="663"/>
      <c r="DA443" s="663"/>
      <c r="DB443" s="663"/>
      <c r="DC443" s="663"/>
      <c r="DD443" s="663"/>
      <c r="DE443" s="663"/>
      <c r="DF443" s="663"/>
      <c r="DG443" s="663"/>
      <c r="DH443" s="663"/>
      <c r="DI443" s="663"/>
      <c r="DJ443" s="663"/>
      <c r="DK443" s="663"/>
      <c r="DL443" s="663"/>
      <c r="DM443" s="663"/>
      <c r="DN443" s="663"/>
      <c r="DO443" s="663"/>
      <c r="DP443" s="663"/>
      <c r="DQ443" s="663"/>
      <c r="DR443" s="663"/>
      <c r="DS443" s="663"/>
      <c r="DT443" s="663"/>
      <c r="DU443" s="663"/>
      <c r="DV443" s="663"/>
      <c r="DW443" s="663"/>
      <c r="DX443" s="663"/>
      <c r="DY443" s="663"/>
      <c r="DZ443" s="663"/>
      <c r="EA443" s="663"/>
      <c r="EB443" s="663"/>
      <c r="EC443" s="663"/>
      <c r="ED443" s="663"/>
      <c r="EE443" s="663"/>
      <c r="EF443" s="663"/>
      <c r="EG443" s="663"/>
      <c r="EH443" s="663"/>
      <c r="EI443" s="663"/>
      <c r="EJ443" s="663"/>
      <c r="EK443" s="663"/>
      <c r="EL443" s="663"/>
      <c r="EM443" s="663"/>
      <c r="EN443" s="663"/>
      <c r="EO443" s="663"/>
      <c r="EP443" s="663"/>
      <c r="EQ443" s="663"/>
      <c r="ER443" s="663"/>
      <c r="ES443" s="663"/>
      <c r="ET443" s="663"/>
      <c r="EU443" s="663"/>
      <c r="EV443" s="663"/>
      <c r="EW443" s="663"/>
      <c r="EX443" s="663"/>
      <c r="EY443" s="663"/>
      <c r="EZ443" s="663"/>
      <c r="FA443" s="663"/>
      <c r="FB443" s="663"/>
      <c r="FC443" s="663"/>
      <c r="FD443" s="663"/>
      <c r="FE443" s="663"/>
      <c r="FF443" s="663"/>
      <c r="FG443" s="663"/>
      <c r="FH443" s="663"/>
      <c r="FI443" s="663"/>
      <c r="FJ443" s="663"/>
      <c r="FK443" s="663"/>
      <c r="FL443" s="663"/>
      <c r="FM443" s="663"/>
      <c r="FN443" s="663"/>
      <c r="FO443" s="663"/>
      <c r="FP443" s="663"/>
      <c r="FQ443" s="663"/>
      <c r="FR443" s="663"/>
      <c r="FS443" s="663"/>
      <c r="FT443" s="663"/>
      <c r="FU443" s="663"/>
      <c r="FV443" s="663"/>
      <c r="FW443" s="663"/>
      <c r="FX443" s="663"/>
      <c r="FY443" s="663"/>
      <c r="FZ443" s="663"/>
      <c r="GA443" s="663"/>
      <c r="GB443" s="663"/>
      <c r="GC443" s="663"/>
      <c r="GD443" s="663"/>
      <c r="GE443" s="663"/>
      <c r="GF443" s="663"/>
      <c r="GG443" s="663"/>
    </row>
    <row r="444" spans="1:189">
      <c r="A444" s="670"/>
      <c r="B444" s="670"/>
      <c r="C444" s="670"/>
      <c r="D444" s="670"/>
      <c r="E444" s="670"/>
      <c r="F444" s="670"/>
      <c r="G444" s="673"/>
      <c r="H444" s="627"/>
      <c r="I444" s="627"/>
      <c r="J444" s="672"/>
      <c r="K444" s="663"/>
      <c r="L444" s="663"/>
      <c r="M444" s="663"/>
      <c r="N444" s="663"/>
      <c r="O444" s="663"/>
      <c r="P444" s="663"/>
      <c r="Q444" s="663"/>
      <c r="R444" s="663"/>
      <c r="S444" s="663"/>
      <c r="T444" s="663"/>
      <c r="U444" s="663"/>
      <c r="V444" s="663"/>
      <c r="W444" s="663"/>
      <c r="X444" s="663"/>
      <c r="Y444" s="663"/>
      <c r="Z444" s="663"/>
      <c r="AA444" s="663"/>
      <c r="AB444" s="663"/>
      <c r="AC444" s="663"/>
      <c r="AD444" s="663"/>
      <c r="AE444" s="663"/>
      <c r="AF444" s="663"/>
      <c r="AG444" s="663"/>
      <c r="AH444" s="663"/>
      <c r="AI444" s="663"/>
      <c r="AJ444" s="663"/>
      <c r="AK444" s="663"/>
      <c r="AL444" s="663"/>
      <c r="AM444" s="663"/>
      <c r="AN444" s="663"/>
      <c r="AO444" s="663"/>
      <c r="AP444" s="663"/>
      <c r="AQ444" s="663"/>
      <c r="AR444" s="663"/>
      <c r="AS444" s="663"/>
      <c r="AT444" s="663"/>
      <c r="AU444" s="663"/>
      <c r="AV444" s="663"/>
      <c r="AW444" s="663"/>
      <c r="AX444" s="663"/>
      <c r="AY444" s="663"/>
      <c r="AZ444" s="663"/>
      <c r="BA444" s="663"/>
      <c r="BB444" s="663"/>
      <c r="BC444" s="663"/>
      <c r="BD444" s="663"/>
      <c r="BE444" s="663"/>
      <c r="BF444" s="663"/>
      <c r="BG444" s="663"/>
      <c r="BH444" s="663"/>
      <c r="BI444" s="663"/>
      <c r="BJ444" s="663"/>
      <c r="BK444" s="663"/>
      <c r="BL444" s="663"/>
      <c r="BM444" s="663"/>
      <c r="BN444" s="663"/>
      <c r="BO444" s="663"/>
      <c r="BP444" s="663"/>
      <c r="BQ444" s="663"/>
      <c r="BR444" s="663"/>
      <c r="BS444" s="663"/>
      <c r="BT444" s="663"/>
      <c r="BU444" s="663"/>
      <c r="BV444" s="663"/>
      <c r="BW444" s="663"/>
      <c r="BX444" s="663"/>
      <c r="BY444" s="663"/>
      <c r="BZ444" s="663"/>
      <c r="CA444" s="663"/>
      <c r="CB444" s="663"/>
      <c r="CC444" s="663"/>
      <c r="CD444" s="663"/>
      <c r="CE444" s="663"/>
      <c r="CF444" s="663"/>
      <c r="CG444" s="663"/>
      <c r="CH444" s="663"/>
      <c r="CI444" s="663"/>
      <c r="CJ444" s="663"/>
      <c r="CK444" s="663"/>
      <c r="CL444" s="663"/>
      <c r="CM444" s="663"/>
      <c r="CN444" s="663"/>
      <c r="CO444" s="663"/>
      <c r="CP444" s="663"/>
      <c r="CQ444" s="663"/>
      <c r="CR444" s="663"/>
      <c r="CS444" s="663"/>
      <c r="CT444" s="663"/>
      <c r="CU444" s="663"/>
      <c r="CV444" s="663"/>
      <c r="CW444" s="663"/>
      <c r="CX444" s="663"/>
      <c r="CY444" s="663"/>
      <c r="CZ444" s="663"/>
      <c r="DA444" s="663"/>
      <c r="DB444" s="663"/>
      <c r="DC444" s="663"/>
      <c r="DD444" s="663"/>
      <c r="DE444" s="663"/>
      <c r="DF444" s="663"/>
      <c r="DG444" s="663"/>
      <c r="DH444" s="663"/>
      <c r="DI444" s="663"/>
      <c r="DJ444" s="663"/>
      <c r="DK444" s="663"/>
      <c r="DL444" s="663"/>
      <c r="DM444" s="663"/>
      <c r="DN444" s="663"/>
      <c r="DO444" s="663"/>
      <c r="DP444" s="663"/>
      <c r="DQ444" s="663"/>
      <c r="DR444" s="663"/>
      <c r="DS444" s="663"/>
      <c r="DT444" s="663"/>
      <c r="DU444" s="663"/>
      <c r="DV444" s="663"/>
      <c r="DW444" s="663"/>
      <c r="DX444" s="663"/>
      <c r="DY444" s="663"/>
      <c r="DZ444" s="663"/>
      <c r="EA444" s="663"/>
      <c r="EB444" s="663"/>
      <c r="EC444" s="663"/>
      <c r="ED444" s="663"/>
      <c r="EE444" s="663"/>
      <c r="EF444" s="663"/>
      <c r="EG444" s="663"/>
      <c r="EH444" s="663"/>
      <c r="EI444" s="663"/>
      <c r="EJ444" s="663"/>
      <c r="EK444" s="663"/>
      <c r="EL444" s="663"/>
      <c r="EM444" s="663"/>
      <c r="EN444" s="663"/>
      <c r="EO444" s="663"/>
      <c r="EP444" s="663"/>
      <c r="EQ444" s="663"/>
      <c r="ER444" s="663"/>
      <c r="ES444" s="663"/>
      <c r="ET444" s="663"/>
      <c r="EU444" s="663"/>
      <c r="EV444" s="663"/>
      <c r="EW444" s="663"/>
      <c r="EX444" s="663"/>
      <c r="EY444" s="663"/>
      <c r="EZ444" s="663"/>
      <c r="FA444" s="663"/>
      <c r="FB444" s="663"/>
      <c r="FC444" s="663"/>
      <c r="FD444" s="663"/>
      <c r="FE444" s="663"/>
      <c r="FF444" s="663"/>
      <c r="FG444" s="663"/>
      <c r="FH444" s="663"/>
      <c r="FI444" s="663"/>
      <c r="FJ444" s="663"/>
      <c r="FK444" s="663"/>
      <c r="FL444" s="663"/>
      <c r="FM444" s="663"/>
      <c r="FN444" s="663"/>
      <c r="FO444" s="663"/>
      <c r="FP444" s="663"/>
      <c r="FQ444" s="663"/>
      <c r="FR444" s="663"/>
      <c r="FS444" s="663"/>
      <c r="FT444" s="663"/>
      <c r="FU444" s="663"/>
      <c r="FV444" s="663"/>
      <c r="FW444" s="663"/>
      <c r="FX444" s="663"/>
      <c r="FY444" s="663"/>
      <c r="FZ444" s="663"/>
      <c r="GA444" s="663"/>
      <c r="GB444" s="663"/>
      <c r="GC444" s="663"/>
      <c r="GD444" s="663"/>
      <c r="GE444" s="663"/>
      <c r="GF444" s="663"/>
      <c r="GG444" s="663"/>
    </row>
    <row r="445" spans="1:189">
      <c r="A445" s="670"/>
      <c r="B445" s="670"/>
      <c r="C445" s="670"/>
      <c r="D445" s="670"/>
      <c r="E445" s="670"/>
      <c r="F445" s="670"/>
      <c r="G445" s="673"/>
      <c r="H445" s="627"/>
      <c r="I445" s="627"/>
      <c r="J445" s="672"/>
      <c r="K445" s="663"/>
      <c r="L445" s="663"/>
      <c r="M445" s="663"/>
      <c r="N445" s="663"/>
      <c r="O445" s="663"/>
      <c r="P445" s="663"/>
      <c r="Q445" s="663"/>
      <c r="R445" s="663"/>
      <c r="S445" s="663"/>
      <c r="T445" s="663"/>
      <c r="U445" s="663"/>
      <c r="V445" s="663"/>
      <c r="W445" s="663"/>
      <c r="X445" s="663"/>
      <c r="Y445" s="663"/>
      <c r="Z445" s="663"/>
      <c r="AA445" s="663"/>
      <c r="AB445" s="663"/>
      <c r="AC445" s="663"/>
      <c r="AD445" s="663"/>
      <c r="AE445" s="663"/>
      <c r="AF445" s="663"/>
      <c r="AG445" s="663"/>
      <c r="AH445" s="663"/>
      <c r="AI445" s="663"/>
      <c r="AJ445" s="663"/>
      <c r="AK445" s="663"/>
      <c r="AL445" s="663"/>
      <c r="AM445" s="663"/>
      <c r="AN445" s="663"/>
      <c r="AO445" s="663"/>
      <c r="AP445" s="663"/>
      <c r="AQ445" s="663"/>
      <c r="AR445" s="663"/>
      <c r="AS445" s="663"/>
      <c r="AT445" s="663"/>
      <c r="AU445" s="663"/>
      <c r="AV445" s="663"/>
      <c r="AW445" s="663"/>
      <c r="AX445" s="663"/>
      <c r="AY445" s="663"/>
      <c r="AZ445" s="663"/>
      <c r="BA445" s="663"/>
      <c r="BB445" s="663"/>
      <c r="BC445" s="663"/>
      <c r="BD445" s="663"/>
      <c r="BE445" s="663"/>
      <c r="BF445" s="663"/>
      <c r="BG445" s="663"/>
      <c r="BH445" s="663"/>
      <c r="BI445" s="663"/>
      <c r="BJ445" s="663"/>
      <c r="BK445" s="663"/>
      <c r="BL445" s="663"/>
      <c r="BM445" s="663"/>
      <c r="BN445" s="663"/>
      <c r="BO445" s="663"/>
      <c r="BP445" s="663"/>
      <c r="BQ445" s="663"/>
      <c r="BR445" s="663"/>
      <c r="BS445" s="663"/>
      <c r="BT445" s="663"/>
      <c r="BU445" s="663"/>
      <c r="BV445" s="663"/>
      <c r="BW445" s="663"/>
      <c r="BX445" s="663"/>
      <c r="BY445" s="663"/>
      <c r="BZ445" s="663"/>
      <c r="CA445" s="663"/>
      <c r="CB445" s="663"/>
      <c r="CC445" s="663"/>
      <c r="CD445" s="663"/>
      <c r="CE445" s="663"/>
      <c r="CF445" s="663"/>
      <c r="CG445" s="663"/>
      <c r="CH445" s="663"/>
      <c r="CI445" s="663"/>
      <c r="CJ445" s="663"/>
      <c r="CK445" s="663"/>
      <c r="CL445" s="663"/>
      <c r="CM445" s="663"/>
      <c r="CN445" s="663"/>
      <c r="CO445" s="663"/>
      <c r="CP445" s="663"/>
      <c r="CQ445" s="663"/>
      <c r="CR445" s="663"/>
      <c r="CS445" s="663"/>
      <c r="CT445" s="663"/>
      <c r="CU445" s="663"/>
      <c r="CV445" s="663"/>
      <c r="CW445" s="663"/>
      <c r="CX445" s="663"/>
      <c r="CY445" s="663"/>
      <c r="CZ445" s="663"/>
      <c r="DA445" s="663"/>
      <c r="DB445" s="663"/>
      <c r="DC445" s="663"/>
      <c r="DD445" s="663"/>
      <c r="DE445" s="663"/>
      <c r="DF445" s="663"/>
      <c r="DG445" s="663"/>
      <c r="DH445" s="663"/>
      <c r="DI445" s="663"/>
      <c r="DJ445" s="663"/>
      <c r="DK445" s="663"/>
      <c r="DL445" s="663"/>
      <c r="DM445" s="663"/>
      <c r="DN445" s="663"/>
      <c r="DO445" s="663"/>
      <c r="DP445" s="663"/>
      <c r="DQ445" s="663"/>
      <c r="DR445" s="663"/>
      <c r="DS445" s="663"/>
      <c r="DT445" s="663"/>
      <c r="DU445" s="663"/>
      <c r="DV445" s="663"/>
      <c r="DW445" s="663"/>
      <c r="DX445" s="663"/>
      <c r="DY445" s="663"/>
      <c r="DZ445" s="663"/>
      <c r="EA445" s="663"/>
      <c r="EB445" s="663"/>
      <c r="EC445" s="663"/>
      <c r="ED445" s="663"/>
      <c r="EE445" s="663"/>
      <c r="EF445" s="663"/>
      <c r="EG445" s="663"/>
      <c r="EH445" s="663"/>
      <c r="EI445" s="663"/>
      <c r="EJ445" s="663"/>
      <c r="EK445" s="663"/>
      <c r="EL445" s="663"/>
      <c r="EM445" s="663"/>
      <c r="EN445" s="663"/>
      <c r="EO445" s="663"/>
      <c r="EP445" s="663"/>
      <c r="EQ445" s="663"/>
      <c r="ER445" s="663"/>
      <c r="ES445" s="663"/>
      <c r="ET445" s="663"/>
      <c r="EU445" s="663"/>
      <c r="EV445" s="663"/>
      <c r="EW445" s="663"/>
      <c r="EX445" s="663"/>
      <c r="EY445" s="663"/>
      <c r="EZ445" s="663"/>
      <c r="FA445" s="663"/>
      <c r="FB445" s="663"/>
      <c r="FC445" s="663"/>
      <c r="FD445" s="663"/>
      <c r="FE445" s="663"/>
      <c r="FF445" s="663"/>
      <c r="FG445" s="663"/>
      <c r="FH445" s="663"/>
      <c r="FI445" s="663"/>
      <c r="FJ445" s="663"/>
      <c r="FK445" s="663"/>
      <c r="FL445" s="663"/>
      <c r="FM445" s="663"/>
      <c r="FN445" s="663"/>
      <c r="FO445" s="663"/>
      <c r="FP445" s="663"/>
      <c r="FQ445" s="663"/>
      <c r="FR445" s="663"/>
      <c r="FS445" s="663"/>
      <c r="FT445" s="663"/>
      <c r="FU445" s="663"/>
      <c r="FV445" s="663"/>
      <c r="FW445" s="663"/>
      <c r="FX445" s="663"/>
      <c r="FY445" s="663"/>
      <c r="FZ445" s="663"/>
      <c r="GA445" s="663"/>
      <c r="GB445" s="663"/>
      <c r="GC445" s="663"/>
      <c r="GD445" s="663"/>
      <c r="GE445" s="663"/>
      <c r="GF445" s="663"/>
      <c r="GG445" s="663"/>
    </row>
    <row r="446" spans="1:189">
      <c r="A446" s="670"/>
      <c r="B446" s="670"/>
      <c r="C446" s="670"/>
      <c r="D446" s="670"/>
      <c r="E446" s="670"/>
      <c r="F446" s="670"/>
      <c r="G446" s="673"/>
      <c r="H446" s="627"/>
      <c r="I446" s="627"/>
      <c r="J446" s="672"/>
      <c r="K446" s="663"/>
      <c r="L446" s="663"/>
      <c r="M446" s="663"/>
      <c r="N446" s="663"/>
      <c r="O446" s="663"/>
      <c r="P446" s="663"/>
      <c r="Q446" s="663"/>
      <c r="R446" s="663"/>
      <c r="S446" s="663"/>
      <c r="T446" s="663"/>
      <c r="U446" s="663"/>
      <c r="V446" s="663"/>
      <c r="W446" s="663"/>
      <c r="X446" s="663"/>
      <c r="Y446" s="663"/>
      <c r="Z446" s="663"/>
      <c r="AA446" s="663"/>
      <c r="AB446" s="663"/>
      <c r="AC446" s="663"/>
      <c r="AD446" s="663"/>
      <c r="AE446" s="663"/>
      <c r="AF446" s="663"/>
      <c r="AG446" s="663"/>
      <c r="AH446" s="663"/>
      <c r="AI446" s="663"/>
      <c r="AJ446" s="663"/>
      <c r="AK446" s="663"/>
      <c r="AL446" s="663"/>
      <c r="AM446" s="663"/>
      <c r="AN446" s="663"/>
      <c r="AO446" s="663"/>
      <c r="AP446" s="663"/>
      <c r="AQ446" s="663"/>
      <c r="AR446" s="663"/>
      <c r="AS446" s="663"/>
      <c r="AT446" s="663"/>
      <c r="AU446" s="663"/>
      <c r="AV446" s="663"/>
      <c r="AW446" s="663"/>
      <c r="AX446" s="663"/>
      <c r="AY446" s="663"/>
      <c r="AZ446" s="663"/>
      <c r="BA446" s="663"/>
      <c r="BB446" s="663"/>
      <c r="BC446" s="663"/>
      <c r="BD446" s="663"/>
      <c r="BE446" s="663"/>
      <c r="BF446" s="663"/>
      <c r="BG446" s="663"/>
      <c r="BH446" s="663"/>
      <c r="BI446" s="663"/>
      <c r="BJ446" s="663"/>
      <c r="BK446" s="663"/>
      <c r="BL446" s="663"/>
      <c r="BM446" s="663"/>
      <c r="BN446" s="663"/>
      <c r="BO446" s="663"/>
      <c r="BP446" s="663"/>
      <c r="BQ446" s="663"/>
      <c r="BR446" s="663"/>
      <c r="BS446" s="663"/>
      <c r="BT446" s="663"/>
      <c r="BU446" s="663"/>
      <c r="BV446" s="663"/>
      <c r="BW446" s="663"/>
      <c r="BX446" s="663"/>
      <c r="BY446" s="663"/>
      <c r="BZ446" s="663"/>
      <c r="CA446" s="663"/>
      <c r="CB446" s="663"/>
      <c r="CC446" s="663"/>
      <c r="CD446" s="663"/>
      <c r="CE446" s="663"/>
      <c r="CF446" s="663"/>
      <c r="CG446" s="663"/>
      <c r="CH446" s="663"/>
      <c r="CI446" s="663"/>
      <c r="CJ446" s="663"/>
      <c r="CK446" s="663"/>
      <c r="CL446" s="663"/>
      <c r="CM446" s="663"/>
      <c r="CN446" s="663"/>
      <c r="CO446" s="663"/>
      <c r="CP446" s="663"/>
      <c r="CQ446" s="663"/>
      <c r="CR446" s="663"/>
      <c r="CS446" s="663"/>
      <c r="CT446" s="663"/>
      <c r="CU446" s="663"/>
      <c r="CV446" s="663"/>
      <c r="CW446" s="663"/>
      <c r="CX446" s="663"/>
      <c r="CY446" s="663"/>
      <c r="CZ446" s="663"/>
      <c r="DA446" s="663"/>
      <c r="DB446" s="663"/>
      <c r="DC446" s="663"/>
      <c r="DD446" s="663"/>
      <c r="DE446" s="663"/>
      <c r="DF446" s="663"/>
      <c r="DG446" s="663"/>
      <c r="DH446" s="663"/>
      <c r="DI446" s="663"/>
      <c r="DJ446" s="663"/>
      <c r="DK446" s="663"/>
      <c r="DL446" s="663"/>
      <c r="DM446" s="663"/>
      <c r="DN446" s="663"/>
      <c r="DO446" s="663"/>
      <c r="DP446" s="663"/>
      <c r="DQ446" s="663"/>
      <c r="DR446" s="663"/>
      <c r="DS446" s="663"/>
      <c r="DT446" s="663"/>
      <c r="DU446" s="663"/>
      <c r="DV446" s="663"/>
      <c r="DW446" s="663"/>
      <c r="DX446" s="663"/>
      <c r="DY446" s="663"/>
      <c r="DZ446" s="663"/>
      <c r="EA446" s="663"/>
      <c r="EB446" s="663"/>
      <c r="EC446" s="663"/>
      <c r="ED446" s="663"/>
      <c r="EE446" s="663"/>
      <c r="EF446" s="663"/>
      <c r="EG446" s="663"/>
      <c r="EH446" s="663"/>
      <c r="EI446" s="663"/>
      <c r="EJ446" s="663"/>
      <c r="EK446" s="663"/>
      <c r="EL446" s="663"/>
      <c r="EM446" s="663"/>
      <c r="EN446" s="663"/>
      <c r="EO446" s="663"/>
      <c r="EP446" s="663"/>
      <c r="EQ446" s="663"/>
      <c r="ER446" s="663"/>
      <c r="ES446" s="663"/>
      <c r="ET446" s="663"/>
      <c r="EU446" s="663"/>
      <c r="EV446" s="663"/>
      <c r="EW446" s="663"/>
      <c r="EX446" s="663"/>
      <c r="EY446" s="663"/>
      <c r="EZ446" s="663"/>
      <c r="FA446" s="663"/>
      <c r="FB446" s="663"/>
      <c r="FC446" s="663"/>
      <c r="FD446" s="663"/>
      <c r="FE446" s="663"/>
      <c r="FF446" s="663"/>
      <c r="FG446" s="663"/>
      <c r="FH446" s="663"/>
      <c r="FI446" s="663"/>
      <c r="FJ446" s="663"/>
      <c r="FK446" s="663"/>
      <c r="FL446" s="663"/>
      <c r="FM446" s="663"/>
      <c r="FN446" s="663"/>
      <c r="FO446" s="663"/>
      <c r="FP446" s="663"/>
      <c r="FQ446" s="663"/>
      <c r="FR446" s="663"/>
      <c r="FS446" s="663"/>
      <c r="FT446" s="663"/>
      <c r="FU446" s="663"/>
      <c r="FV446" s="663"/>
      <c r="FW446" s="663"/>
      <c r="FX446" s="663"/>
      <c r="FY446" s="663"/>
      <c r="FZ446" s="663"/>
      <c r="GA446" s="663"/>
      <c r="GB446" s="663"/>
      <c r="GC446" s="663"/>
      <c r="GD446" s="663"/>
      <c r="GE446" s="663"/>
      <c r="GF446" s="663"/>
      <c r="GG446" s="663"/>
    </row>
    <row r="447" spans="1:189">
      <c r="A447" s="670"/>
      <c r="B447" s="670"/>
      <c r="C447" s="670"/>
      <c r="D447" s="670"/>
      <c r="E447" s="670"/>
      <c r="F447" s="670"/>
      <c r="G447" s="673"/>
      <c r="H447" s="627"/>
      <c r="I447" s="627"/>
      <c r="J447" s="672"/>
      <c r="K447" s="663"/>
      <c r="L447" s="663"/>
      <c r="M447" s="663"/>
      <c r="N447" s="663"/>
      <c r="O447" s="663"/>
      <c r="P447" s="663"/>
      <c r="Q447" s="663"/>
      <c r="R447" s="663"/>
      <c r="S447" s="663"/>
      <c r="T447" s="663"/>
      <c r="U447" s="663"/>
      <c r="V447" s="663"/>
      <c r="W447" s="663"/>
      <c r="X447" s="663"/>
      <c r="Y447" s="663"/>
      <c r="Z447" s="663"/>
      <c r="AA447" s="663"/>
      <c r="AB447" s="663"/>
      <c r="AC447" s="663"/>
      <c r="AD447" s="663"/>
      <c r="AE447" s="663"/>
      <c r="AF447" s="663"/>
      <c r="AG447" s="663"/>
      <c r="AH447" s="663"/>
      <c r="AI447" s="663"/>
      <c r="AJ447" s="663"/>
      <c r="AK447" s="663"/>
      <c r="AL447" s="663"/>
      <c r="AM447" s="663"/>
      <c r="AN447" s="663"/>
      <c r="AO447" s="663"/>
      <c r="AP447" s="663"/>
      <c r="AQ447" s="663"/>
      <c r="AR447" s="663"/>
      <c r="AS447" s="663"/>
      <c r="AT447" s="663"/>
      <c r="AU447" s="663"/>
      <c r="AV447" s="663"/>
      <c r="AW447" s="663"/>
      <c r="AX447" s="663"/>
      <c r="AY447" s="663"/>
      <c r="AZ447" s="663"/>
      <c r="BA447" s="663"/>
      <c r="BB447" s="663"/>
      <c r="BC447" s="663"/>
      <c r="BD447" s="663"/>
      <c r="BE447" s="663"/>
      <c r="BF447" s="663"/>
      <c r="BG447" s="663"/>
      <c r="BH447" s="663"/>
      <c r="BI447" s="663"/>
      <c r="BJ447" s="663"/>
      <c r="BK447" s="663"/>
      <c r="BL447" s="663"/>
      <c r="BM447" s="663"/>
      <c r="BN447" s="663"/>
      <c r="BO447" s="663"/>
      <c r="BP447" s="663"/>
      <c r="BQ447" s="663"/>
      <c r="BR447" s="663"/>
      <c r="BS447" s="663"/>
      <c r="BT447" s="663"/>
      <c r="BU447" s="663"/>
      <c r="BV447" s="663"/>
      <c r="BW447" s="663"/>
      <c r="BX447" s="663"/>
      <c r="BY447" s="663"/>
      <c r="BZ447" s="663"/>
      <c r="CA447" s="663"/>
      <c r="CB447" s="663"/>
      <c r="CC447" s="663"/>
      <c r="CD447" s="663"/>
      <c r="CE447" s="663"/>
      <c r="CF447" s="663"/>
      <c r="CG447" s="663"/>
      <c r="CH447" s="663"/>
      <c r="CI447" s="663"/>
      <c r="CJ447" s="663"/>
      <c r="CK447" s="663"/>
      <c r="CL447" s="663"/>
      <c r="CM447" s="663"/>
      <c r="CN447" s="663"/>
      <c r="CO447" s="663"/>
      <c r="CP447" s="663"/>
      <c r="CQ447" s="663"/>
      <c r="CR447" s="663"/>
      <c r="CS447" s="663"/>
      <c r="CT447" s="663"/>
      <c r="CU447" s="663"/>
      <c r="CV447" s="663"/>
      <c r="CW447" s="663"/>
      <c r="CX447" s="663"/>
      <c r="CY447" s="663"/>
      <c r="CZ447" s="663"/>
      <c r="DA447" s="663"/>
      <c r="DB447" s="663"/>
      <c r="DC447" s="663"/>
      <c r="DD447" s="663"/>
      <c r="DE447" s="663"/>
      <c r="DF447" s="663"/>
      <c r="DG447" s="663"/>
      <c r="DH447" s="663"/>
      <c r="DI447" s="663"/>
      <c r="DJ447" s="663"/>
      <c r="DK447" s="663"/>
      <c r="DL447" s="663"/>
      <c r="DM447" s="663"/>
      <c r="DN447" s="663"/>
      <c r="DO447" s="663"/>
      <c r="DP447" s="663"/>
      <c r="DQ447" s="663"/>
      <c r="DR447" s="663"/>
      <c r="DS447" s="663"/>
      <c r="DT447" s="663"/>
      <c r="DU447" s="663"/>
      <c r="DV447" s="663"/>
      <c r="DW447" s="663"/>
      <c r="DX447" s="663"/>
      <c r="DY447" s="663"/>
      <c r="DZ447" s="663"/>
      <c r="EA447" s="663"/>
      <c r="EB447" s="663"/>
      <c r="EC447" s="663"/>
      <c r="ED447" s="663"/>
      <c r="EE447" s="663"/>
      <c r="EF447" s="663"/>
      <c r="EG447" s="663"/>
      <c r="EH447" s="663"/>
      <c r="EI447" s="663"/>
      <c r="EJ447" s="663"/>
      <c r="EK447" s="663"/>
      <c r="EL447" s="663"/>
      <c r="EM447" s="663"/>
      <c r="EN447" s="663"/>
      <c r="EO447" s="663"/>
      <c r="EP447" s="663"/>
      <c r="EQ447" s="663"/>
      <c r="ER447" s="663"/>
      <c r="ES447" s="663"/>
      <c r="ET447" s="663"/>
      <c r="EU447" s="663"/>
      <c r="EV447" s="663"/>
      <c r="EW447" s="663"/>
      <c r="EX447" s="663"/>
      <c r="EY447" s="663"/>
      <c r="EZ447" s="663"/>
      <c r="FA447" s="663"/>
      <c r="FB447" s="663"/>
      <c r="FC447" s="663"/>
      <c r="FD447" s="663"/>
      <c r="FE447" s="663"/>
      <c r="FF447" s="663"/>
      <c r="FG447" s="663"/>
      <c r="FH447" s="663"/>
      <c r="FI447" s="663"/>
      <c r="FJ447" s="663"/>
      <c r="FK447" s="663"/>
      <c r="FL447" s="663"/>
      <c r="FM447" s="663"/>
      <c r="FN447" s="663"/>
      <c r="FO447" s="663"/>
      <c r="FP447" s="663"/>
      <c r="FQ447" s="663"/>
      <c r="FR447" s="663"/>
      <c r="FS447" s="663"/>
      <c r="FT447" s="663"/>
      <c r="FU447" s="663"/>
      <c r="FV447" s="663"/>
      <c r="FW447" s="663"/>
      <c r="FX447" s="663"/>
      <c r="FY447" s="663"/>
      <c r="FZ447" s="663"/>
      <c r="GA447" s="663"/>
      <c r="GB447" s="663"/>
      <c r="GC447" s="663"/>
      <c r="GD447" s="663"/>
      <c r="GE447" s="663"/>
      <c r="GF447" s="663"/>
      <c r="GG447" s="663"/>
    </row>
    <row r="448" spans="1:189">
      <c r="A448" s="670"/>
      <c r="B448" s="670"/>
      <c r="C448" s="670"/>
      <c r="D448" s="670"/>
      <c r="E448" s="670"/>
      <c r="F448" s="670"/>
      <c r="G448" s="673"/>
      <c r="H448" s="627"/>
      <c r="I448" s="627"/>
      <c r="J448" s="672"/>
      <c r="K448" s="663"/>
      <c r="L448" s="663"/>
      <c r="M448" s="663"/>
      <c r="N448" s="663"/>
      <c r="O448" s="663"/>
      <c r="P448" s="663"/>
      <c r="Q448" s="663"/>
      <c r="R448" s="663"/>
      <c r="S448" s="663"/>
      <c r="T448" s="663"/>
      <c r="U448" s="663"/>
      <c r="V448" s="663"/>
      <c r="W448" s="663"/>
      <c r="X448" s="663"/>
      <c r="Y448" s="663"/>
      <c r="Z448" s="663"/>
      <c r="AA448" s="663"/>
      <c r="AB448" s="663"/>
      <c r="AC448" s="663"/>
      <c r="AD448" s="663"/>
      <c r="AE448" s="663"/>
      <c r="AF448" s="663"/>
      <c r="AG448" s="663"/>
      <c r="AH448" s="663"/>
      <c r="AI448" s="663"/>
      <c r="AJ448" s="663"/>
      <c r="AK448" s="663"/>
      <c r="AL448" s="663"/>
      <c r="AM448" s="663"/>
      <c r="AN448" s="663"/>
      <c r="AO448" s="663"/>
      <c r="AP448" s="663"/>
      <c r="AQ448" s="663"/>
      <c r="AR448" s="663"/>
      <c r="AS448" s="663"/>
      <c r="AT448" s="663"/>
      <c r="AU448" s="663"/>
      <c r="AV448" s="663"/>
      <c r="AW448" s="663"/>
      <c r="AX448" s="663"/>
      <c r="AY448" s="663"/>
      <c r="AZ448" s="663"/>
      <c r="BA448" s="663"/>
      <c r="BB448" s="663"/>
      <c r="BC448" s="663"/>
      <c r="BD448" s="663"/>
      <c r="BE448" s="663"/>
      <c r="BF448" s="663"/>
      <c r="BG448" s="663"/>
      <c r="BH448" s="663"/>
      <c r="BI448" s="663"/>
      <c r="BJ448" s="663"/>
      <c r="BK448" s="663"/>
      <c r="BL448" s="663"/>
      <c r="BM448" s="663"/>
      <c r="BN448" s="663"/>
      <c r="BO448" s="663"/>
      <c r="BP448" s="663"/>
      <c r="BQ448" s="663"/>
      <c r="BR448" s="663"/>
      <c r="BS448" s="663"/>
      <c r="BT448" s="663"/>
      <c r="BU448" s="663"/>
      <c r="BV448" s="663"/>
      <c r="BW448" s="663"/>
      <c r="BX448" s="663"/>
      <c r="BY448" s="663"/>
      <c r="BZ448" s="663"/>
      <c r="CA448" s="663"/>
      <c r="CB448" s="663"/>
      <c r="CC448" s="663"/>
      <c r="CD448" s="663"/>
      <c r="CE448" s="663"/>
      <c r="CF448" s="663"/>
      <c r="CG448" s="663"/>
      <c r="CH448" s="663"/>
      <c r="CI448" s="663"/>
      <c r="CJ448" s="663"/>
      <c r="CK448" s="663"/>
      <c r="CL448" s="663"/>
      <c r="CM448" s="663"/>
      <c r="CN448" s="663"/>
      <c r="CO448" s="663"/>
      <c r="CP448" s="663"/>
      <c r="CQ448" s="663"/>
      <c r="CR448" s="663"/>
      <c r="CS448" s="663"/>
      <c r="CT448" s="663"/>
      <c r="CU448" s="663"/>
      <c r="CV448" s="663"/>
      <c r="CW448" s="663"/>
      <c r="CX448" s="663"/>
      <c r="CY448" s="663"/>
      <c r="CZ448" s="663"/>
      <c r="DA448" s="663"/>
      <c r="DB448" s="663"/>
      <c r="DC448" s="663"/>
      <c r="DD448" s="663"/>
      <c r="DE448" s="663"/>
      <c r="DF448" s="663"/>
      <c r="DG448" s="663"/>
      <c r="DH448" s="663"/>
      <c r="DI448" s="663"/>
      <c r="DJ448" s="663"/>
      <c r="DK448" s="663"/>
      <c r="DL448" s="663"/>
      <c r="DM448" s="663"/>
      <c r="DN448" s="663"/>
      <c r="DO448" s="663"/>
      <c r="DP448" s="663"/>
      <c r="DQ448" s="663"/>
      <c r="DR448" s="663"/>
      <c r="DS448" s="663"/>
      <c r="DT448" s="663"/>
      <c r="DU448" s="663"/>
      <c r="DV448" s="663"/>
      <c r="DW448" s="663"/>
      <c r="DX448" s="663"/>
      <c r="DY448" s="663"/>
      <c r="DZ448" s="663"/>
      <c r="EA448" s="663"/>
      <c r="EB448" s="663"/>
      <c r="EC448" s="663"/>
      <c r="ED448" s="663"/>
      <c r="EE448" s="663"/>
      <c r="EF448" s="663"/>
      <c r="EG448" s="663"/>
      <c r="EH448" s="663"/>
      <c r="EI448" s="663"/>
      <c r="EJ448" s="663"/>
      <c r="EK448" s="663"/>
      <c r="EL448" s="663"/>
      <c r="EM448" s="663"/>
      <c r="EN448" s="663"/>
      <c r="EO448" s="663"/>
      <c r="EP448" s="663"/>
      <c r="EQ448" s="663"/>
      <c r="ER448" s="663"/>
      <c r="ES448" s="663"/>
      <c r="ET448" s="663"/>
      <c r="EU448" s="663"/>
      <c r="EV448" s="663"/>
      <c r="EW448" s="663"/>
      <c r="EX448" s="663"/>
      <c r="EY448" s="663"/>
      <c r="EZ448" s="663"/>
      <c r="FA448" s="663"/>
      <c r="FB448" s="663"/>
      <c r="FC448" s="663"/>
      <c r="FD448" s="663"/>
      <c r="FE448" s="663"/>
      <c r="FF448" s="663"/>
      <c r="FG448" s="663"/>
      <c r="FH448" s="663"/>
      <c r="FI448" s="663"/>
      <c r="FJ448" s="663"/>
      <c r="FK448" s="663"/>
      <c r="FL448" s="663"/>
      <c r="FM448" s="663"/>
      <c r="FN448" s="663"/>
      <c r="FO448" s="663"/>
      <c r="FP448" s="663"/>
      <c r="FQ448" s="663"/>
      <c r="FR448" s="663"/>
      <c r="FS448" s="663"/>
      <c r="FT448" s="663"/>
      <c r="FU448" s="663"/>
      <c r="FV448" s="663"/>
      <c r="FW448" s="663"/>
      <c r="FX448" s="663"/>
      <c r="FY448" s="663"/>
      <c r="FZ448" s="663"/>
      <c r="GA448" s="663"/>
      <c r="GB448" s="663"/>
      <c r="GC448" s="663"/>
      <c r="GD448" s="663"/>
      <c r="GE448" s="663"/>
      <c r="GF448" s="663"/>
      <c r="GG448" s="663"/>
    </row>
    <row r="449" spans="1:189">
      <c r="A449" s="670"/>
      <c r="B449" s="670"/>
      <c r="C449" s="670"/>
      <c r="D449" s="670"/>
      <c r="E449" s="670"/>
      <c r="F449" s="670"/>
      <c r="G449" s="673"/>
      <c r="H449" s="627"/>
      <c r="I449" s="627"/>
      <c r="J449" s="672"/>
      <c r="K449" s="663"/>
      <c r="L449" s="663"/>
      <c r="M449" s="663"/>
      <c r="N449" s="663"/>
      <c r="O449" s="663"/>
      <c r="P449" s="663"/>
      <c r="Q449" s="663"/>
      <c r="R449" s="663"/>
      <c r="S449" s="663"/>
      <c r="T449" s="663"/>
      <c r="U449" s="663"/>
      <c r="V449" s="663"/>
      <c r="W449" s="663"/>
      <c r="X449" s="663"/>
      <c r="Y449" s="663"/>
      <c r="Z449" s="663"/>
      <c r="AA449" s="663"/>
      <c r="AB449" s="663"/>
      <c r="AC449" s="663"/>
      <c r="AD449" s="663"/>
      <c r="AE449" s="663"/>
      <c r="AF449" s="663"/>
      <c r="AG449" s="663"/>
      <c r="AH449" s="663"/>
      <c r="AI449" s="663"/>
      <c r="AJ449" s="663"/>
      <c r="AK449" s="663"/>
      <c r="AL449" s="663"/>
      <c r="AM449" s="663"/>
      <c r="AN449" s="663"/>
      <c r="AO449" s="663"/>
      <c r="AP449" s="663"/>
      <c r="AQ449" s="663"/>
      <c r="AR449" s="663"/>
      <c r="AS449" s="663"/>
      <c r="AT449" s="663"/>
      <c r="AU449" s="663"/>
      <c r="AV449" s="663"/>
      <c r="AW449" s="663"/>
      <c r="AX449" s="663"/>
      <c r="AY449" s="663"/>
      <c r="AZ449" s="663"/>
      <c r="BA449" s="663"/>
      <c r="BB449" s="663"/>
      <c r="BC449" s="663"/>
      <c r="BD449" s="663"/>
      <c r="BE449" s="663"/>
      <c r="BF449" s="663"/>
      <c r="BG449" s="663"/>
      <c r="BH449" s="663"/>
      <c r="BI449" s="663"/>
      <c r="BJ449" s="663"/>
      <c r="BK449" s="663"/>
      <c r="BL449" s="663"/>
      <c r="BM449" s="663"/>
      <c r="BN449" s="663"/>
      <c r="BO449" s="663"/>
      <c r="BP449" s="663"/>
      <c r="BQ449" s="663"/>
      <c r="BR449" s="663"/>
      <c r="BS449" s="663"/>
      <c r="BT449" s="663"/>
      <c r="BU449" s="663"/>
      <c r="BV449" s="663"/>
      <c r="BW449" s="663"/>
      <c r="BX449" s="663"/>
      <c r="BY449" s="663"/>
      <c r="BZ449" s="663"/>
      <c r="CA449" s="663"/>
      <c r="CB449" s="663"/>
      <c r="CC449" s="663"/>
      <c r="CD449" s="663"/>
      <c r="CE449" s="663"/>
      <c r="CF449" s="663"/>
      <c r="CG449" s="663"/>
      <c r="CH449" s="663"/>
      <c r="CI449" s="663"/>
      <c r="CJ449" s="663"/>
      <c r="CK449" s="663"/>
      <c r="CL449" s="663"/>
      <c r="CM449" s="663"/>
      <c r="CN449" s="663"/>
      <c r="CO449" s="663"/>
      <c r="CP449" s="663"/>
      <c r="CQ449" s="663"/>
      <c r="CR449" s="663"/>
      <c r="CS449" s="663"/>
      <c r="CT449" s="663"/>
      <c r="CU449" s="663"/>
      <c r="CV449" s="663"/>
      <c r="CW449" s="663"/>
      <c r="CX449" s="663"/>
      <c r="CY449" s="663"/>
      <c r="CZ449" s="663"/>
      <c r="DA449" s="663"/>
      <c r="DB449" s="663"/>
      <c r="DC449" s="663"/>
      <c r="DD449" s="663"/>
      <c r="DE449" s="663"/>
      <c r="DF449" s="663"/>
      <c r="DG449" s="663"/>
      <c r="DH449" s="663"/>
      <c r="DI449" s="663"/>
      <c r="DJ449" s="663"/>
      <c r="DK449" s="663"/>
      <c r="DL449" s="663"/>
      <c r="DM449" s="663"/>
      <c r="DN449" s="663"/>
      <c r="DO449" s="663"/>
      <c r="DP449" s="663"/>
      <c r="DQ449" s="663"/>
      <c r="DR449" s="663"/>
      <c r="DS449" s="663"/>
      <c r="DT449" s="663"/>
      <c r="DU449" s="663"/>
      <c r="DV449" s="663"/>
      <c r="DW449" s="663"/>
      <c r="DX449" s="663"/>
      <c r="DY449" s="663"/>
      <c r="DZ449" s="663"/>
      <c r="EA449" s="663"/>
      <c r="EB449" s="663"/>
      <c r="EC449" s="663"/>
      <c r="ED449" s="663"/>
      <c r="EE449" s="663"/>
      <c r="EF449" s="663"/>
      <c r="EG449" s="663"/>
      <c r="EH449" s="663"/>
      <c r="EI449" s="663"/>
      <c r="EJ449" s="663"/>
      <c r="EK449" s="663"/>
      <c r="EL449" s="663"/>
      <c r="EM449" s="663"/>
      <c r="EN449" s="663"/>
      <c r="EO449" s="663"/>
      <c r="EP449" s="663"/>
      <c r="EQ449" s="663"/>
      <c r="ER449" s="663"/>
      <c r="ES449" s="663"/>
      <c r="ET449" s="663"/>
      <c r="EU449" s="663"/>
      <c r="EV449" s="663"/>
      <c r="EW449" s="663"/>
      <c r="EX449" s="663"/>
      <c r="EY449" s="663"/>
      <c r="EZ449" s="663"/>
      <c r="FA449" s="663"/>
      <c r="FB449" s="663"/>
      <c r="FC449" s="663"/>
      <c r="FD449" s="663"/>
      <c r="FE449" s="663"/>
      <c r="FF449" s="663"/>
      <c r="FG449" s="663"/>
      <c r="FH449" s="663"/>
      <c r="FI449" s="663"/>
      <c r="FJ449" s="663"/>
      <c r="FK449" s="663"/>
      <c r="FL449" s="663"/>
      <c r="FM449" s="663"/>
      <c r="FN449" s="663"/>
      <c r="FO449" s="663"/>
      <c r="FP449" s="663"/>
      <c r="FQ449" s="663"/>
      <c r="FR449" s="663"/>
      <c r="FS449" s="663"/>
      <c r="FT449" s="663"/>
      <c r="FU449" s="663"/>
      <c r="FV449" s="663"/>
      <c r="FW449" s="663"/>
      <c r="FX449" s="663"/>
      <c r="FY449" s="663"/>
      <c r="FZ449" s="663"/>
      <c r="GA449" s="663"/>
      <c r="GB449" s="663"/>
      <c r="GC449" s="663"/>
      <c r="GD449" s="663"/>
      <c r="GE449" s="663"/>
      <c r="GF449" s="663"/>
      <c r="GG449" s="663"/>
    </row>
    <row r="450" spans="1:189">
      <c r="A450" s="670"/>
      <c r="B450" s="670"/>
      <c r="C450" s="670"/>
      <c r="D450" s="670"/>
      <c r="E450" s="670"/>
      <c r="F450" s="670"/>
      <c r="G450" s="673"/>
      <c r="H450" s="627"/>
      <c r="I450" s="627"/>
      <c r="J450" s="672"/>
      <c r="K450" s="663"/>
      <c r="L450" s="663"/>
      <c r="M450" s="663"/>
      <c r="N450" s="663"/>
      <c r="O450" s="663"/>
      <c r="P450" s="663"/>
      <c r="Q450" s="663"/>
      <c r="R450" s="663"/>
      <c r="S450" s="663"/>
      <c r="T450" s="663"/>
      <c r="U450" s="663"/>
      <c r="V450" s="663"/>
      <c r="W450" s="663"/>
      <c r="X450" s="663"/>
      <c r="Y450" s="663"/>
      <c r="Z450" s="663"/>
      <c r="AA450" s="663"/>
      <c r="AB450" s="663"/>
      <c r="AC450" s="663"/>
      <c r="AD450" s="663"/>
      <c r="AE450" s="663"/>
      <c r="AF450" s="663"/>
      <c r="AG450" s="663"/>
      <c r="AH450" s="663"/>
      <c r="AI450" s="663"/>
      <c r="AJ450" s="663"/>
      <c r="AK450" s="663"/>
      <c r="AL450" s="663"/>
      <c r="AM450" s="663"/>
      <c r="AN450" s="663"/>
      <c r="AO450" s="663"/>
      <c r="AP450" s="663"/>
      <c r="AQ450" s="663"/>
      <c r="AR450" s="663"/>
      <c r="AS450" s="663"/>
      <c r="AT450" s="663"/>
      <c r="AU450" s="663"/>
      <c r="AV450" s="663"/>
      <c r="AW450" s="663"/>
      <c r="AX450" s="663"/>
      <c r="AY450" s="663"/>
      <c r="AZ450" s="663"/>
      <c r="BA450" s="663"/>
      <c r="BB450" s="663"/>
      <c r="BC450" s="663"/>
      <c r="BD450" s="663"/>
      <c r="BE450" s="663"/>
      <c r="BF450" s="663"/>
      <c r="BG450" s="663"/>
      <c r="BH450" s="663"/>
      <c r="BI450" s="663"/>
      <c r="BJ450" s="663"/>
      <c r="BK450" s="663"/>
      <c r="BL450" s="663"/>
      <c r="BM450" s="663"/>
      <c r="BN450" s="663"/>
      <c r="BO450" s="663"/>
      <c r="BP450" s="663"/>
      <c r="BQ450" s="663"/>
      <c r="BR450" s="663"/>
      <c r="BS450" s="663"/>
      <c r="BT450" s="663"/>
      <c r="BU450" s="663"/>
      <c r="BV450" s="663"/>
      <c r="BW450" s="663"/>
      <c r="BX450" s="663"/>
      <c r="BY450" s="663"/>
      <c r="BZ450" s="663"/>
      <c r="CA450" s="663"/>
      <c r="CB450" s="663"/>
      <c r="CC450" s="663"/>
      <c r="CD450" s="663"/>
      <c r="CE450" s="663"/>
      <c r="CF450" s="663"/>
      <c r="CG450" s="663"/>
      <c r="CH450" s="663"/>
      <c r="CI450" s="663"/>
      <c r="CJ450" s="663"/>
      <c r="CK450" s="663"/>
      <c r="CL450" s="663"/>
      <c r="CM450" s="663"/>
      <c r="CN450" s="663"/>
      <c r="CO450" s="663"/>
      <c r="CP450" s="663"/>
      <c r="CQ450" s="663"/>
      <c r="CR450" s="663"/>
      <c r="CS450" s="663"/>
      <c r="CT450" s="663"/>
      <c r="CU450" s="663"/>
      <c r="CV450" s="663"/>
      <c r="CW450" s="663"/>
      <c r="CX450" s="663"/>
      <c r="CY450" s="663"/>
      <c r="CZ450" s="663"/>
      <c r="DA450" s="663"/>
      <c r="DB450" s="663"/>
      <c r="DC450" s="663"/>
      <c r="DD450" s="663"/>
      <c r="DE450" s="663"/>
      <c r="DF450" s="663"/>
      <c r="DG450" s="663"/>
      <c r="DH450" s="663"/>
      <c r="DI450" s="663"/>
      <c r="DJ450" s="663"/>
      <c r="DK450" s="663"/>
      <c r="DL450" s="663"/>
      <c r="DM450" s="663"/>
      <c r="DN450" s="663"/>
      <c r="DO450" s="663"/>
      <c r="DP450" s="663"/>
      <c r="DQ450" s="663"/>
      <c r="DR450" s="663"/>
      <c r="DS450" s="663"/>
      <c r="DT450" s="663"/>
      <c r="DU450" s="663"/>
      <c r="DV450" s="663"/>
      <c r="DW450" s="663"/>
      <c r="DX450" s="663"/>
      <c r="DY450" s="663"/>
      <c r="DZ450" s="663"/>
      <c r="EA450" s="663"/>
      <c r="EB450" s="663"/>
      <c r="EC450" s="663"/>
      <c r="ED450" s="663"/>
      <c r="EE450" s="663"/>
      <c r="EF450" s="663"/>
      <c r="EG450" s="663"/>
      <c r="EH450" s="663"/>
      <c r="EI450" s="663"/>
      <c r="EJ450" s="663"/>
      <c r="EK450" s="663"/>
      <c r="EL450" s="663"/>
      <c r="EM450" s="663"/>
      <c r="EN450" s="663"/>
      <c r="EO450" s="663"/>
      <c r="EP450" s="663"/>
      <c r="EQ450" s="663"/>
      <c r="ER450" s="663"/>
      <c r="ES450" s="663"/>
      <c r="ET450" s="663"/>
      <c r="EU450" s="663"/>
      <c r="EV450" s="663"/>
      <c r="EW450" s="663"/>
      <c r="EX450" s="663"/>
      <c r="EY450" s="663"/>
      <c r="EZ450" s="663"/>
      <c r="FA450" s="663"/>
      <c r="FB450" s="663"/>
      <c r="FC450" s="663"/>
      <c r="FD450" s="663"/>
      <c r="FE450" s="663"/>
      <c r="FF450" s="663"/>
      <c r="FG450" s="663"/>
      <c r="FH450" s="663"/>
      <c r="FI450" s="663"/>
      <c r="FJ450" s="663"/>
      <c r="FK450" s="663"/>
      <c r="FL450" s="663"/>
      <c r="FM450" s="663"/>
      <c r="FN450" s="663"/>
      <c r="FO450" s="663"/>
      <c r="FP450" s="663"/>
      <c r="FQ450" s="663"/>
      <c r="FR450" s="663"/>
      <c r="FS450" s="663"/>
      <c r="FT450" s="663"/>
      <c r="FU450" s="663"/>
      <c r="FV450" s="663"/>
      <c r="FW450" s="663"/>
      <c r="FX450" s="663"/>
      <c r="FY450" s="663"/>
      <c r="FZ450" s="663"/>
      <c r="GA450" s="663"/>
      <c r="GB450" s="663"/>
      <c r="GC450" s="663"/>
      <c r="GD450" s="663"/>
      <c r="GE450" s="663"/>
      <c r="GF450" s="663"/>
      <c r="GG450" s="663"/>
    </row>
    <row r="451" spans="1:189">
      <c r="A451" s="670"/>
      <c r="B451" s="670"/>
      <c r="C451" s="670"/>
      <c r="D451" s="670"/>
      <c r="E451" s="670"/>
      <c r="F451" s="670"/>
      <c r="G451" s="673"/>
      <c r="H451" s="627"/>
      <c r="I451" s="627"/>
      <c r="J451" s="672"/>
      <c r="K451" s="663"/>
      <c r="L451" s="663"/>
      <c r="M451" s="663"/>
      <c r="N451" s="663"/>
      <c r="O451" s="663"/>
      <c r="P451" s="663"/>
      <c r="Q451" s="663"/>
      <c r="R451" s="663"/>
      <c r="S451" s="663"/>
      <c r="T451" s="663"/>
      <c r="U451" s="663"/>
      <c r="V451" s="663"/>
      <c r="W451" s="663"/>
      <c r="X451" s="663"/>
      <c r="Y451" s="663"/>
      <c r="Z451" s="663"/>
      <c r="AA451" s="663"/>
      <c r="AB451" s="663"/>
      <c r="AC451" s="663"/>
      <c r="AD451" s="663"/>
      <c r="AE451" s="663"/>
      <c r="AF451" s="663"/>
      <c r="AG451" s="663"/>
      <c r="AH451" s="663"/>
      <c r="AI451" s="663"/>
      <c r="AJ451" s="663"/>
      <c r="AK451" s="663"/>
      <c r="AL451" s="663"/>
      <c r="AM451" s="663"/>
      <c r="AN451" s="663"/>
      <c r="AO451" s="663"/>
      <c r="AP451" s="663"/>
      <c r="AQ451" s="663"/>
      <c r="AR451" s="663"/>
      <c r="AS451" s="663"/>
      <c r="AT451" s="663"/>
      <c r="AU451" s="663"/>
      <c r="AV451" s="663"/>
      <c r="AW451" s="663"/>
      <c r="AX451" s="663"/>
      <c r="AY451" s="663"/>
      <c r="AZ451" s="663"/>
      <c r="BA451" s="663"/>
      <c r="BB451" s="663"/>
      <c r="BC451" s="663"/>
      <c r="BD451" s="663"/>
      <c r="BE451" s="663"/>
      <c r="BF451" s="663"/>
      <c r="BG451" s="663"/>
      <c r="BH451" s="663"/>
      <c r="BI451" s="663"/>
      <c r="BJ451" s="663"/>
      <c r="BK451" s="663"/>
      <c r="BL451" s="663"/>
      <c r="BM451" s="663"/>
      <c r="BN451" s="663"/>
      <c r="BO451" s="663"/>
      <c r="BP451" s="663"/>
      <c r="BQ451" s="663"/>
      <c r="BR451" s="663"/>
      <c r="BS451" s="663"/>
      <c r="BT451" s="663"/>
      <c r="BU451" s="663"/>
      <c r="BV451" s="663"/>
      <c r="BW451" s="663"/>
      <c r="BX451" s="663"/>
      <c r="BY451" s="663"/>
      <c r="BZ451" s="663"/>
      <c r="CA451" s="663"/>
      <c r="CB451" s="663"/>
      <c r="CC451" s="663"/>
      <c r="CD451" s="663"/>
      <c r="CE451" s="663"/>
      <c r="CF451" s="663"/>
      <c r="CG451" s="663"/>
      <c r="CH451" s="663"/>
      <c r="CI451" s="663"/>
      <c r="CJ451" s="663"/>
      <c r="CK451" s="663"/>
      <c r="CL451" s="663"/>
      <c r="CM451" s="663"/>
      <c r="CN451" s="663"/>
      <c r="CO451" s="663"/>
      <c r="CP451" s="663"/>
      <c r="CQ451" s="663"/>
      <c r="CR451" s="663"/>
      <c r="CS451" s="663"/>
      <c r="CT451" s="663"/>
      <c r="CU451" s="663"/>
      <c r="CV451" s="663"/>
      <c r="CW451" s="663"/>
      <c r="CX451" s="663"/>
      <c r="CY451" s="663"/>
      <c r="CZ451" s="663"/>
      <c r="DA451" s="663"/>
      <c r="DB451" s="663"/>
      <c r="DC451" s="663"/>
      <c r="DD451" s="663"/>
      <c r="DE451" s="663"/>
      <c r="DF451" s="663"/>
      <c r="DG451" s="663"/>
      <c r="DH451" s="663"/>
      <c r="DI451" s="663"/>
      <c r="DJ451" s="663"/>
      <c r="DK451" s="663"/>
      <c r="DL451" s="663"/>
      <c r="DM451" s="663"/>
      <c r="DN451" s="663"/>
      <c r="DO451" s="663"/>
      <c r="DP451" s="663"/>
      <c r="DQ451" s="663"/>
      <c r="DR451" s="663"/>
      <c r="DS451" s="663"/>
      <c r="DT451" s="663"/>
      <c r="DU451" s="663"/>
      <c r="DV451" s="663"/>
      <c r="DW451" s="663"/>
      <c r="DX451" s="663"/>
      <c r="DY451" s="663"/>
      <c r="DZ451" s="663"/>
      <c r="EA451" s="663"/>
      <c r="EB451" s="663"/>
      <c r="EC451" s="663"/>
      <c r="ED451" s="663"/>
      <c r="EE451" s="663"/>
      <c r="EF451" s="663"/>
      <c r="EG451" s="663"/>
      <c r="EH451" s="663"/>
      <c r="EI451" s="663"/>
      <c r="EJ451" s="663"/>
      <c r="EK451" s="663"/>
      <c r="EL451" s="663"/>
      <c r="EM451" s="663"/>
      <c r="EN451" s="663"/>
      <c r="EO451" s="663"/>
      <c r="EP451" s="663"/>
      <c r="EQ451" s="663"/>
      <c r="ER451" s="663"/>
      <c r="ES451" s="663"/>
      <c r="ET451" s="663"/>
      <c r="EU451" s="663"/>
      <c r="EV451" s="663"/>
      <c r="EW451" s="663"/>
      <c r="EX451" s="663"/>
      <c r="EY451" s="663"/>
      <c r="EZ451" s="663"/>
      <c r="FA451" s="663"/>
      <c r="FB451" s="663"/>
      <c r="FC451" s="663"/>
      <c r="FD451" s="663"/>
      <c r="FE451" s="663"/>
      <c r="FF451" s="663"/>
      <c r="FG451" s="663"/>
      <c r="FH451" s="663"/>
      <c r="FI451" s="663"/>
      <c r="FJ451" s="663"/>
      <c r="FK451" s="663"/>
      <c r="FL451" s="663"/>
      <c r="FM451" s="663"/>
      <c r="FN451" s="663"/>
      <c r="FO451" s="663"/>
      <c r="FP451" s="663"/>
      <c r="FQ451" s="663"/>
      <c r="FR451" s="663"/>
      <c r="FS451" s="663"/>
      <c r="FT451" s="663"/>
      <c r="FU451" s="663"/>
      <c r="FV451" s="663"/>
      <c r="FW451" s="663"/>
      <c r="FX451" s="663"/>
      <c r="FY451" s="663"/>
      <c r="FZ451" s="663"/>
      <c r="GA451" s="663"/>
      <c r="GB451" s="663"/>
      <c r="GC451" s="663"/>
      <c r="GD451" s="663"/>
      <c r="GE451" s="663"/>
      <c r="GF451" s="663"/>
      <c r="GG451" s="663"/>
    </row>
    <row r="452" spans="1:189">
      <c r="A452" s="670"/>
      <c r="B452" s="670"/>
      <c r="C452" s="670"/>
      <c r="D452" s="670"/>
      <c r="E452" s="670"/>
      <c r="F452" s="670"/>
      <c r="G452" s="673"/>
      <c r="H452" s="627"/>
      <c r="I452" s="627"/>
      <c r="J452" s="672"/>
      <c r="K452" s="663"/>
      <c r="L452" s="663"/>
      <c r="M452" s="663"/>
      <c r="N452" s="663"/>
      <c r="O452" s="663"/>
      <c r="P452" s="663"/>
      <c r="Q452" s="663"/>
      <c r="R452" s="663"/>
      <c r="S452" s="663"/>
      <c r="T452" s="663"/>
      <c r="U452" s="663"/>
      <c r="V452" s="663"/>
      <c r="W452" s="663"/>
      <c r="X452" s="663"/>
      <c r="Y452" s="663"/>
      <c r="Z452" s="663"/>
      <c r="AA452" s="663"/>
      <c r="AB452" s="663"/>
      <c r="AC452" s="663"/>
      <c r="AD452" s="663"/>
      <c r="AE452" s="663"/>
      <c r="AF452" s="663"/>
      <c r="AG452" s="663"/>
      <c r="AH452" s="663"/>
      <c r="AI452" s="663"/>
      <c r="AJ452" s="663"/>
      <c r="AK452" s="663"/>
      <c r="AL452" s="663"/>
      <c r="AM452" s="663"/>
      <c r="AN452" s="663"/>
      <c r="AO452" s="663"/>
      <c r="AP452" s="663"/>
      <c r="AQ452" s="663"/>
      <c r="AR452" s="663"/>
      <c r="AS452" s="663"/>
      <c r="AT452" s="663"/>
      <c r="AU452" s="663"/>
      <c r="AV452" s="663"/>
      <c r="AW452" s="663"/>
      <c r="AX452" s="663"/>
      <c r="AY452" s="663"/>
      <c r="AZ452" s="663"/>
      <c r="BA452" s="663"/>
      <c r="BB452" s="663"/>
      <c r="BC452" s="663"/>
      <c r="BD452" s="663"/>
      <c r="BE452" s="663"/>
      <c r="BF452" s="663"/>
      <c r="BG452" s="663"/>
      <c r="BH452" s="663"/>
      <c r="BI452" s="663"/>
      <c r="BJ452" s="663"/>
      <c r="BK452" s="663"/>
      <c r="BL452" s="663"/>
      <c r="BM452" s="663"/>
      <c r="BN452" s="663"/>
      <c r="BO452" s="663"/>
      <c r="BP452" s="663"/>
      <c r="BQ452" s="663"/>
      <c r="BR452" s="663"/>
      <c r="BS452" s="663"/>
      <c r="BT452" s="663"/>
      <c r="BU452" s="663"/>
      <c r="BV452" s="663"/>
      <c r="BW452" s="663"/>
      <c r="BX452" s="663"/>
      <c r="BY452" s="663"/>
      <c r="BZ452" s="663"/>
      <c r="CA452" s="663"/>
      <c r="CB452" s="663"/>
      <c r="CC452" s="663"/>
      <c r="CD452" s="663"/>
      <c r="CE452" s="663"/>
      <c r="CF452" s="663"/>
      <c r="CG452" s="663"/>
      <c r="CH452" s="663"/>
      <c r="CI452" s="663"/>
      <c r="CJ452" s="663"/>
      <c r="CK452" s="663"/>
      <c r="CL452" s="663"/>
      <c r="CM452" s="663"/>
      <c r="CN452" s="663"/>
      <c r="CO452" s="663"/>
      <c r="CP452" s="663"/>
      <c r="CQ452" s="663"/>
      <c r="CR452" s="663"/>
      <c r="CS452" s="663"/>
      <c r="CT452" s="663"/>
      <c r="CU452" s="663"/>
      <c r="CV452" s="663"/>
      <c r="CW452" s="663"/>
      <c r="CX452" s="663"/>
      <c r="CY452" s="663"/>
      <c r="CZ452" s="663"/>
      <c r="DA452" s="663"/>
      <c r="DB452" s="663"/>
      <c r="DC452" s="663"/>
      <c r="DD452" s="663"/>
      <c r="DE452" s="663"/>
      <c r="DF452" s="663"/>
      <c r="DG452" s="663"/>
      <c r="DH452" s="663"/>
      <c r="DI452" s="663"/>
      <c r="DJ452" s="663"/>
      <c r="DK452" s="663"/>
      <c r="DL452" s="663"/>
      <c r="DM452" s="663"/>
      <c r="DN452" s="663"/>
      <c r="DO452" s="663"/>
      <c r="DP452" s="663"/>
      <c r="DQ452" s="663"/>
      <c r="DR452" s="663"/>
      <c r="DS452" s="663"/>
      <c r="DT452" s="663"/>
      <c r="DU452" s="663"/>
      <c r="DV452" s="663"/>
      <c r="DW452" s="663"/>
      <c r="DX452" s="663"/>
      <c r="DY452" s="663"/>
      <c r="DZ452" s="663"/>
      <c r="EA452" s="663"/>
      <c r="EB452" s="663"/>
      <c r="EC452" s="663"/>
      <c r="ED452" s="663"/>
      <c r="EE452" s="663"/>
      <c r="EF452" s="663"/>
      <c r="EG452" s="663"/>
      <c r="EH452" s="663"/>
      <c r="EI452" s="663"/>
      <c r="EJ452" s="663"/>
      <c r="EK452" s="663"/>
      <c r="EL452" s="663"/>
      <c r="EM452" s="663"/>
      <c r="EN452" s="663"/>
      <c r="EO452" s="663"/>
      <c r="EP452" s="663"/>
      <c r="EQ452" s="663"/>
      <c r="ER452" s="663"/>
      <c r="ES452" s="663"/>
      <c r="ET452" s="663"/>
      <c r="EU452" s="663"/>
      <c r="EV452" s="663"/>
      <c r="EW452" s="663"/>
      <c r="EX452" s="663"/>
      <c r="EY452" s="663"/>
      <c r="EZ452" s="663"/>
      <c r="FA452" s="663"/>
      <c r="FB452" s="663"/>
      <c r="FC452" s="663"/>
      <c r="FD452" s="663"/>
      <c r="FE452" s="663"/>
      <c r="FF452" s="663"/>
      <c r="FG452" s="663"/>
      <c r="FH452" s="663"/>
      <c r="FI452" s="663"/>
      <c r="FJ452" s="663"/>
      <c r="FK452" s="663"/>
      <c r="FL452" s="663"/>
      <c r="FM452" s="663"/>
      <c r="FN452" s="663"/>
      <c r="FO452" s="663"/>
      <c r="FP452" s="663"/>
      <c r="FQ452" s="663"/>
      <c r="FR452" s="663"/>
      <c r="FS452" s="663"/>
      <c r="FT452" s="663"/>
      <c r="FU452" s="663"/>
      <c r="FV452" s="663"/>
      <c r="FW452" s="663"/>
      <c r="FX452" s="663"/>
      <c r="FY452" s="663"/>
      <c r="FZ452" s="663"/>
      <c r="GA452" s="663"/>
      <c r="GB452" s="663"/>
      <c r="GC452" s="663"/>
      <c r="GD452" s="663"/>
      <c r="GE452" s="663"/>
      <c r="GF452" s="663"/>
      <c r="GG452" s="663"/>
    </row>
    <row r="453" spans="1:189">
      <c r="A453" s="670"/>
      <c r="B453" s="670"/>
      <c r="C453" s="670"/>
      <c r="D453" s="670"/>
      <c r="E453" s="670"/>
      <c r="F453" s="670"/>
      <c r="G453" s="673"/>
      <c r="H453" s="627"/>
      <c r="I453" s="627"/>
      <c r="J453" s="672"/>
      <c r="K453" s="663"/>
      <c r="L453" s="663"/>
      <c r="M453" s="663"/>
      <c r="N453" s="663"/>
      <c r="O453" s="663"/>
      <c r="P453" s="663"/>
      <c r="Q453" s="663"/>
      <c r="R453" s="663"/>
      <c r="S453" s="663"/>
      <c r="T453" s="663"/>
      <c r="U453" s="663"/>
      <c r="V453" s="663"/>
      <c r="W453" s="663"/>
      <c r="X453" s="663"/>
      <c r="Y453" s="663"/>
      <c r="Z453" s="663"/>
      <c r="AA453" s="663"/>
      <c r="AB453" s="663"/>
      <c r="AC453" s="663"/>
      <c r="AD453" s="663"/>
      <c r="AE453" s="663"/>
      <c r="AF453" s="663"/>
      <c r="AG453" s="663"/>
      <c r="AH453" s="663"/>
      <c r="AI453" s="663"/>
      <c r="AJ453" s="663"/>
      <c r="AK453" s="663"/>
      <c r="AL453" s="663"/>
      <c r="AM453" s="663"/>
      <c r="AN453" s="663"/>
      <c r="AO453" s="663"/>
      <c r="AP453" s="663"/>
      <c r="AQ453" s="663"/>
      <c r="AR453" s="663"/>
      <c r="AS453" s="663"/>
      <c r="AT453" s="663"/>
      <c r="AU453" s="663"/>
      <c r="AV453" s="663"/>
      <c r="AW453" s="663"/>
      <c r="AX453" s="663"/>
      <c r="AY453" s="663"/>
      <c r="AZ453" s="663"/>
      <c r="BA453" s="663"/>
      <c r="BB453" s="663"/>
      <c r="BC453" s="663"/>
      <c r="BD453" s="663"/>
      <c r="BE453" s="663"/>
      <c r="BF453" s="663"/>
      <c r="BG453" s="663"/>
      <c r="BH453" s="663"/>
      <c r="BI453" s="663"/>
      <c r="BJ453" s="663"/>
      <c r="BK453" s="663"/>
      <c r="BL453" s="663"/>
      <c r="BM453" s="663"/>
      <c r="BN453" s="663"/>
      <c r="BO453" s="663"/>
      <c r="BP453" s="663"/>
      <c r="BQ453" s="663"/>
      <c r="BR453" s="663"/>
      <c r="BS453" s="663"/>
      <c r="BT453" s="663"/>
      <c r="BU453" s="663"/>
      <c r="BV453" s="663"/>
      <c r="BW453" s="663"/>
      <c r="BX453" s="663"/>
      <c r="BY453" s="663"/>
      <c r="BZ453" s="663"/>
      <c r="CA453" s="663"/>
      <c r="CB453" s="663"/>
      <c r="CC453" s="663"/>
      <c r="CD453" s="663"/>
      <c r="CE453" s="663"/>
      <c r="CF453" s="663"/>
      <c r="CG453" s="663"/>
      <c r="CH453" s="663"/>
      <c r="CI453" s="663"/>
      <c r="CJ453" s="663"/>
      <c r="CK453" s="663"/>
      <c r="CL453" s="663"/>
      <c r="CM453" s="663"/>
      <c r="CN453" s="663"/>
      <c r="CO453" s="663"/>
      <c r="CP453" s="663"/>
      <c r="CQ453" s="663"/>
      <c r="CR453" s="663"/>
      <c r="CS453" s="663"/>
      <c r="CT453" s="663"/>
      <c r="CU453" s="663"/>
      <c r="CV453" s="663"/>
      <c r="CW453" s="663"/>
      <c r="CX453" s="663"/>
      <c r="CY453" s="663"/>
      <c r="CZ453" s="663"/>
      <c r="DA453" s="663"/>
      <c r="DB453" s="663"/>
      <c r="DC453" s="663"/>
      <c r="DD453" s="663"/>
      <c r="DE453" s="663"/>
      <c r="DF453" s="663"/>
      <c r="DG453" s="663"/>
      <c r="DH453" s="663"/>
      <c r="DI453" s="663"/>
      <c r="DJ453" s="663"/>
      <c r="DK453" s="663"/>
      <c r="DL453" s="663"/>
      <c r="DM453" s="663"/>
      <c r="DN453" s="663"/>
      <c r="DO453" s="663"/>
      <c r="DP453" s="663"/>
      <c r="DQ453" s="663"/>
      <c r="DR453" s="663"/>
      <c r="DS453" s="663"/>
      <c r="DT453" s="663"/>
      <c r="DU453" s="663"/>
      <c r="DV453" s="663"/>
      <c r="DW453" s="663"/>
      <c r="DX453" s="663"/>
      <c r="DY453" s="663"/>
      <c r="DZ453" s="663"/>
      <c r="EA453" s="663"/>
      <c r="EB453" s="663"/>
      <c r="EC453" s="663"/>
      <c r="ED453" s="663"/>
      <c r="EE453" s="663"/>
      <c r="EF453" s="663"/>
      <c r="EG453" s="663"/>
      <c r="EH453" s="663"/>
      <c r="EI453" s="663"/>
      <c r="EJ453" s="663"/>
      <c r="EK453" s="663"/>
      <c r="EL453" s="663"/>
      <c r="EM453" s="663"/>
      <c r="EN453" s="663"/>
      <c r="EO453" s="663"/>
      <c r="EP453" s="663"/>
      <c r="EQ453" s="663"/>
      <c r="ER453" s="663"/>
      <c r="ES453" s="663"/>
      <c r="ET453" s="663"/>
      <c r="EU453" s="663"/>
      <c r="EV453" s="663"/>
      <c r="EW453" s="663"/>
      <c r="EX453" s="663"/>
      <c r="EY453" s="663"/>
      <c r="EZ453" s="663"/>
      <c r="FA453" s="663"/>
      <c r="FB453" s="663"/>
      <c r="FC453" s="663"/>
      <c r="FD453" s="663"/>
      <c r="FE453" s="663"/>
      <c r="FF453" s="663"/>
      <c r="FG453" s="663"/>
      <c r="FH453" s="663"/>
      <c r="FI453" s="663"/>
      <c r="FJ453" s="663"/>
      <c r="FK453" s="663"/>
      <c r="FL453" s="663"/>
      <c r="FM453" s="663"/>
      <c r="FN453" s="663"/>
      <c r="FO453" s="663"/>
      <c r="FP453" s="663"/>
      <c r="FQ453" s="663"/>
      <c r="FR453" s="663"/>
      <c r="FS453" s="663"/>
      <c r="FT453" s="663"/>
      <c r="FU453" s="663"/>
      <c r="FV453" s="663"/>
      <c r="FW453" s="663"/>
      <c r="FX453" s="663"/>
      <c r="FY453" s="663"/>
      <c r="FZ453" s="663"/>
      <c r="GA453" s="663"/>
      <c r="GB453" s="663"/>
      <c r="GC453" s="663"/>
      <c r="GD453" s="663"/>
      <c r="GE453" s="663"/>
      <c r="GF453" s="663"/>
      <c r="GG453" s="663"/>
    </row>
    <row r="454" spans="1:189">
      <c r="A454" s="670"/>
      <c r="B454" s="670"/>
      <c r="C454" s="670"/>
      <c r="D454" s="670"/>
      <c r="E454" s="670"/>
      <c r="F454" s="670"/>
      <c r="G454" s="673"/>
      <c r="H454" s="627"/>
      <c r="I454" s="627"/>
      <c r="J454" s="672"/>
      <c r="K454" s="663"/>
      <c r="L454" s="663"/>
      <c r="M454" s="663"/>
      <c r="N454" s="663"/>
      <c r="O454" s="663"/>
      <c r="P454" s="663"/>
      <c r="Q454" s="663"/>
      <c r="R454" s="663"/>
      <c r="S454" s="663"/>
      <c r="T454" s="663"/>
      <c r="U454" s="663"/>
      <c r="V454" s="663"/>
      <c r="W454" s="663"/>
      <c r="X454" s="663"/>
      <c r="Y454" s="663"/>
      <c r="Z454" s="663"/>
      <c r="AA454" s="663"/>
      <c r="AB454" s="663"/>
      <c r="AC454" s="663"/>
      <c r="AD454" s="663"/>
      <c r="AE454" s="663"/>
      <c r="AF454" s="663"/>
      <c r="AG454" s="663"/>
      <c r="AH454" s="663"/>
      <c r="AI454" s="663"/>
      <c r="AJ454" s="663"/>
      <c r="AK454" s="663"/>
      <c r="AL454" s="663"/>
      <c r="AM454" s="663"/>
      <c r="AN454" s="663"/>
      <c r="AO454" s="663"/>
      <c r="AP454" s="663"/>
      <c r="AQ454" s="663"/>
      <c r="AR454" s="663"/>
      <c r="AS454" s="663"/>
      <c r="AT454" s="663"/>
      <c r="AU454" s="663"/>
      <c r="AV454" s="663"/>
      <c r="AW454" s="663"/>
      <c r="AX454" s="663"/>
      <c r="AY454" s="663"/>
      <c r="AZ454" s="663"/>
      <c r="BA454" s="663"/>
      <c r="BB454" s="663"/>
      <c r="BC454" s="663"/>
      <c r="BD454" s="663"/>
      <c r="BE454" s="663"/>
      <c r="BF454" s="663"/>
      <c r="BG454" s="663"/>
      <c r="BH454" s="663"/>
      <c r="BI454" s="663"/>
      <c r="BJ454" s="663"/>
      <c r="BK454" s="663"/>
      <c r="BL454" s="663"/>
      <c r="BM454" s="663"/>
      <c r="BN454" s="663"/>
      <c r="BO454" s="663"/>
      <c r="BP454" s="663"/>
      <c r="BQ454" s="663"/>
      <c r="BR454" s="663"/>
      <c r="BS454" s="663"/>
      <c r="BT454" s="663"/>
      <c r="BU454" s="663"/>
      <c r="BV454" s="663"/>
      <c r="BW454" s="663"/>
      <c r="BX454" s="663"/>
      <c r="BY454" s="663"/>
      <c r="BZ454" s="663"/>
      <c r="CA454" s="663"/>
      <c r="CB454" s="663"/>
      <c r="CC454" s="663"/>
      <c r="CD454" s="663"/>
      <c r="CE454" s="663"/>
      <c r="CF454" s="663"/>
      <c r="CG454" s="663"/>
      <c r="CH454" s="663"/>
      <c r="CI454" s="663"/>
      <c r="CJ454" s="663"/>
      <c r="CK454" s="663"/>
      <c r="CL454" s="663"/>
      <c r="CM454" s="663"/>
      <c r="CN454" s="663"/>
      <c r="CO454" s="663"/>
      <c r="CP454" s="663"/>
      <c r="CQ454" s="663"/>
      <c r="CR454" s="663"/>
      <c r="CS454" s="663"/>
      <c r="CT454" s="663"/>
      <c r="CU454" s="663"/>
      <c r="CV454" s="663"/>
      <c r="CW454" s="663"/>
      <c r="CX454" s="663"/>
      <c r="CY454" s="663"/>
      <c r="CZ454" s="663"/>
      <c r="DA454" s="663"/>
      <c r="DB454" s="663"/>
      <c r="DC454" s="663"/>
      <c r="DD454" s="663"/>
      <c r="DE454" s="663"/>
      <c r="DF454" s="663"/>
      <c r="DG454" s="663"/>
      <c r="DH454" s="663"/>
      <c r="DI454" s="663"/>
      <c r="DJ454" s="663"/>
      <c r="DK454" s="663"/>
      <c r="DL454" s="663"/>
      <c r="DM454" s="663"/>
      <c r="DN454" s="663"/>
      <c r="DO454" s="663"/>
      <c r="DP454" s="663"/>
      <c r="DQ454" s="663"/>
      <c r="DR454" s="663"/>
      <c r="DS454" s="663"/>
      <c r="DT454" s="663"/>
      <c r="DU454" s="663"/>
      <c r="DV454" s="663"/>
      <c r="DW454" s="663"/>
      <c r="DX454" s="663"/>
      <c r="DY454" s="663"/>
      <c r="DZ454" s="663"/>
      <c r="EA454" s="663"/>
      <c r="EB454" s="663"/>
      <c r="EC454" s="663"/>
      <c r="ED454" s="663"/>
      <c r="EE454" s="663"/>
      <c r="EF454" s="663"/>
      <c r="EG454" s="663"/>
      <c r="EH454" s="663"/>
      <c r="EI454" s="663"/>
      <c r="EJ454" s="663"/>
      <c r="EK454" s="663"/>
      <c r="EL454" s="663"/>
      <c r="EM454" s="663"/>
      <c r="EN454" s="663"/>
      <c r="EO454" s="663"/>
      <c r="EP454" s="663"/>
      <c r="EQ454" s="663"/>
      <c r="ER454" s="663"/>
      <c r="ES454" s="663"/>
      <c r="ET454" s="663"/>
      <c r="EU454" s="663"/>
      <c r="EV454" s="663"/>
      <c r="EW454" s="663"/>
      <c r="EX454" s="663"/>
      <c r="EY454" s="663"/>
      <c r="EZ454" s="663"/>
      <c r="FA454" s="663"/>
      <c r="FB454" s="663"/>
      <c r="FC454" s="663"/>
      <c r="FD454" s="663"/>
      <c r="FE454" s="663"/>
      <c r="FF454" s="663"/>
      <c r="FG454" s="663"/>
      <c r="FH454" s="663"/>
      <c r="FI454" s="663"/>
      <c r="FJ454" s="663"/>
      <c r="FK454" s="663"/>
      <c r="FL454" s="663"/>
      <c r="FM454" s="663"/>
      <c r="FN454" s="663"/>
      <c r="FO454" s="663"/>
      <c r="FP454" s="663"/>
      <c r="FQ454" s="663"/>
      <c r="FR454" s="663"/>
      <c r="FS454" s="663"/>
      <c r="FT454" s="663"/>
      <c r="FU454" s="663"/>
      <c r="FV454" s="663"/>
      <c r="FW454" s="663"/>
      <c r="FX454" s="663"/>
      <c r="FY454" s="663"/>
      <c r="FZ454" s="663"/>
      <c r="GA454" s="663"/>
      <c r="GB454" s="663"/>
      <c r="GC454" s="663"/>
      <c r="GD454" s="663"/>
      <c r="GE454" s="663"/>
      <c r="GF454" s="663"/>
      <c r="GG454" s="663"/>
    </row>
    <row r="455" spans="1:189">
      <c r="A455" s="670"/>
      <c r="B455" s="670"/>
      <c r="C455" s="670"/>
      <c r="D455" s="670"/>
      <c r="E455" s="670"/>
      <c r="F455" s="670"/>
      <c r="G455" s="673"/>
      <c r="H455" s="627"/>
      <c r="I455" s="627"/>
      <c r="J455" s="672"/>
      <c r="K455" s="663"/>
      <c r="L455" s="663"/>
      <c r="M455" s="663"/>
      <c r="N455" s="663"/>
      <c r="O455" s="663"/>
      <c r="P455" s="663"/>
      <c r="Q455" s="663"/>
      <c r="R455" s="663"/>
      <c r="S455" s="663"/>
      <c r="T455" s="663"/>
      <c r="U455" s="663"/>
      <c r="V455" s="663"/>
      <c r="W455" s="663"/>
      <c r="X455" s="663"/>
      <c r="Y455" s="663"/>
      <c r="Z455" s="663"/>
      <c r="AA455" s="663"/>
      <c r="AB455" s="663"/>
      <c r="AC455" s="663"/>
      <c r="AD455" s="663"/>
      <c r="AE455" s="663"/>
      <c r="AF455" s="663"/>
      <c r="AG455" s="663"/>
      <c r="AH455" s="663"/>
      <c r="AI455" s="663"/>
      <c r="AJ455" s="663"/>
      <c r="AK455" s="663"/>
      <c r="AL455" s="663"/>
      <c r="AM455" s="663"/>
      <c r="AN455" s="663"/>
      <c r="AO455" s="663"/>
      <c r="AP455" s="663"/>
      <c r="AQ455" s="663"/>
      <c r="AR455" s="663"/>
      <c r="AS455" s="663"/>
      <c r="AT455" s="663"/>
      <c r="AU455" s="663"/>
      <c r="AV455" s="663"/>
      <c r="AW455" s="663"/>
      <c r="AX455" s="663"/>
      <c r="AY455" s="663"/>
      <c r="AZ455" s="663"/>
      <c r="BA455" s="663"/>
      <c r="BB455" s="663"/>
      <c r="BC455" s="663"/>
      <c r="BD455" s="663"/>
      <c r="BE455" s="663"/>
      <c r="BF455" s="663"/>
      <c r="BG455" s="663"/>
      <c r="BH455" s="663"/>
      <c r="BI455" s="663"/>
      <c r="BJ455" s="663"/>
      <c r="BK455" s="663"/>
      <c r="BL455" s="663"/>
      <c r="BM455" s="663"/>
      <c r="BN455" s="663"/>
      <c r="BO455" s="663"/>
      <c r="BP455" s="663"/>
      <c r="BQ455" s="663"/>
      <c r="BR455" s="663"/>
      <c r="BS455" s="663"/>
      <c r="BT455" s="663"/>
      <c r="BU455" s="663"/>
      <c r="BV455" s="663"/>
      <c r="BW455" s="663"/>
      <c r="BX455" s="663"/>
      <c r="BY455" s="663"/>
      <c r="BZ455" s="663"/>
      <c r="CA455" s="663"/>
      <c r="CB455" s="663"/>
      <c r="CC455" s="663"/>
      <c r="CD455" s="663"/>
      <c r="CE455" s="663"/>
      <c r="CF455" s="663"/>
      <c r="CG455" s="663"/>
      <c r="CH455" s="663"/>
      <c r="CI455" s="663"/>
      <c r="CJ455" s="663"/>
      <c r="CK455" s="663"/>
      <c r="CL455" s="663"/>
      <c r="CM455" s="663"/>
      <c r="CN455" s="663"/>
      <c r="CO455" s="663"/>
      <c r="CP455" s="663"/>
      <c r="CQ455" s="663"/>
      <c r="CR455" s="663"/>
      <c r="CS455" s="663"/>
      <c r="CT455" s="663"/>
      <c r="CU455" s="663"/>
      <c r="CV455" s="663"/>
      <c r="CW455" s="663"/>
      <c r="CX455" s="663"/>
      <c r="CY455" s="663"/>
      <c r="CZ455" s="663"/>
      <c r="DA455" s="663"/>
      <c r="DB455" s="663"/>
      <c r="DC455" s="663"/>
      <c r="DD455" s="663"/>
      <c r="DE455" s="663"/>
      <c r="DF455" s="663"/>
      <c r="DG455" s="663"/>
      <c r="DH455" s="663"/>
      <c r="DI455" s="663"/>
      <c r="DJ455" s="663"/>
      <c r="DK455" s="663"/>
      <c r="DL455" s="663"/>
      <c r="DM455" s="663"/>
      <c r="DN455" s="663"/>
      <c r="DO455" s="663"/>
      <c r="DP455" s="663"/>
      <c r="DQ455" s="663"/>
      <c r="DR455" s="663"/>
      <c r="DS455" s="663"/>
      <c r="DT455" s="663"/>
      <c r="DU455" s="663"/>
      <c r="DV455" s="663"/>
      <c r="DW455" s="663"/>
      <c r="DX455" s="663"/>
      <c r="DY455" s="663"/>
      <c r="DZ455" s="663"/>
      <c r="EA455" s="663"/>
      <c r="EB455" s="663"/>
      <c r="EC455" s="663"/>
      <c r="ED455" s="663"/>
      <c r="EE455" s="663"/>
      <c r="EF455" s="663"/>
      <c r="EG455" s="663"/>
      <c r="EH455" s="663"/>
      <c r="EI455" s="663"/>
      <c r="EJ455" s="663"/>
      <c r="EK455" s="663"/>
      <c r="EL455" s="663"/>
      <c r="EM455" s="663"/>
      <c r="EN455" s="663"/>
      <c r="EO455" s="663"/>
      <c r="EP455" s="663"/>
      <c r="EQ455" s="663"/>
      <c r="ER455" s="663"/>
      <c r="ES455" s="663"/>
      <c r="ET455" s="663"/>
      <c r="EU455" s="663"/>
      <c r="EV455" s="663"/>
      <c r="EW455" s="663"/>
      <c r="EX455" s="663"/>
      <c r="EY455" s="663"/>
      <c r="EZ455" s="663"/>
      <c r="FA455" s="663"/>
      <c r="FB455" s="663"/>
      <c r="FC455" s="663"/>
      <c r="FD455" s="663"/>
      <c r="FE455" s="663"/>
      <c r="FF455" s="663"/>
      <c r="FG455" s="663"/>
      <c r="FH455" s="663"/>
      <c r="FI455" s="663"/>
      <c r="FJ455" s="663"/>
      <c r="FK455" s="663"/>
      <c r="FL455" s="663"/>
      <c r="FM455" s="663"/>
      <c r="FN455" s="663"/>
      <c r="FO455" s="663"/>
      <c r="FP455" s="663"/>
      <c r="FQ455" s="663"/>
      <c r="FR455" s="663"/>
      <c r="FS455" s="663"/>
      <c r="FT455" s="663"/>
      <c r="FU455" s="663"/>
      <c r="FV455" s="663"/>
      <c r="FW455" s="663"/>
      <c r="FX455" s="663"/>
      <c r="FY455" s="663"/>
      <c r="FZ455" s="663"/>
      <c r="GA455" s="663"/>
      <c r="GB455" s="663"/>
      <c r="GC455" s="663"/>
      <c r="GD455" s="663"/>
      <c r="GE455" s="663"/>
      <c r="GF455" s="663"/>
      <c r="GG455" s="663"/>
    </row>
    <row r="456" spans="1:189">
      <c r="A456" s="670"/>
      <c r="B456" s="670"/>
      <c r="C456" s="670"/>
      <c r="D456" s="670"/>
      <c r="E456" s="670"/>
      <c r="F456" s="670"/>
      <c r="G456" s="673"/>
      <c r="H456" s="627"/>
      <c r="I456" s="627"/>
      <c r="J456" s="672"/>
      <c r="K456" s="663"/>
      <c r="L456" s="663"/>
      <c r="M456" s="663"/>
      <c r="N456" s="663"/>
      <c r="O456" s="663"/>
      <c r="P456" s="663"/>
      <c r="Q456" s="663"/>
      <c r="R456" s="663"/>
      <c r="S456" s="663"/>
      <c r="T456" s="663"/>
      <c r="U456" s="663"/>
      <c r="V456" s="663"/>
      <c r="W456" s="663"/>
      <c r="X456" s="663"/>
      <c r="Y456" s="663"/>
      <c r="Z456" s="663"/>
      <c r="AA456" s="663"/>
      <c r="AB456" s="663"/>
      <c r="AC456" s="663"/>
      <c r="AD456" s="663"/>
      <c r="AE456" s="663"/>
      <c r="AF456" s="663"/>
      <c r="AG456" s="663"/>
      <c r="AH456" s="663"/>
      <c r="AI456" s="663"/>
      <c r="AJ456" s="663"/>
      <c r="AK456" s="663"/>
      <c r="AL456" s="663"/>
      <c r="AM456" s="663"/>
      <c r="AN456" s="663"/>
      <c r="AO456" s="663"/>
      <c r="AP456" s="663"/>
      <c r="AQ456" s="663"/>
      <c r="AR456" s="663"/>
      <c r="AS456" s="663"/>
      <c r="AT456" s="663"/>
      <c r="AU456" s="663"/>
      <c r="AV456" s="663"/>
      <c r="AW456" s="663"/>
      <c r="AX456" s="663"/>
      <c r="AY456" s="663"/>
      <c r="AZ456" s="663"/>
      <c r="BA456" s="663"/>
      <c r="BB456" s="663"/>
      <c r="BC456" s="663"/>
      <c r="BD456" s="663"/>
      <c r="BE456" s="663"/>
      <c r="BF456" s="663"/>
      <c r="BG456" s="663"/>
      <c r="BH456" s="663"/>
      <c r="BI456" s="663"/>
      <c r="BJ456" s="663"/>
      <c r="BK456" s="663"/>
      <c r="BL456" s="663"/>
      <c r="BM456" s="663"/>
      <c r="BN456" s="663"/>
      <c r="BO456" s="663"/>
      <c r="BP456" s="663"/>
      <c r="BQ456" s="663"/>
      <c r="BR456" s="663"/>
      <c r="BS456" s="663"/>
      <c r="BT456" s="663"/>
      <c r="BU456" s="663"/>
      <c r="BV456" s="663"/>
      <c r="BW456" s="663"/>
      <c r="BX456" s="663"/>
      <c r="BY456" s="663"/>
      <c r="BZ456" s="663"/>
      <c r="CA456" s="663"/>
      <c r="CB456" s="663"/>
      <c r="CC456" s="663"/>
      <c r="CD456" s="663"/>
      <c r="CE456" s="663"/>
      <c r="CF456" s="663"/>
      <c r="CG456" s="663"/>
      <c r="CH456" s="663"/>
      <c r="CI456" s="663"/>
      <c r="CJ456" s="663"/>
      <c r="CK456" s="663"/>
      <c r="CL456" s="663"/>
      <c r="CM456" s="663"/>
      <c r="CN456" s="663"/>
      <c r="CO456" s="663"/>
      <c r="CP456" s="663"/>
      <c r="CQ456" s="663"/>
      <c r="CR456" s="663"/>
      <c r="CS456" s="663"/>
      <c r="CT456" s="663"/>
      <c r="CU456" s="663"/>
      <c r="CV456" s="663"/>
      <c r="CW456" s="663"/>
      <c r="CX456" s="663"/>
      <c r="CY456" s="663"/>
      <c r="CZ456" s="663"/>
      <c r="DA456" s="663"/>
      <c r="DB456" s="663"/>
      <c r="DC456" s="663"/>
      <c r="DD456" s="663"/>
      <c r="DE456" s="663"/>
      <c r="DF456" s="663"/>
      <c r="DG456" s="663"/>
      <c r="DH456" s="663"/>
      <c r="DI456" s="663"/>
      <c r="DJ456" s="663"/>
      <c r="DK456" s="663"/>
      <c r="DL456" s="663"/>
      <c r="DM456" s="663"/>
      <c r="DN456" s="663"/>
      <c r="DO456" s="663"/>
      <c r="DP456" s="663"/>
      <c r="DQ456" s="663"/>
      <c r="DR456" s="663"/>
      <c r="DS456" s="663"/>
      <c r="DT456" s="663"/>
      <c r="DU456" s="663"/>
      <c r="DV456" s="663"/>
      <c r="DW456" s="663"/>
      <c r="DX456" s="663"/>
      <c r="DY456" s="663"/>
      <c r="DZ456" s="663"/>
      <c r="EA456" s="663"/>
      <c r="EB456" s="663"/>
      <c r="EC456" s="663"/>
      <c r="ED456" s="663"/>
      <c r="EE456" s="663"/>
      <c r="EF456" s="663"/>
      <c r="EG456" s="663"/>
      <c r="EH456" s="663"/>
      <c r="EI456" s="663"/>
      <c r="EJ456" s="663"/>
      <c r="EK456" s="663"/>
      <c r="EL456" s="663"/>
      <c r="EM456" s="663"/>
      <c r="EN456" s="663"/>
      <c r="EO456" s="663"/>
      <c r="EP456" s="663"/>
      <c r="EQ456" s="663"/>
      <c r="ER456" s="663"/>
      <c r="ES456" s="663"/>
      <c r="ET456" s="663"/>
      <c r="EU456" s="663"/>
      <c r="EV456" s="663"/>
      <c r="EW456" s="663"/>
      <c r="EX456" s="663"/>
      <c r="EY456" s="663"/>
      <c r="EZ456" s="663"/>
      <c r="FA456" s="663"/>
      <c r="FB456" s="663"/>
      <c r="FC456" s="663"/>
      <c r="FD456" s="663"/>
      <c r="FE456" s="663"/>
      <c r="FF456" s="663"/>
      <c r="FG456" s="663"/>
      <c r="FH456" s="663"/>
      <c r="FI456" s="663"/>
      <c r="FJ456" s="663"/>
      <c r="FK456" s="663"/>
      <c r="FL456" s="663"/>
      <c r="FM456" s="663"/>
      <c r="FN456" s="663"/>
      <c r="FO456" s="663"/>
      <c r="FP456" s="663"/>
      <c r="FQ456" s="663"/>
      <c r="FR456" s="663"/>
      <c r="FS456" s="663"/>
      <c r="FT456" s="663"/>
      <c r="FU456" s="663"/>
      <c r="FV456" s="663"/>
      <c r="FW456" s="663"/>
      <c r="FX456" s="663"/>
      <c r="FY456" s="663"/>
      <c r="FZ456" s="663"/>
      <c r="GA456" s="663"/>
      <c r="GB456" s="663"/>
      <c r="GC456" s="663"/>
      <c r="GD456" s="663"/>
      <c r="GE456" s="663"/>
      <c r="GF456" s="663"/>
      <c r="GG456" s="663"/>
    </row>
    <row r="457" spans="1:189">
      <c r="A457" s="670"/>
      <c r="B457" s="670"/>
      <c r="C457" s="670"/>
      <c r="D457" s="670"/>
      <c r="E457" s="670"/>
      <c r="F457" s="670"/>
      <c r="G457" s="673"/>
      <c r="H457" s="627"/>
      <c r="I457" s="627"/>
      <c r="J457" s="672"/>
      <c r="K457" s="663"/>
      <c r="L457" s="663"/>
      <c r="M457" s="663"/>
      <c r="N457" s="663"/>
      <c r="O457" s="663"/>
      <c r="P457" s="663"/>
      <c r="Q457" s="663"/>
      <c r="R457" s="663"/>
      <c r="S457" s="663"/>
      <c r="T457" s="663"/>
      <c r="U457" s="663"/>
      <c r="V457" s="663"/>
      <c r="W457" s="663"/>
      <c r="X457" s="663"/>
      <c r="Y457" s="663"/>
      <c r="Z457" s="663"/>
      <c r="AA457" s="663"/>
      <c r="AB457" s="663"/>
      <c r="AC457" s="663"/>
      <c r="AD457" s="663"/>
      <c r="AE457" s="663"/>
      <c r="AF457" s="663"/>
      <c r="AG457" s="663"/>
      <c r="AH457" s="663"/>
      <c r="AI457" s="663"/>
      <c r="AJ457" s="663"/>
      <c r="AK457" s="663"/>
      <c r="AL457" s="663"/>
      <c r="AM457" s="663"/>
      <c r="AN457" s="663"/>
      <c r="AO457" s="663"/>
      <c r="AP457" s="663"/>
      <c r="AQ457" s="663"/>
      <c r="AR457" s="663"/>
      <c r="AS457" s="663"/>
      <c r="AT457" s="663"/>
      <c r="AU457" s="663"/>
      <c r="AV457" s="663"/>
      <c r="AW457" s="663"/>
      <c r="AX457" s="663"/>
      <c r="AY457" s="663"/>
      <c r="AZ457" s="663"/>
      <c r="BA457" s="663"/>
      <c r="BB457" s="663"/>
      <c r="BC457" s="663"/>
      <c r="BD457" s="663"/>
      <c r="BE457" s="663"/>
      <c r="BF457" s="663"/>
      <c r="BG457" s="663"/>
      <c r="BH457" s="663"/>
      <c r="BI457" s="663"/>
      <c r="BJ457" s="663"/>
      <c r="BK457" s="663"/>
      <c r="BL457" s="663"/>
      <c r="BM457" s="663"/>
      <c r="BN457" s="663"/>
      <c r="BO457" s="663"/>
      <c r="BP457" s="663"/>
      <c r="BQ457" s="663"/>
      <c r="BR457" s="663"/>
      <c r="BS457" s="663"/>
      <c r="BT457" s="663"/>
      <c r="BU457" s="663"/>
      <c r="BV457" s="663"/>
      <c r="BW457" s="663"/>
      <c r="BX457" s="663"/>
      <c r="BY457" s="663"/>
      <c r="BZ457" s="663"/>
      <c r="CA457" s="663"/>
      <c r="CB457" s="663"/>
      <c r="CC457" s="663"/>
      <c r="CD457" s="663"/>
      <c r="CE457" s="663"/>
      <c r="CF457" s="663"/>
      <c r="CG457" s="663"/>
      <c r="CH457" s="663"/>
      <c r="CI457" s="663"/>
      <c r="CJ457" s="663"/>
      <c r="CK457" s="663"/>
      <c r="CL457" s="663"/>
      <c r="CM457" s="663"/>
      <c r="CN457" s="663"/>
      <c r="CO457" s="663"/>
      <c r="CP457" s="663"/>
      <c r="CQ457" s="663"/>
      <c r="CR457" s="663"/>
      <c r="CS457" s="663"/>
      <c r="CT457" s="663"/>
      <c r="CU457" s="663"/>
      <c r="CV457" s="663"/>
      <c r="CW457" s="663"/>
      <c r="CX457" s="663"/>
      <c r="CY457" s="663"/>
      <c r="CZ457" s="663"/>
      <c r="DA457" s="663"/>
      <c r="DB457" s="663"/>
      <c r="DC457" s="663"/>
      <c r="DD457" s="663"/>
      <c r="DE457" s="663"/>
      <c r="DF457" s="663"/>
      <c r="DG457" s="663"/>
      <c r="DH457" s="663"/>
      <c r="DI457" s="663"/>
      <c r="DJ457" s="663"/>
      <c r="DK457" s="663"/>
      <c r="DL457" s="663"/>
      <c r="DM457" s="663"/>
      <c r="DN457" s="663"/>
      <c r="DO457" s="663"/>
      <c r="DP457" s="663"/>
      <c r="DQ457" s="663"/>
      <c r="DR457" s="663"/>
      <c r="DS457" s="663"/>
      <c r="DT457" s="663"/>
      <c r="DU457" s="663"/>
      <c r="DV457" s="663"/>
      <c r="DW457" s="663"/>
      <c r="DX457" s="663"/>
      <c r="DY457" s="663"/>
      <c r="DZ457" s="663"/>
      <c r="EA457" s="663"/>
      <c r="EB457" s="663"/>
      <c r="EC457" s="663"/>
      <c r="ED457" s="663"/>
      <c r="EE457" s="663"/>
      <c r="EF457" s="663"/>
      <c r="EG457" s="663"/>
      <c r="EH457" s="663"/>
      <c r="EI457" s="663"/>
      <c r="EJ457" s="663"/>
      <c r="EK457" s="663"/>
      <c r="EL457" s="663"/>
      <c r="EM457" s="663"/>
      <c r="EN457" s="663"/>
      <c r="EO457" s="663"/>
      <c r="EP457" s="663"/>
      <c r="EQ457" s="663"/>
      <c r="ER457" s="663"/>
      <c r="ES457" s="663"/>
      <c r="ET457" s="663"/>
      <c r="EU457" s="663"/>
      <c r="EV457" s="663"/>
      <c r="EW457" s="663"/>
      <c r="EX457" s="663"/>
      <c r="EY457" s="663"/>
      <c r="EZ457" s="663"/>
      <c r="FA457" s="663"/>
      <c r="FB457" s="663"/>
      <c r="FC457" s="663"/>
      <c r="FD457" s="663"/>
      <c r="FE457" s="663"/>
      <c r="FF457" s="663"/>
      <c r="FG457" s="663"/>
      <c r="FH457" s="663"/>
      <c r="FI457" s="663"/>
      <c r="FJ457" s="663"/>
      <c r="FK457" s="663"/>
      <c r="FL457" s="663"/>
      <c r="FM457" s="663"/>
      <c r="FN457" s="663"/>
      <c r="FO457" s="663"/>
      <c r="FP457" s="663"/>
      <c r="FQ457" s="663"/>
      <c r="FR457" s="663"/>
      <c r="FS457" s="663"/>
      <c r="FT457" s="663"/>
      <c r="FU457" s="663"/>
      <c r="FV457" s="663"/>
      <c r="FW457" s="663"/>
      <c r="FX457" s="663"/>
      <c r="FY457" s="663"/>
      <c r="FZ457" s="663"/>
      <c r="GA457" s="663"/>
      <c r="GB457" s="663"/>
      <c r="GC457" s="663"/>
      <c r="GD457" s="663"/>
      <c r="GE457" s="663"/>
      <c r="GF457" s="663"/>
      <c r="GG457" s="663"/>
    </row>
    <row r="458" spans="1:189">
      <c r="A458" s="670"/>
      <c r="B458" s="670"/>
      <c r="C458" s="670"/>
      <c r="D458" s="670"/>
      <c r="E458" s="670"/>
      <c r="F458" s="670"/>
      <c r="G458" s="673"/>
      <c r="H458" s="627"/>
      <c r="I458" s="627"/>
      <c r="J458" s="672"/>
      <c r="K458" s="663"/>
      <c r="L458" s="663"/>
      <c r="M458" s="663"/>
      <c r="N458" s="663"/>
      <c r="O458" s="663"/>
      <c r="P458" s="663"/>
      <c r="Q458" s="663"/>
      <c r="R458" s="663"/>
      <c r="S458" s="663"/>
      <c r="T458" s="663"/>
      <c r="U458" s="663"/>
      <c r="V458" s="663"/>
      <c r="W458" s="663"/>
      <c r="X458" s="663"/>
      <c r="Y458" s="663"/>
      <c r="Z458" s="663"/>
      <c r="AA458" s="663"/>
      <c r="AB458" s="663"/>
      <c r="AC458" s="663"/>
      <c r="AD458" s="663"/>
      <c r="AE458" s="663"/>
      <c r="AF458" s="663"/>
      <c r="AG458" s="663"/>
      <c r="AH458" s="663"/>
      <c r="AI458" s="663"/>
      <c r="AJ458" s="663"/>
      <c r="AK458" s="663"/>
      <c r="AL458" s="663"/>
      <c r="AM458" s="663"/>
      <c r="AN458" s="663"/>
      <c r="AO458" s="663"/>
      <c r="AP458" s="663"/>
      <c r="AQ458" s="663"/>
      <c r="AR458" s="663"/>
      <c r="AS458" s="663"/>
      <c r="AT458" s="663"/>
      <c r="AU458" s="663"/>
      <c r="AV458" s="663"/>
      <c r="AW458" s="663"/>
      <c r="AX458" s="663"/>
      <c r="AY458" s="663"/>
      <c r="AZ458" s="663"/>
      <c r="BA458" s="663"/>
      <c r="BB458" s="663"/>
      <c r="BC458" s="663"/>
      <c r="BD458" s="663"/>
      <c r="BE458" s="663"/>
      <c r="BF458" s="663"/>
      <c r="BG458" s="663"/>
      <c r="BH458" s="663"/>
      <c r="BI458" s="663"/>
      <c r="BJ458" s="663"/>
      <c r="BK458" s="663"/>
      <c r="BL458" s="663"/>
      <c r="BM458" s="663"/>
      <c r="BN458" s="663"/>
      <c r="BO458" s="663"/>
      <c r="BP458" s="663"/>
      <c r="BQ458" s="663"/>
      <c r="BR458" s="663"/>
      <c r="BS458" s="663"/>
      <c r="BT458" s="663"/>
      <c r="BU458" s="663"/>
      <c r="BV458" s="663"/>
      <c r="BW458" s="663"/>
      <c r="BX458" s="663"/>
      <c r="BY458" s="663"/>
      <c r="BZ458" s="663"/>
      <c r="CA458" s="663"/>
      <c r="CB458" s="663"/>
      <c r="CC458" s="663"/>
      <c r="CD458" s="663"/>
      <c r="CE458" s="663"/>
      <c r="CF458" s="663"/>
      <c r="CG458" s="663"/>
      <c r="CH458" s="663"/>
      <c r="CI458" s="663"/>
      <c r="CJ458" s="663"/>
      <c r="CK458" s="663"/>
      <c r="CL458" s="663"/>
      <c r="CM458" s="663"/>
      <c r="CN458" s="663"/>
      <c r="CO458" s="663"/>
      <c r="CP458" s="663"/>
      <c r="CQ458" s="663"/>
      <c r="CR458" s="663"/>
      <c r="CS458" s="663"/>
      <c r="CT458" s="663"/>
      <c r="CU458" s="663"/>
      <c r="CV458" s="663"/>
      <c r="CW458" s="663"/>
      <c r="CX458" s="663"/>
      <c r="CY458" s="663"/>
      <c r="CZ458" s="663"/>
      <c r="DA458" s="663"/>
      <c r="DB458" s="663"/>
      <c r="DC458" s="663"/>
      <c r="DD458" s="663"/>
      <c r="DE458" s="663"/>
      <c r="DF458" s="663"/>
      <c r="DG458" s="663"/>
      <c r="DH458" s="663"/>
      <c r="DI458" s="663"/>
      <c r="DJ458" s="663"/>
      <c r="DK458" s="663"/>
      <c r="DL458" s="663"/>
      <c r="DM458" s="663"/>
      <c r="DN458" s="663"/>
      <c r="DO458" s="663"/>
      <c r="DP458" s="663"/>
      <c r="DQ458" s="663"/>
      <c r="DR458" s="663"/>
      <c r="DS458" s="663"/>
      <c r="DT458" s="663"/>
      <c r="DU458" s="663"/>
      <c r="DV458" s="663"/>
      <c r="DW458" s="663"/>
      <c r="DX458" s="663"/>
      <c r="DY458" s="663"/>
      <c r="DZ458" s="663"/>
      <c r="EA458" s="663"/>
      <c r="EB458" s="663"/>
      <c r="EC458" s="663"/>
      <c r="ED458" s="663"/>
      <c r="EE458" s="663"/>
      <c r="EF458" s="663"/>
      <c r="EG458" s="663"/>
      <c r="EH458" s="663"/>
      <c r="EI458" s="663"/>
      <c r="EJ458" s="663"/>
      <c r="EK458" s="663"/>
      <c r="EL458" s="663"/>
      <c r="EM458" s="663"/>
      <c r="EN458" s="663"/>
      <c r="EO458" s="663"/>
      <c r="EP458" s="663"/>
      <c r="EQ458" s="663"/>
      <c r="ER458" s="663"/>
      <c r="ES458" s="663"/>
      <c r="ET458" s="663"/>
      <c r="EU458" s="663"/>
      <c r="EV458" s="663"/>
      <c r="EW458" s="663"/>
      <c r="EX458" s="663"/>
      <c r="EY458" s="663"/>
      <c r="EZ458" s="663"/>
      <c r="FA458" s="663"/>
      <c r="FB458" s="663"/>
      <c r="FC458" s="663"/>
      <c r="FD458" s="663"/>
      <c r="FE458" s="663"/>
      <c r="FF458" s="663"/>
      <c r="FG458" s="663"/>
      <c r="FH458" s="663"/>
      <c r="FI458" s="663"/>
      <c r="FJ458" s="663"/>
      <c r="FK458" s="663"/>
      <c r="FL458" s="663"/>
      <c r="FM458" s="663"/>
      <c r="FN458" s="663"/>
      <c r="FO458" s="663"/>
      <c r="FP458" s="663"/>
      <c r="FQ458" s="663"/>
      <c r="FR458" s="663"/>
      <c r="FS458" s="663"/>
      <c r="FT458" s="663"/>
      <c r="FU458" s="663"/>
      <c r="FV458" s="663"/>
      <c r="FW458" s="663"/>
      <c r="FX458" s="663"/>
      <c r="FY458" s="663"/>
      <c r="FZ458" s="663"/>
      <c r="GA458" s="663"/>
      <c r="GB458" s="663"/>
      <c r="GC458" s="663"/>
      <c r="GD458" s="663"/>
      <c r="GE458" s="663"/>
      <c r="GF458" s="663"/>
      <c r="GG458" s="663"/>
    </row>
    <row r="459" spans="1:189">
      <c r="A459" s="670"/>
      <c r="B459" s="670"/>
      <c r="C459" s="670"/>
      <c r="D459" s="670"/>
      <c r="E459" s="670"/>
      <c r="F459" s="670"/>
      <c r="G459" s="673"/>
      <c r="H459" s="627"/>
      <c r="I459" s="627"/>
      <c r="J459" s="672"/>
      <c r="K459" s="663"/>
      <c r="L459" s="663"/>
      <c r="M459" s="663"/>
      <c r="N459" s="663"/>
      <c r="O459" s="663"/>
      <c r="P459" s="663"/>
      <c r="Q459" s="663"/>
      <c r="R459" s="663"/>
      <c r="S459" s="663"/>
      <c r="T459" s="663"/>
      <c r="U459" s="663"/>
      <c r="V459" s="663"/>
      <c r="W459" s="663"/>
      <c r="X459" s="663"/>
      <c r="Y459" s="663"/>
      <c r="Z459" s="663"/>
      <c r="AA459" s="663"/>
      <c r="AB459" s="663"/>
      <c r="AC459" s="663"/>
      <c r="AD459" s="663"/>
      <c r="AE459" s="663"/>
      <c r="AF459" s="663"/>
      <c r="AG459" s="663"/>
      <c r="AH459" s="663"/>
      <c r="AI459" s="663"/>
      <c r="AJ459" s="663"/>
      <c r="AK459" s="663"/>
      <c r="AL459" s="663"/>
      <c r="AM459" s="663"/>
      <c r="AN459" s="663"/>
      <c r="AO459" s="663"/>
      <c r="AP459" s="663"/>
      <c r="AQ459" s="663"/>
      <c r="AR459" s="663"/>
      <c r="AS459" s="663"/>
      <c r="AT459" s="663"/>
      <c r="AU459" s="663"/>
      <c r="AV459" s="663"/>
      <c r="AW459" s="663"/>
      <c r="AX459" s="663"/>
      <c r="AY459" s="663"/>
      <c r="AZ459" s="663"/>
      <c r="BA459" s="663"/>
      <c r="BB459" s="663"/>
      <c r="BC459" s="663"/>
      <c r="BD459" s="663"/>
      <c r="BE459" s="663"/>
      <c r="BF459" s="663"/>
      <c r="BG459" s="663"/>
      <c r="BH459" s="663"/>
      <c r="BI459" s="663"/>
      <c r="BJ459" s="663"/>
      <c r="BK459" s="663"/>
      <c r="BL459" s="663"/>
      <c r="BM459" s="663"/>
      <c r="BN459" s="663"/>
      <c r="BO459" s="663"/>
      <c r="BP459" s="663"/>
      <c r="BQ459" s="663"/>
      <c r="BR459" s="663"/>
      <c r="BS459" s="663"/>
      <c r="BT459" s="663"/>
      <c r="BU459" s="663"/>
      <c r="BV459" s="663"/>
      <c r="BW459" s="663"/>
      <c r="BX459" s="663"/>
      <c r="BY459" s="663"/>
      <c r="BZ459" s="663"/>
      <c r="CA459" s="663"/>
      <c r="CB459" s="663"/>
      <c r="CC459" s="663"/>
      <c r="CD459" s="663"/>
      <c r="CE459" s="663"/>
      <c r="CF459" s="663"/>
      <c r="CG459" s="663"/>
      <c r="CH459" s="663"/>
      <c r="CI459" s="663"/>
      <c r="CJ459" s="663"/>
      <c r="CK459" s="663"/>
      <c r="CL459" s="663"/>
      <c r="CM459" s="663"/>
      <c r="CN459" s="663"/>
      <c r="CO459" s="663"/>
      <c r="CP459" s="663"/>
      <c r="CQ459" s="663"/>
      <c r="CR459" s="663"/>
      <c r="CS459" s="663"/>
      <c r="CT459" s="663"/>
      <c r="CU459" s="663"/>
      <c r="CV459" s="663"/>
      <c r="CW459" s="663"/>
      <c r="CX459" s="663"/>
      <c r="CY459" s="663"/>
      <c r="CZ459" s="663"/>
      <c r="DA459" s="663"/>
      <c r="DB459" s="663"/>
      <c r="DC459" s="663"/>
      <c r="DD459" s="663"/>
      <c r="DE459" s="663"/>
      <c r="DF459" s="663"/>
      <c r="DG459" s="663"/>
      <c r="DH459" s="663"/>
      <c r="DI459" s="663"/>
      <c r="DJ459" s="663"/>
      <c r="DK459" s="663"/>
      <c r="DL459" s="663"/>
      <c r="DM459" s="663"/>
      <c r="DN459" s="663"/>
      <c r="DO459" s="663"/>
      <c r="DP459" s="663"/>
      <c r="DQ459" s="663"/>
      <c r="DR459" s="663"/>
      <c r="DS459" s="663"/>
      <c r="DT459" s="663"/>
      <c r="DU459" s="663"/>
      <c r="DV459" s="663"/>
      <c r="DW459" s="663"/>
      <c r="DX459" s="663"/>
      <c r="DY459" s="663"/>
      <c r="DZ459" s="663"/>
      <c r="EA459" s="663"/>
      <c r="EB459" s="663"/>
      <c r="EC459" s="663"/>
      <c r="ED459" s="663"/>
      <c r="EE459" s="663"/>
      <c r="EF459" s="663"/>
      <c r="EG459" s="663"/>
      <c r="EH459" s="663"/>
      <c r="EI459" s="663"/>
      <c r="EJ459" s="663"/>
      <c r="EK459" s="663"/>
      <c r="EL459" s="663"/>
      <c r="EM459" s="663"/>
      <c r="EN459" s="663"/>
      <c r="EO459" s="663"/>
      <c r="EP459" s="663"/>
      <c r="EQ459" s="663"/>
      <c r="ER459" s="663"/>
      <c r="ES459" s="663"/>
      <c r="ET459" s="663"/>
      <c r="EU459" s="663"/>
      <c r="EV459" s="663"/>
      <c r="EW459" s="663"/>
      <c r="EX459" s="663"/>
      <c r="EY459" s="663"/>
      <c r="EZ459" s="663"/>
      <c r="FA459" s="663"/>
      <c r="FB459" s="663"/>
      <c r="FC459" s="663"/>
      <c r="FD459" s="663"/>
      <c r="FE459" s="663"/>
      <c r="FF459" s="663"/>
      <c r="FG459" s="663"/>
      <c r="FH459" s="663"/>
      <c r="FI459" s="663"/>
      <c r="FJ459" s="663"/>
      <c r="FK459" s="663"/>
      <c r="FL459" s="663"/>
      <c r="FM459" s="663"/>
      <c r="FN459" s="663"/>
      <c r="FO459" s="663"/>
      <c r="FP459" s="663"/>
      <c r="FQ459" s="663"/>
      <c r="FR459" s="663"/>
      <c r="FS459" s="663"/>
      <c r="FT459" s="663"/>
      <c r="FU459" s="663"/>
      <c r="FV459" s="663"/>
      <c r="FW459" s="663"/>
      <c r="FX459" s="663"/>
      <c r="FY459" s="663"/>
      <c r="FZ459" s="663"/>
      <c r="GA459" s="663"/>
      <c r="GB459" s="663"/>
      <c r="GC459" s="663"/>
      <c r="GD459" s="663"/>
      <c r="GE459" s="663"/>
      <c r="GF459" s="663"/>
      <c r="GG459" s="663"/>
    </row>
    <row r="460" spans="1:189">
      <c r="A460" s="670"/>
      <c r="B460" s="670"/>
      <c r="C460" s="670"/>
      <c r="D460" s="670"/>
      <c r="E460" s="670"/>
      <c r="F460" s="670"/>
      <c r="G460" s="673"/>
      <c r="H460" s="627"/>
      <c r="I460" s="627"/>
      <c r="J460" s="672"/>
      <c r="K460" s="663"/>
      <c r="L460" s="663"/>
      <c r="M460" s="663"/>
      <c r="N460" s="663"/>
      <c r="O460" s="663"/>
      <c r="P460" s="663"/>
      <c r="Q460" s="663"/>
      <c r="R460" s="663"/>
      <c r="S460" s="663"/>
      <c r="T460" s="663"/>
      <c r="U460" s="663"/>
      <c r="V460" s="663"/>
      <c r="W460" s="663"/>
      <c r="X460" s="663"/>
      <c r="Y460" s="663"/>
      <c r="Z460" s="663"/>
      <c r="AA460" s="663"/>
      <c r="AB460" s="663"/>
      <c r="AC460" s="663"/>
      <c r="AD460" s="663"/>
      <c r="AE460" s="663"/>
      <c r="AF460" s="663"/>
      <c r="AG460" s="663"/>
      <c r="AH460" s="663"/>
      <c r="AI460" s="663"/>
      <c r="AJ460" s="663"/>
      <c r="AK460" s="663"/>
      <c r="AL460" s="663"/>
      <c r="AM460" s="663"/>
      <c r="AN460" s="663"/>
      <c r="AO460" s="663"/>
      <c r="AP460" s="663"/>
      <c r="AQ460" s="663"/>
      <c r="AR460" s="663"/>
      <c r="AS460" s="663"/>
      <c r="AT460" s="663"/>
      <c r="AU460" s="663"/>
      <c r="AV460" s="663"/>
      <c r="AW460" s="663"/>
      <c r="AX460" s="663"/>
      <c r="AY460" s="663"/>
      <c r="AZ460" s="663"/>
      <c r="BA460" s="663"/>
      <c r="BB460" s="663"/>
      <c r="BC460" s="663"/>
      <c r="BD460" s="663"/>
      <c r="BE460" s="663"/>
      <c r="BF460" s="663"/>
      <c r="BG460" s="663"/>
      <c r="BH460" s="663"/>
      <c r="BI460" s="663"/>
      <c r="BJ460" s="663"/>
      <c r="BK460" s="663"/>
      <c r="BL460" s="663"/>
      <c r="BM460" s="663"/>
      <c r="BN460" s="663"/>
      <c r="BO460" s="663"/>
      <c r="BP460" s="663"/>
      <c r="BQ460" s="663"/>
      <c r="BR460" s="663"/>
      <c r="BS460" s="663"/>
      <c r="BT460" s="663"/>
      <c r="BU460" s="663"/>
      <c r="BV460" s="663"/>
      <c r="BW460" s="663"/>
      <c r="BX460" s="663"/>
      <c r="BY460" s="663"/>
      <c r="BZ460" s="663"/>
      <c r="CA460" s="663"/>
      <c r="CB460" s="663"/>
      <c r="CC460" s="663"/>
      <c r="CD460" s="663"/>
      <c r="CE460" s="663"/>
      <c r="CF460" s="663"/>
      <c r="CG460" s="663"/>
      <c r="CH460" s="663"/>
      <c r="CI460" s="663"/>
      <c r="CJ460" s="663"/>
      <c r="CK460" s="663"/>
      <c r="CL460" s="663"/>
      <c r="CM460" s="663"/>
      <c r="CN460" s="663"/>
      <c r="CO460" s="663"/>
      <c r="CP460" s="663"/>
      <c r="CQ460" s="663"/>
      <c r="CR460" s="663"/>
      <c r="CS460" s="663"/>
      <c r="CT460" s="663"/>
      <c r="CU460" s="663"/>
      <c r="CV460" s="663"/>
      <c r="CW460" s="663"/>
      <c r="CX460" s="663"/>
      <c r="CY460" s="663"/>
      <c r="CZ460" s="663"/>
      <c r="DA460" s="663"/>
      <c r="DB460" s="663"/>
      <c r="DC460" s="663"/>
      <c r="DD460" s="663"/>
      <c r="DE460" s="663"/>
      <c r="DF460" s="663"/>
      <c r="DG460" s="663"/>
      <c r="DH460" s="663"/>
      <c r="DI460" s="663"/>
      <c r="DJ460" s="663"/>
      <c r="DK460" s="663"/>
      <c r="DL460" s="663"/>
      <c r="DM460" s="663"/>
      <c r="DN460" s="663"/>
      <c r="DO460" s="663"/>
      <c r="DP460" s="663"/>
      <c r="DQ460" s="663"/>
      <c r="DR460" s="663"/>
      <c r="DS460" s="663"/>
      <c r="DT460" s="663"/>
      <c r="DU460" s="663"/>
      <c r="DV460" s="663"/>
      <c r="DW460" s="663"/>
      <c r="DX460" s="663"/>
      <c r="DY460" s="663"/>
      <c r="DZ460" s="663"/>
      <c r="EA460" s="663"/>
      <c r="EB460" s="663"/>
      <c r="EC460" s="663"/>
      <c r="ED460" s="663"/>
      <c r="EE460" s="663"/>
      <c r="EF460" s="663"/>
      <c r="EG460" s="663"/>
      <c r="EH460" s="663"/>
      <c r="EI460" s="663"/>
      <c r="EJ460" s="663"/>
      <c r="EK460" s="663"/>
      <c r="EL460" s="663"/>
      <c r="EM460" s="663"/>
      <c r="EN460" s="663"/>
      <c r="EO460" s="663"/>
      <c r="EP460" s="663"/>
      <c r="EQ460" s="663"/>
      <c r="ER460" s="663"/>
      <c r="ES460" s="663"/>
      <c r="ET460" s="663"/>
      <c r="EU460" s="663"/>
      <c r="EV460" s="663"/>
      <c r="EW460" s="663"/>
      <c r="EX460" s="663"/>
      <c r="EY460" s="663"/>
      <c r="EZ460" s="663"/>
      <c r="FA460" s="663"/>
      <c r="FB460" s="663"/>
      <c r="FC460" s="663"/>
      <c r="FD460" s="663"/>
      <c r="FE460" s="663"/>
      <c r="FF460" s="663"/>
      <c r="FG460" s="663"/>
      <c r="FH460" s="663"/>
      <c r="FI460" s="663"/>
      <c r="FJ460" s="663"/>
      <c r="FK460" s="663"/>
      <c r="FL460" s="663"/>
      <c r="FM460" s="663"/>
      <c r="FN460" s="663"/>
      <c r="FO460" s="663"/>
      <c r="FP460" s="663"/>
      <c r="FQ460" s="663"/>
      <c r="FR460" s="663"/>
      <c r="FS460" s="663"/>
      <c r="FT460" s="663"/>
      <c r="FU460" s="663"/>
      <c r="FV460" s="663"/>
      <c r="FW460" s="663"/>
      <c r="FX460" s="663"/>
      <c r="FY460" s="663"/>
      <c r="FZ460" s="663"/>
      <c r="GA460" s="663"/>
      <c r="GB460" s="663"/>
      <c r="GC460" s="663"/>
      <c r="GD460" s="663"/>
      <c r="GE460" s="663"/>
      <c r="GF460" s="663"/>
      <c r="GG460" s="663"/>
    </row>
    <row r="461" spans="1:189">
      <c r="A461" s="670"/>
      <c r="B461" s="670"/>
      <c r="C461" s="670"/>
      <c r="D461" s="670"/>
      <c r="E461" s="670"/>
      <c r="F461" s="670"/>
      <c r="G461" s="673"/>
      <c r="H461" s="627"/>
      <c r="I461" s="627"/>
      <c r="J461" s="672"/>
      <c r="K461" s="663"/>
      <c r="L461" s="663"/>
      <c r="M461" s="663"/>
      <c r="N461" s="663"/>
      <c r="O461" s="663"/>
      <c r="P461" s="663"/>
      <c r="Q461" s="663"/>
      <c r="R461" s="663"/>
      <c r="S461" s="663"/>
      <c r="T461" s="663"/>
      <c r="U461" s="663"/>
      <c r="V461" s="663"/>
      <c r="W461" s="663"/>
      <c r="X461" s="663"/>
      <c r="Y461" s="663"/>
      <c r="Z461" s="663"/>
      <c r="AA461" s="663"/>
      <c r="AB461" s="663"/>
      <c r="AC461" s="663"/>
      <c r="AD461" s="663"/>
      <c r="AE461" s="663"/>
      <c r="AF461" s="663"/>
      <c r="AG461" s="663"/>
      <c r="AH461" s="663"/>
      <c r="AI461" s="663"/>
      <c r="AJ461" s="663"/>
      <c r="AK461" s="663"/>
      <c r="AL461" s="663"/>
      <c r="AM461" s="663"/>
      <c r="AN461" s="663"/>
      <c r="AO461" s="663"/>
      <c r="AP461" s="663"/>
      <c r="AQ461" s="663"/>
      <c r="AR461" s="663"/>
      <c r="AS461" s="663"/>
      <c r="AT461" s="663"/>
      <c r="AU461" s="663"/>
      <c r="AV461" s="663"/>
      <c r="AW461" s="663"/>
      <c r="AX461" s="663"/>
      <c r="AY461" s="663"/>
      <c r="AZ461" s="663"/>
      <c r="BA461" s="663"/>
      <c r="BB461" s="663"/>
      <c r="BC461" s="663"/>
      <c r="BD461" s="663"/>
      <c r="BE461" s="663"/>
      <c r="BF461" s="663"/>
      <c r="BG461" s="663"/>
      <c r="BH461" s="663"/>
      <c r="BI461" s="663"/>
      <c r="BJ461" s="663"/>
      <c r="BK461" s="663"/>
      <c r="BL461" s="663"/>
      <c r="BM461" s="663"/>
      <c r="BN461" s="663"/>
      <c r="BO461" s="663"/>
      <c r="BP461" s="663"/>
      <c r="BQ461" s="663"/>
      <c r="BR461" s="663"/>
      <c r="BS461" s="663"/>
      <c r="BT461" s="663"/>
      <c r="BU461" s="663"/>
      <c r="BV461" s="663"/>
      <c r="BW461" s="663"/>
      <c r="BX461" s="663"/>
      <c r="BY461" s="663"/>
      <c r="BZ461" s="663"/>
      <c r="CA461" s="663"/>
      <c r="CB461" s="663"/>
      <c r="CC461" s="663"/>
      <c r="CD461" s="663"/>
      <c r="CE461" s="663"/>
      <c r="CF461" s="663"/>
      <c r="CG461" s="663"/>
      <c r="CH461" s="663"/>
      <c r="CI461" s="663"/>
      <c r="CJ461" s="663"/>
      <c r="CK461" s="663"/>
      <c r="CL461" s="663"/>
      <c r="CM461" s="663"/>
      <c r="CN461" s="663"/>
      <c r="CO461" s="663"/>
      <c r="CP461" s="663"/>
      <c r="CQ461" s="663"/>
      <c r="CR461" s="663"/>
      <c r="CS461" s="663"/>
      <c r="CT461" s="663"/>
      <c r="CU461" s="663"/>
      <c r="CV461" s="663"/>
      <c r="CW461" s="663"/>
      <c r="CX461" s="663"/>
      <c r="CY461" s="663"/>
      <c r="CZ461" s="663"/>
      <c r="DA461" s="663"/>
      <c r="DB461" s="663"/>
      <c r="DC461" s="663"/>
      <c r="DD461" s="663"/>
      <c r="DE461" s="663"/>
      <c r="DF461" s="663"/>
      <c r="DG461" s="663"/>
      <c r="DH461" s="663"/>
      <c r="DI461" s="663"/>
      <c r="DJ461" s="663"/>
      <c r="DK461" s="663"/>
      <c r="DL461" s="663"/>
      <c r="DM461" s="663"/>
      <c r="DN461" s="663"/>
      <c r="DO461" s="663"/>
      <c r="DP461" s="663"/>
      <c r="DQ461" s="663"/>
      <c r="DR461" s="663"/>
      <c r="DS461" s="663"/>
      <c r="DT461" s="663"/>
      <c r="DU461" s="663"/>
      <c r="DV461" s="663"/>
      <c r="DW461" s="663"/>
      <c r="DX461" s="663"/>
      <c r="DY461" s="663"/>
      <c r="DZ461" s="663"/>
      <c r="EA461" s="663"/>
      <c r="EB461" s="663"/>
      <c r="EC461" s="663"/>
      <c r="ED461" s="663"/>
      <c r="EE461" s="663"/>
      <c r="EF461" s="663"/>
      <c r="EG461" s="663"/>
      <c r="EH461" s="663"/>
      <c r="EI461" s="663"/>
      <c r="EJ461" s="663"/>
      <c r="EK461" s="663"/>
      <c r="EL461" s="663"/>
      <c r="EM461" s="663"/>
      <c r="EN461" s="663"/>
      <c r="EO461" s="663"/>
      <c r="EP461" s="663"/>
      <c r="EQ461" s="663"/>
      <c r="ER461" s="663"/>
      <c r="ES461" s="663"/>
      <c r="ET461" s="663"/>
      <c r="EU461" s="663"/>
      <c r="EV461" s="663"/>
      <c r="EW461" s="663"/>
      <c r="EX461" s="663"/>
      <c r="EY461" s="663"/>
      <c r="EZ461" s="663"/>
      <c r="FA461" s="663"/>
      <c r="FB461" s="663"/>
      <c r="FC461" s="663"/>
      <c r="FD461" s="663"/>
      <c r="FE461" s="663"/>
      <c r="FF461" s="663"/>
      <c r="FG461" s="663"/>
      <c r="FH461" s="663"/>
      <c r="FI461" s="663"/>
      <c r="FJ461" s="663"/>
      <c r="FK461" s="663"/>
      <c r="FL461" s="663"/>
      <c r="FM461" s="663"/>
      <c r="FN461" s="663"/>
      <c r="FO461" s="663"/>
      <c r="FP461" s="663"/>
      <c r="FQ461" s="663"/>
      <c r="FR461" s="663"/>
      <c r="FS461" s="663"/>
      <c r="FT461" s="663"/>
      <c r="FU461" s="663"/>
      <c r="FV461" s="663"/>
      <c r="FW461" s="663"/>
      <c r="FX461" s="663"/>
      <c r="FY461" s="663"/>
      <c r="FZ461" s="663"/>
      <c r="GA461" s="663"/>
      <c r="GB461" s="663"/>
      <c r="GC461" s="663"/>
      <c r="GD461" s="663"/>
      <c r="GE461" s="663"/>
      <c r="GF461" s="663"/>
      <c r="GG461" s="663"/>
    </row>
    <row r="462" spans="1:189">
      <c r="A462" s="670"/>
      <c r="B462" s="670"/>
      <c r="C462" s="670"/>
      <c r="D462" s="670"/>
      <c r="E462" s="670"/>
      <c r="F462" s="670"/>
      <c r="G462" s="673"/>
      <c r="H462" s="627"/>
      <c r="I462" s="627"/>
      <c r="J462" s="672"/>
      <c r="K462" s="663"/>
      <c r="L462" s="663"/>
      <c r="M462" s="663"/>
      <c r="N462" s="663"/>
      <c r="O462" s="663"/>
      <c r="P462" s="663"/>
      <c r="Q462" s="663"/>
      <c r="R462" s="663"/>
      <c r="S462" s="663"/>
      <c r="T462" s="663"/>
      <c r="U462" s="663"/>
      <c r="V462" s="663"/>
      <c r="W462" s="663"/>
      <c r="X462" s="663"/>
      <c r="Y462" s="663"/>
      <c r="Z462" s="663"/>
      <c r="AA462" s="663"/>
      <c r="AB462" s="663"/>
      <c r="AC462" s="663"/>
      <c r="AD462" s="663"/>
      <c r="AE462" s="663"/>
      <c r="AF462" s="663"/>
      <c r="AG462" s="663"/>
      <c r="AH462" s="663"/>
      <c r="AI462" s="663"/>
      <c r="AJ462" s="663"/>
      <c r="AK462" s="663"/>
      <c r="AL462" s="663"/>
      <c r="AM462" s="663"/>
      <c r="AN462" s="663"/>
      <c r="AO462" s="663"/>
      <c r="AP462" s="663"/>
      <c r="AQ462" s="663"/>
      <c r="AR462" s="663"/>
      <c r="AS462" s="663"/>
      <c r="AT462" s="663"/>
      <c r="AU462" s="663"/>
      <c r="AV462" s="663"/>
      <c r="AW462" s="663"/>
      <c r="AX462" s="663"/>
      <c r="AY462" s="663"/>
      <c r="AZ462" s="663"/>
      <c r="BA462" s="663"/>
      <c r="BB462" s="663"/>
      <c r="BC462" s="663"/>
      <c r="BD462" s="663"/>
      <c r="BE462" s="663"/>
      <c r="BF462" s="663"/>
      <c r="BG462" s="663"/>
      <c r="BH462" s="663"/>
      <c r="BI462" s="663"/>
      <c r="BJ462" s="663"/>
      <c r="BK462" s="663"/>
      <c r="BL462" s="663"/>
      <c r="BM462" s="663"/>
      <c r="BN462" s="663"/>
      <c r="BO462" s="663"/>
      <c r="BP462" s="663"/>
      <c r="BQ462" s="663"/>
      <c r="BR462" s="663"/>
      <c r="BS462" s="663"/>
      <c r="BT462" s="663"/>
      <c r="BU462" s="663"/>
      <c r="BV462" s="663"/>
      <c r="BW462" s="663"/>
      <c r="BX462" s="663"/>
      <c r="BY462" s="663"/>
      <c r="BZ462" s="663"/>
      <c r="CA462" s="663"/>
      <c r="CB462" s="663"/>
      <c r="CC462" s="663"/>
      <c r="CD462" s="663"/>
      <c r="CE462" s="663"/>
      <c r="CF462" s="663"/>
      <c r="CG462" s="663"/>
      <c r="CH462" s="663"/>
      <c r="CI462" s="663"/>
      <c r="CJ462" s="663"/>
      <c r="CK462" s="663"/>
      <c r="CL462" s="663"/>
      <c r="CM462" s="663"/>
      <c r="CN462" s="663"/>
      <c r="CO462" s="663"/>
      <c r="CP462" s="663"/>
      <c r="CQ462" s="663"/>
      <c r="CR462" s="663"/>
      <c r="CS462" s="663"/>
      <c r="CT462" s="663"/>
      <c r="CU462" s="663"/>
      <c r="CV462" s="663"/>
      <c r="CW462" s="663"/>
      <c r="CX462" s="663"/>
      <c r="CY462" s="663"/>
      <c r="CZ462" s="663"/>
      <c r="DA462" s="663"/>
      <c r="DB462" s="663"/>
      <c r="DC462" s="663"/>
      <c r="DD462" s="663"/>
      <c r="DE462" s="663"/>
      <c r="DF462" s="663"/>
      <c r="DG462" s="663"/>
      <c r="DH462" s="663"/>
      <c r="DI462" s="663"/>
      <c r="DJ462" s="663"/>
      <c r="DK462" s="663"/>
      <c r="DL462" s="663"/>
      <c r="DM462" s="663"/>
      <c r="DN462" s="663"/>
      <c r="DO462" s="663"/>
      <c r="DP462" s="663"/>
      <c r="DQ462" s="663"/>
      <c r="DR462" s="663"/>
      <c r="DS462" s="663"/>
      <c r="DT462" s="663"/>
      <c r="DU462" s="663"/>
      <c r="DV462" s="663"/>
      <c r="DW462" s="663"/>
      <c r="DX462" s="663"/>
      <c r="DY462" s="663"/>
      <c r="DZ462" s="663"/>
      <c r="EA462" s="663"/>
      <c r="EB462" s="663"/>
      <c r="EC462" s="663"/>
      <c r="ED462" s="663"/>
      <c r="EE462" s="663"/>
      <c r="EF462" s="663"/>
      <c r="EG462" s="663"/>
      <c r="EH462" s="663"/>
      <c r="EI462" s="663"/>
      <c r="EJ462" s="663"/>
      <c r="EK462" s="663"/>
      <c r="EL462" s="663"/>
      <c r="EM462" s="663"/>
      <c r="EN462" s="663"/>
      <c r="EO462" s="663"/>
      <c r="EP462" s="663"/>
      <c r="EQ462" s="663"/>
      <c r="ER462" s="663"/>
      <c r="ES462" s="663"/>
      <c r="ET462" s="663"/>
      <c r="EU462" s="663"/>
      <c r="EV462" s="663"/>
      <c r="EW462" s="663"/>
      <c r="EX462" s="663"/>
      <c r="EY462" s="663"/>
      <c r="EZ462" s="663"/>
      <c r="FA462" s="663"/>
      <c r="FB462" s="663"/>
      <c r="FC462" s="663"/>
      <c r="FD462" s="663"/>
      <c r="FE462" s="663"/>
      <c r="FF462" s="663"/>
      <c r="FG462" s="663"/>
      <c r="FH462" s="663"/>
      <c r="FI462" s="663"/>
      <c r="FJ462" s="663"/>
      <c r="FK462" s="663"/>
      <c r="FL462" s="663"/>
      <c r="FM462" s="663"/>
      <c r="FN462" s="663"/>
      <c r="FO462" s="663"/>
      <c r="FP462" s="663"/>
      <c r="FQ462" s="663"/>
      <c r="FR462" s="663"/>
      <c r="FS462" s="663"/>
      <c r="FT462" s="663"/>
      <c r="FU462" s="663"/>
      <c r="FV462" s="663"/>
      <c r="FW462" s="663"/>
      <c r="FX462" s="663"/>
      <c r="FY462" s="663"/>
      <c r="FZ462" s="663"/>
      <c r="GA462" s="663"/>
      <c r="GB462" s="663"/>
      <c r="GC462" s="663"/>
      <c r="GD462" s="663"/>
      <c r="GE462" s="663"/>
      <c r="GF462" s="663"/>
      <c r="GG462" s="663"/>
    </row>
    <row r="463" spans="1:189">
      <c r="A463" s="670"/>
      <c r="B463" s="670"/>
      <c r="C463" s="670"/>
      <c r="D463" s="670"/>
      <c r="E463" s="670"/>
      <c r="F463" s="670"/>
      <c r="G463" s="673"/>
      <c r="H463" s="627"/>
      <c r="I463" s="627"/>
      <c r="J463" s="672"/>
      <c r="K463" s="663"/>
      <c r="L463" s="663"/>
      <c r="M463" s="663"/>
      <c r="N463" s="663"/>
      <c r="O463" s="663"/>
      <c r="P463" s="663"/>
      <c r="Q463" s="663"/>
      <c r="R463" s="663"/>
      <c r="S463" s="663"/>
      <c r="T463" s="663"/>
      <c r="U463" s="663"/>
      <c r="V463" s="663"/>
      <c r="W463" s="663"/>
      <c r="X463" s="663"/>
      <c r="Y463" s="663"/>
      <c r="Z463" s="663"/>
      <c r="AA463" s="663"/>
      <c r="AB463" s="663"/>
      <c r="AC463" s="663"/>
      <c r="AD463" s="663"/>
      <c r="AE463" s="663"/>
      <c r="AF463" s="663"/>
      <c r="AG463" s="663"/>
      <c r="AH463" s="663"/>
      <c r="AI463" s="663"/>
      <c r="AJ463" s="663"/>
      <c r="AK463" s="663"/>
      <c r="AL463" s="663"/>
      <c r="AM463" s="663"/>
      <c r="AN463" s="663"/>
      <c r="AO463" s="663"/>
      <c r="AP463" s="663"/>
      <c r="AQ463" s="663"/>
      <c r="AR463" s="663"/>
      <c r="AS463" s="663"/>
      <c r="AT463" s="663"/>
      <c r="AU463" s="663"/>
      <c r="AV463" s="663"/>
      <c r="AW463" s="663"/>
      <c r="AX463" s="663"/>
      <c r="AY463" s="663"/>
      <c r="AZ463" s="663"/>
      <c r="BA463" s="663"/>
      <c r="BB463" s="663"/>
      <c r="BC463" s="663"/>
      <c r="BD463" s="663"/>
      <c r="BE463" s="663"/>
      <c r="BF463" s="663"/>
      <c r="BG463" s="663"/>
      <c r="BH463" s="663"/>
      <c r="BI463" s="663"/>
      <c r="BJ463" s="663"/>
      <c r="BK463" s="663"/>
      <c r="BL463" s="663"/>
      <c r="BM463" s="663"/>
      <c r="BN463" s="663"/>
      <c r="BO463" s="663"/>
      <c r="BP463" s="663"/>
      <c r="BQ463" s="663"/>
      <c r="BR463" s="663"/>
      <c r="BS463" s="663"/>
      <c r="BT463" s="663"/>
      <c r="BU463" s="663"/>
      <c r="BV463" s="663"/>
      <c r="BW463" s="663"/>
      <c r="BX463" s="663"/>
      <c r="BY463" s="663"/>
      <c r="BZ463" s="663"/>
      <c r="CA463" s="663"/>
      <c r="CB463" s="663"/>
      <c r="CC463" s="663"/>
      <c r="CD463" s="663"/>
      <c r="CE463" s="663"/>
      <c r="CF463" s="663"/>
      <c r="CG463" s="663"/>
      <c r="CH463" s="663"/>
      <c r="CI463" s="663"/>
      <c r="CJ463" s="663"/>
      <c r="CK463" s="663"/>
      <c r="CL463" s="663"/>
      <c r="CM463" s="663"/>
      <c r="CN463" s="663"/>
      <c r="CO463" s="663"/>
      <c r="CP463" s="663"/>
      <c r="CQ463" s="663"/>
      <c r="CR463" s="663"/>
      <c r="CS463" s="663"/>
      <c r="CT463" s="663"/>
      <c r="CU463" s="663"/>
      <c r="CV463" s="663"/>
      <c r="CW463" s="663"/>
      <c r="CX463" s="663"/>
      <c r="CY463" s="663"/>
      <c r="CZ463" s="663"/>
      <c r="DA463" s="663"/>
      <c r="DB463" s="663"/>
      <c r="DC463" s="663"/>
      <c r="DD463" s="663"/>
      <c r="DE463" s="663"/>
      <c r="DF463" s="663"/>
      <c r="DG463" s="663"/>
      <c r="DH463" s="663"/>
      <c r="DI463" s="663"/>
      <c r="DJ463" s="663"/>
      <c r="DK463" s="663"/>
      <c r="DL463" s="663"/>
      <c r="DM463" s="663"/>
      <c r="DN463" s="663"/>
      <c r="DO463" s="663"/>
      <c r="DP463" s="663"/>
      <c r="DQ463" s="663"/>
      <c r="DR463" s="663"/>
      <c r="DS463" s="663"/>
      <c r="DT463" s="663"/>
      <c r="DU463" s="663"/>
      <c r="DV463" s="663"/>
      <c r="DW463" s="663"/>
      <c r="DX463" s="663"/>
      <c r="DY463" s="663"/>
      <c r="DZ463" s="663"/>
      <c r="EA463" s="663"/>
      <c r="EB463" s="663"/>
      <c r="EC463" s="663"/>
      <c r="ED463" s="663"/>
      <c r="EE463" s="663"/>
      <c r="EF463" s="663"/>
      <c r="EG463" s="663"/>
      <c r="EH463" s="663"/>
      <c r="EI463" s="663"/>
      <c r="EJ463" s="663"/>
      <c r="EK463" s="663"/>
      <c r="EL463" s="663"/>
      <c r="EM463" s="663"/>
      <c r="EN463" s="663"/>
      <c r="EO463" s="663"/>
      <c r="EP463" s="663"/>
      <c r="EQ463" s="663"/>
      <c r="ER463" s="663"/>
      <c r="ES463" s="663"/>
      <c r="ET463" s="663"/>
      <c r="EU463" s="663"/>
      <c r="EV463" s="663"/>
      <c r="EW463" s="663"/>
      <c r="EX463" s="663"/>
      <c r="EY463" s="663"/>
      <c r="EZ463" s="663"/>
      <c r="FA463" s="663"/>
      <c r="FB463" s="663"/>
      <c r="FC463" s="663"/>
      <c r="FD463" s="663"/>
      <c r="FE463" s="663"/>
      <c r="FF463" s="663"/>
      <c r="FG463" s="663"/>
      <c r="FH463" s="663"/>
      <c r="FI463" s="663"/>
      <c r="FJ463" s="663"/>
      <c r="FK463" s="663"/>
      <c r="FL463" s="663"/>
      <c r="FM463" s="663"/>
      <c r="FN463" s="663"/>
      <c r="FO463" s="663"/>
      <c r="FP463" s="663"/>
      <c r="FQ463" s="663"/>
      <c r="FR463" s="663"/>
      <c r="FS463" s="663"/>
      <c r="FT463" s="663"/>
      <c r="FU463" s="663"/>
      <c r="FV463" s="663"/>
      <c r="FW463" s="663"/>
      <c r="FX463" s="663"/>
      <c r="FY463" s="663"/>
      <c r="FZ463" s="663"/>
      <c r="GA463" s="663"/>
      <c r="GB463" s="663"/>
      <c r="GC463" s="663"/>
      <c r="GD463" s="663"/>
      <c r="GE463" s="663"/>
      <c r="GF463" s="663"/>
      <c r="GG463" s="663"/>
    </row>
    <row r="464" spans="1:189">
      <c r="A464" s="670"/>
      <c r="B464" s="670"/>
      <c r="C464" s="670"/>
      <c r="D464" s="670"/>
      <c r="E464" s="670"/>
      <c r="F464" s="670"/>
      <c r="G464" s="673"/>
      <c r="H464" s="627"/>
      <c r="I464" s="627"/>
      <c r="J464" s="672"/>
      <c r="K464" s="663"/>
      <c r="L464" s="663"/>
      <c r="M464" s="663"/>
      <c r="N464" s="663"/>
      <c r="O464" s="663"/>
      <c r="P464" s="663"/>
      <c r="Q464" s="663"/>
      <c r="R464" s="663"/>
      <c r="S464" s="663"/>
      <c r="T464" s="663"/>
      <c r="U464" s="663"/>
      <c r="V464" s="663"/>
      <c r="W464" s="663"/>
      <c r="X464" s="663"/>
      <c r="Y464" s="663"/>
      <c r="Z464" s="663"/>
      <c r="AA464" s="663"/>
      <c r="AB464" s="663"/>
      <c r="AC464" s="663"/>
      <c r="AD464" s="663"/>
      <c r="AE464" s="663"/>
      <c r="AF464" s="663"/>
      <c r="AG464" s="663"/>
      <c r="AH464" s="663"/>
      <c r="AI464" s="663"/>
      <c r="AJ464" s="663"/>
      <c r="AK464" s="663"/>
      <c r="AL464" s="663"/>
      <c r="AM464" s="663"/>
      <c r="AN464" s="663"/>
      <c r="AO464" s="663"/>
      <c r="AP464" s="663"/>
      <c r="AQ464" s="663"/>
      <c r="AR464" s="663"/>
      <c r="AS464" s="663"/>
      <c r="AT464" s="663"/>
      <c r="AU464" s="663"/>
      <c r="AV464" s="663"/>
      <c r="AW464" s="663"/>
      <c r="AX464" s="663"/>
      <c r="AY464" s="663"/>
      <c r="AZ464" s="663"/>
      <c r="BA464" s="663"/>
      <c r="BB464" s="663"/>
      <c r="BC464" s="663"/>
      <c r="BD464" s="663"/>
      <c r="BE464" s="663"/>
      <c r="BF464" s="663"/>
      <c r="BG464" s="663"/>
      <c r="BH464" s="663"/>
      <c r="BI464" s="663"/>
      <c r="BJ464" s="663"/>
      <c r="BK464" s="663"/>
      <c r="BL464" s="663"/>
      <c r="BM464" s="663"/>
      <c r="BN464" s="663"/>
      <c r="BO464" s="663"/>
      <c r="BP464" s="663"/>
      <c r="BQ464" s="663"/>
      <c r="BR464" s="663"/>
      <c r="BS464" s="663"/>
      <c r="BT464" s="663"/>
      <c r="BU464" s="663"/>
      <c r="BV464" s="663"/>
      <c r="BW464" s="663"/>
      <c r="BX464" s="663"/>
      <c r="BY464" s="663"/>
      <c r="BZ464" s="663"/>
      <c r="CA464" s="663"/>
      <c r="CB464" s="663"/>
      <c r="CC464" s="663"/>
      <c r="CD464" s="663"/>
      <c r="CE464" s="663"/>
      <c r="CF464" s="663"/>
      <c r="CG464" s="663"/>
      <c r="CH464" s="663"/>
      <c r="CI464" s="663"/>
      <c r="CJ464" s="663"/>
      <c r="CK464" s="663"/>
      <c r="CL464" s="663"/>
      <c r="CM464" s="663"/>
      <c r="CN464" s="663"/>
      <c r="CO464" s="663"/>
      <c r="CP464" s="663"/>
      <c r="CQ464" s="663"/>
      <c r="CR464" s="663"/>
      <c r="CS464" s="663"/>
      <c r="CT464" s="663"/>
      <c r="CU464" s="663"/>
      <c r="CV464" s="663"/>
      <c r="CW464" s="663"/>
      <c r="CX464" s="663"/>
      <c r="CY464" s="663"/>
      <c r="CZ464" s="663"/>
      <c r="DA464" s="663"/>
      <c r="DB464" s="663"/>
      <c r="DC464" s="663"/>
      <c r="DD464" s="663"/>
      <c r="DE464" s="663"/>
      <c r="DF464" s="663"/>
      <c r="DG464" s="663"/>
      <c r="DH464" s="663"/>
      <c r="DI464" s="663"/>
      <c r="DJ464" s="663"/>
      <c r="DK464" s="663"/>
      <c r="DL464" s="663"/>
      <c r="DM464" s="663"/>
      <c r="DN464" s="663"/>
      <c r="DO464" s="663"/>
      <c r="DP464" s="663"/>
      <c r="DQ464" s="663"/>
      <c r="DR464" s="663"/>
      <c r="DS464" s="663"/>
      <c r="DT464" s="663"/>
      <c r="DU464" s="663"/>
      <c r="DV464" s="663"/>
      <c r="DW464" s="663"/>
      <c r="DX464" s="663"/>
      <c r="DY464" s="663"/>
      <c r="DZ464" s="663"/>
      <c r="EA464" s="663"/>
      <c r="EB464" s="663"/>
      <c r="EC464" s="663"/>
      <c r="ED464" s="663"/>
      <c r="EE464" s="663"/>
      <c r="EF464" s="663"/>
      <c r="EG464" s="663"/>
      <c r="EH464" s="663"/>
      <c r="EI464" s="663"/>
      <c r="EJ464" s="663"/>
      <c r="EK464" s="663"/>
      <c r="EL464" s="663"/>
      <c r="EM464" s="663"/>
      <c r="EN464" s="663"/>
      <c r="EO464" s="663"/>
      <c r="EP464" s="663"/>
      <c r="EQ464" s="663"/>
      <c r="ER464" s="663"/>
      <c r="ES464" s="663"/>
      <c r="ET464" s="663"/>
      <c r="EU464" s="663"/>
      <c r="EV464" s="663"/>
      <c r="EW464" s="663"/>
      <c r="EX464" s="663"/>
      <c r="EY464" s="663"/>
      <c r="EZ464" s="663"/>
      <c r="FA464" s="663"/>
      <c r="FB464" s="663"/>
      <c r="FC464" s="663"/>
      <c r="FD464" s="663"/>
      <c r="FE464" s="663"/>
      <c r="FF464" s="663"/>
      <c r="FG464" s="663"/>
      <c r="FH464" s="663"/>
      <c r="FI464" s="663"/>
      <c r="FJ464" s="663"/>
      <c r="FK464" s="663"/>
      <c r="FL464" s="663"/>
      <c r="FM464" s="663"/>
      <c r="FN464" s="663"/>
      <c r="FO464" s="663"/>
      <c r="FP464" s="663"/>
      <c r="FQ464" s="663"/>
      <c r="FR464" s="663"/>
      <c r="FS464" s="663"/>
      <c r="FT464" s="663"/>
      <c r="FU464" s="663"/>
      <c r="FV464" s="663"/>
      <c r="FW464" s="663"/>
      <c r="FX464" s="663"/>
      <c r="FY464" s="663"/>
      <c r="FZ464" s="663"/>
      <c r="GA464" s="663"/>
      <c r="GB464" s="663"/>
      <c r="GC464" s="663"/>
      <c r="GD464" s="663"/>
      <c r="GE464" s="663"/>
      <c r="GF464" s="663"/>
      <c r="GG464" s="663"/>
    </row>
    <row r="465" spans="1:189">
      <c r="A465" s="670"/>
      <c r="B465" s="670"/>
      <c r="C465" s="670"/>
      <c r="D465" s="670"/>
      <c r="E465" s="670"/>
      <c r="F465" s="670"/>
      <c r="G465" s="673"/>
      <c r="H465" s="627"/>
      <c r="I465" s="627"/>
      <c r="J465" s="672"/>
      <c r="K465" s="663"/>
      <c r="L465" s="663"/>
      <c r="M465" s="663"/>
      <c r="N465" s="663"/>
      <c r="O465" s="663"/>
      <c r="P465" s="663"/>
      <c r="Q465" s="663"/>
      <c r="R465" s="663"/>
      <c r="S465" s="663"/>
      <c r="T465" s="663"/>
      <c r="U465" s="663"/>
      <c r="V465" s="663"/>
      <c r="W465" s="663"/>
      <c r="X465" s="663"/>
      <c r="Y465" s="663"/>
      <c r="Z465" s="663"/>
      <c r="AA465" s="663"/>
      <c r="AB465" s="663"/>
      <c r="AC465" s="663"/>
      <c r="AD465" s="663"/>
      <c r="AE465" s="663"/>
      <c r="AF465" s="663"/>
      <c r="AG465" s="663"/>
      <c r="AH465" s="663"/>
      <c r="AI465" s="663"/>
      <c r="AJ465" s="663"/>
      <c r="AK465" s="663"/>
      <c r="AL465" s="663"/>
      <c r="AM465" s="663"/>
      <c r="AN465" s="663"/>
      <c r="AO465" s="663"/>
      <c r="AP465" s="663"/>
      <c r="AQ465" s="663"/>
      <c r="AR465" s="663"/>
      <c r="AS465" s="663"/>
      <c r="AT465" s="663"/>
      <c r="AU465" s="663"/>
      <c r="AV465" s="663"/>
      <c r="AW465" s="663"/>
      <c r="AX465" s="663"/>
      <c r="AY465" s="663"/>
      <c r="AZ465" s="663"/>
      <c r="BA465" s="663"/>
      <c r="BB465" s="663"/>
      <c r="BC465" s="663"/>
      <c r="BD465" s="663"/>
      <c r="BE465" s="663"/>
      <c r="BF465" s="663"/>
      <c r="BG465" s="663"/>
      <c r="BH465" s="663"/>
      <c r="BI465" s="663"/>
      <c r="BJ465" s="663"/>
      <c r="BK465" s="663"/>
      <c r="BL465" s="663"/>
      <c r="BM465" s="663"/>
      <c r="BN465" s="663"/>
      <c r="BO465" s="663"/>
      <c r="BP465" s="663"/>
      <c r="BQ465" s="663"/>
      <c r="BR465" s="663"/>
      <c r="BS465" s="663"/>
      <c r="BT465" s="663"/>
      <c r="BU465" s="663"/>
      <c r="BV465" s="663"/>
      <c r="BW465" s="663"/>
      <c r="BX465" s="663"/>
      <c r="BY465" s="663"/>
      <c r="BZ465" s="663"/>
      <c r="CA465" s="663"/>
      <c r="CB465" s="663"/>
      <c r="CC465" s="663"/>
      <c r="CD465" s="663"/>
      <c r="CE465" s="663"/>
      <c r="CF465" s="663"/>
      <c r="CG465" s="663"/>
      <c r="CH465" s="663"/>
      <c r="CI465" s="663"/>
      <c r="CJ465" s="663"/>
      <c r="CK465" s="663"/>
      <c r="CL465" s="663"/>
      <c r="CM465" s="663"/>
      <c r="CN465" s="663"/>
      <c r="CO465" s="663"/>
      <c r="CP465" s="663"/>
      <c r="CQ465" s="663"/>
      <c r="CR465" s="663"/>
      <c r="CS465" s="663"/>
      <c r="CT465" s="663"/>
      <c r="CU465" s="663"/>
      <c r="CV465" s="663"/>
      <c r="CW465" s="663"/>
      <c r="CX465" s="663"/>
      <c r="CY465" s="663"/>
      <c r="CZ465" s="663"/>
      <c r="DA465" s="663"/>
      <c r="DB465" s="663"/>
      <c r="DC465" s="663"/>
      <c r="DD465" s="663"/>
      <c r="DE465" s="663"/>
      <c r="DF465" s="663"/>
      <c r="DG465" s="663"/>
      <c r="DH465" s="663"/>
      <c r="DI465" s="663"/>
      <c r="DJ465" s="663"/>
      <c r="DK465" s="663"/>
      <c r="DL465" s="663"/>
      <c r="DM465" s="663"/>
      <c r="DN465" s="663"/>
      <c r="DO465" s="663"/>
      <c r="DP465" s="663"/>
      <c r="DQ465" s="663"/>
      <c r="DR465" s="663"/>
      <c r="DS465" s="663"/>
      <c r="DT465" s="663"/>
      <c r="DU465" s="663"/>
      <c r="DV465" s="663"/>
      <c r="DW465" s="663"/>
      <c r="DX465" s="663"/>
      <c r="DY465" s="663"/>
      <c r="DZ465" s="663"/>
      <c r="EA465" s="663"/>
      <c r="EB465" s="663"/>
      <c r="EC465" s="663"/>
      <c r="ED465" s="663"/>
      <c r="EE465" s="663"/>
      <c r="EF465" s="663"/>
      <c r="EG465" s="663"/>
      <c r="EH465" s="663"/>
      <c r="EI465" s="663"/>
      <c r="EJ465" s="663"/>
      <c r="EK465" s="663"/>
      <c r="EL465" s="663"/>
      <c r="EM465" s="663"/>
      <c r="EN465" s="663"/>
      <c r="EO465" s="663"/>
      <c r="EP465" s="663"/>
      <c r="EQ465" s="663"/>
      <c r="ER465" s="663"/>
      <c r="ES465" s="663"/>
      <c r="ET465" s="663"/>
      <c r="EU465" s="663"/>
      <c r="EV465" s="663"/>
      <c r="EW465" s="663"/>
      <c r="EX465" s="663"/>
      <c r="EY465" s="663"/>
      <c r="EZ465" s="663"/>
      <c r="FA465" s="663"/>
      <c r="FB465" s="663"/>
      <c r="FC465" s="663"/>
      <c r="FD465" s="663"/>
      <c r="FE465" s="663"/>
      <c r="FF465" s="663"/>
      <c r="FG465" s="663"/>
      <c r="FH465" s="663"/>
      <c r="FI465" s="663"/>
      <c r="FJ465" s="663"/>
      <c r="FK465" s="663"/>
      <c r="FL465" s="663"/>
      <c r="FM465" s="663"/>
      <c r="FN465" s="663"/>
      <c r="FO465" s="663"/>
      <c r="FP465" s="663"/>
      <c r="FQ465" s="663"/>
      <c r="FR465" s="663"/>
      <c r="FS465" s="663"/>
      <c r="FT465" s="663"/>
      <c r="FU465" s="663"/>
      <c r="FV465" s="663"/>
      <c r="FW465" s="663"/>
      <c r="FX465" s="663"/>
      <c r="FY465" s="663"/>
      <c r="FZ465" s="663"/>
      <c r="GA465" s="663"/>
      <c r="GB465" s="663"/>
      <c r="GC465" s="663"/>
      <c r="GD465" s="663"/>
      <c r="GE465" s="663"/>
      <c r="GF465" s="663"/>
      <c r="GG465" s="663"/>
    </row>
    <row r="466" spans="1:189">
      <c r="A466" s="670"/>
      <c r="B466" s="670"/>
      <c r="C466" s="670"/>
      <c r="D466" s="670"/>
      <c r="E466" s="670"/>
      <c r="F466" s="670"/>
      <c r="G466" s="673"/>
      <c r="H466" s="627"/>
      <c r="I466" s="627"/>
      <c r="J466" s="672"/>
      <c r="K466" s="663"/>
      <c r="L466" s="663"/>
      <c r="M466" s="663"/>
      <c r="N466" s="663"/>
      <c r="O466" s="663"/>
      <c r="P466" s="663"/>
      <c r="Q466" s="663"/>
      <c r="R466" s="663"/>
      <c r="S466" s="663"/>
      <c r="T466" s="663"/>
      <c r="U466" s="663"/>
      <c r="V466" s="663"/>
      <c r="W466" s="663"/>
      <c r="X466" s="663"/>
      <c r="Y466" s="663"/>
      <c r="Z466" s="663"/>
      <c r="AA466" s="663"/>
      <c r="AB466" s="663"/>
      <c r="AC466" s="663"/>
      <c r="AD466" s="663"/>
      <c r="AE466" s="663"/>
      <c r="AF466" s="663"/>
      <c r="AG466" s="663"/>
      <c r="AH466" s="663"/>
      <c r="AI466" s="663"/>
      <c r="AJ466" s="663"/>
      <c r="AK466" s="663"/>
      <c r="AL466" s="663"/>
      <c r="AM466" s="663"/>
      <c r="AN466" s="663"/>
      <c r="AO466" s="663"/>
      <c r="AP466" s="663"/>
      <c r="AQ466" s="663"/>
      <c r="AR466" s="663"/>
      <c r="AS466" s="663"/>
      <c r="AT466" s="663"/>
      <c r="AU466" s="663"/>
      <c r="AV466" s="663"/>
      <c r="AW466" s="663"/>
      <c r="AX466" s="663"/>
      <c r="AY466" s="663"/>
      <c r="AZ466" s="663"/>
      <c r="BA466" s="663"/>
      <c r="BB466" s="663"/>
      <c r="BC466" s="663"/>
      <c r="BD466" s="663"/>
      <c r="BE466" s="663"/>
      <c r="BF466" s="663"/>
      <c r="BG466" s="663"/>
      <c r="BH466" s="663"/>
      <c r="BI466" s="663"/>
      <c r="BJ466" s="663"/>
      <c r="BK466" s="663"/>
      <c r="BL466" s="663"/>
      <c r="BM466" s="663"/>
      <c r="BN466" s="663"/>
      <c r="BO466" s="663"/>
      <c r="BP466" s="663"/>
      <c r="BQ466" s="663"/>
      <c r="BR466" s="663"/>
      <c r="BS466" s="663"/>
      <c r="BT466" s="663"/>
      <c r="BU466" s="663"/>
      <c r="BV466" s="663"/>
      <c r="BW466" s="663"/>
      <c r="BX466" s="663"/>
      <c r="BY466" s="663"/>
      <c r="BZ466" s="663"/>
      <c r="CA466" s="663"/>
      <c r="CB466" s="663"/>
      <c r="CC466" s="663"/>
      <c r="CD466" s="663"/>
      <c r="CE466" s="663"/>
      <c r="CF466" s="663"/>
      <c r="CG466" s="663"/>
      <c r="CH466" s="663"/>
      <c r="CI466" s="663"/>
      <c r="CJ466" s="663"/>
      <c r="CK466" s="663"/>
      <c r="CL466" s="663"/>
      <c r="CM466" s="663"/>
      <c r="CN466" s="663"/>
      <c r="CO466" s="663"/>
      <c r="CP466" s="663"/>
      <c r="CQ466" s="663"/>
      <c r="CR466" s="663"/>
      <c r="CS466" s="663"/>
      <c r="CT466" s="663"/>
      <c r="CU466" s="663"/>
      <c r="CV466" s="663"/>
      <c r="CW466" s="663"/>
      <c r="CX466" s="663"/>
      <c r="CY466" s="663"/>
      <c r="CZ466" s="663"/>
      <c r="DA466" s="663"/>
      <c r="DB466" s="663"/>
      <c r="DC466" s="663"/>
      <c r="DD466" s="663"/>
      <c r="DE466" s="663"/>
      <c r="DF466" s="663"/>
      <c r="DG466" s="663"/>
      <c r="DH466" s="663"/>
      <c r="DI466" s="663"/>
      <c r="DJ466" s="663"/>
      <c r="DK466" s="663"/>
      <c r="DL466" s="663"/>
      <c r="DM466" s="663"/>
      <c r="DN466" s="663"/>
      <c r="DO466" s="663"/>
      <c r="DP466" s="663"/>
      <c r="DQ466" s="663"/>
      <c r="DR466" s="663"/>
      <c r="DS466" s="663"/>
      <c r="DT466" s="663"/>
      <c r="DU466" s="663"/>
      <c r="DV466" s="663"/>
      <c r="DW466" s="663"/>
      <c r="DX466" s="663"/>
      <c r="DY466" s="663"/>
      <c r="DZ466" s="663"/>
      <c r="EA466" s="663"/>
      <c r="EB466" s="663"/>
      <c r="EC466" s="663"/>
      <c r="ED466" s="663"/>
      <c r="EE466" s="663"/>
      <c r="EF466" s="663"/>
      <c r="EG466" s="663"/>
      <c r="EH466" s="663"/>
      <c r="EI466" s="663"/>
      <c r="EJ466" s="663"/>
      <c r="EK466" s="663"/>
      <c r="EL466" s="663"/>
      <c r="EM466" s="663"/>
      <c r="EN466" s="663"/>
      <c r="EO466" s="663"/>
      <c r="EP466" s="663"/>
      <c r="EQ466" s="663"/>
      <c r="ER466" s="663"/>
      <c r="ES466" s="663"/>
      <c r="ET466" s="663"/>
      <c r="EU466" s="663"/>
      <c r="EV466" s="663"/>
      <c r="EW466" s="663"/>
      <c r="EX466" s="663"/>
      <c r="EY466" s="663"/>
      <c r="EZ466" s="663"/>
      <c r="FA466" s="663"/>
      <c r="FB466" s="663"/>
      <c r="FC466" s="663"/>
      <c r="FD466" s="663"/>
      <c r="FE466" s="663"/>
      <c r="FF466" s="663"/>
      <c r="FG466" s="663"/>
      <c r="FH466" s="663"/>
      <c r="FI466" s="663"/>
      <c r="FJ466" s="663"/>
      <c r="FK466" s="663"/>
      <c r="FL466" s="663"/>
      <c r="FM466" s="663"/>
      <c r="FN466" s="663"/>
      <c r="FO466" s="663"/>
      <c r="FP466" s="663"/>
      <c r="FQ466" s="663"/>
      <c r="FR466" s="663"/>
      <c r="FS466" s="663"/>
      <c r="FT466" s="663"/>
      <c r="FU466" s="663"/>
      <c r="FV466" s="663"/>
      <c r="FW466" s="663"/>
      <c r="FX466" s="663"/>
      <c r="FY466" s="663"/>
      <c r="FZ466" s="663"/>
      <c r="GA466" s="663"/>
      <c r="GB466" s="663"/>
      <c r="GC466" s="663"/>
      <c r="GD466" s="663"/>
      <c r="GE466" s="663"/>
      <c r="GF466" s="663"/>
      <c r="GG466" s="663"/>
    </row>
    <row r="467" spans="1:189">
      <c r="A467" s="670"/>
      <c r="B467" s="670"/>
      <c r="C467" s="670"/>
      <c r="D467" s="670"/>
      <c r="E467" s="670"/>
      <c r="F467" s="670"/>
      <c r="G467" s="673"/>
      <c r="H467" s="627"/>
      <c r="I467" s="627"/>
      <c r="J467" s="672"/>
      <c r="K467" s="663"/>
      <c r="L467" s="663"/>
      <c r="M467" s="663"/>
      <c r="N467" s="663"/>
      <c r="O467" s="663"/>
      <c r="P467" s="663"/>
      <c r="Q467" s="663"/>
      <c r="R467" s="663"/>
      <c r="S467" s="663"/>
      <c r="T467" s="663"/>
      <c r="U467" s="663"/>
      <c r="V467" s="663"/>
      <c r="W467" s="663"/>
      <c r="X467" s="663"/>
      <c r="Y467" s="663"/>
      <c r="Z467" s="663"/>
      <c r="AA467" s="663"/>
      <c r="AB467" s="663"/>
      <c r="AC467" s="663"/>
      <c r="AD467" s="663"/>
      <c r="AE467" s="663"/>
      <c r="AF467" s="663"/>
      <c r="AG467" s="663"/>
      <c r="AH467" s="663"/>
      <c r="AI467" s="663"/>
      <c r="AJ467" s="663"/>
      <c r="AK467" s="663"/>
      <c r="AL467" s="663"/>
      <c r="AM467" s="663"/>
      <c r="AN467" s="663"/>
      <c r="AO467" s="663"/>
      <c r="AP467" s="663"/>
      <c r="AQ467" s="663"/>
      <c r="AR467" s="663"/>
      <c r="AS467" s="663"/>
      <c r="AT467" s="663"/>
      <c r="AU467" s="663"/>
      <c r="AV467" s="663"/>
      <c r="AW467" s="663"/>
      <c r="AX467" s="663"/>
      <c r="AY467" s="663"/>
      <c r="AZ467" s="663"/>
      <c r="BA467" s="663"/>
      <c r="BB467" s="663"/>
      <c r="BC467" s="663"/>
      <c r="BD467" s="663"/>
      <c r="BE467" s="663"/>
      <c r="BF467" s="663"/>
      <c r="BG467" s="663"/>
      <c r="BH467" s="663"/>
      <c r="BI467" s="663"/>
      <c r="BJ467" s="663"/>
      <c r="BK467" s="663"/>
      <c r="BL467" s="663"/>
      <c r="BM467" s="663"/>
      <c r="BN467" s="663"/>
      <c r="BO467" s="663"/>
      <c r="BP467" s="663"/>
      <c r="BQ467" s="663"/>
      <c r="BR467" s="663"/>
      <c r="BS467" s="663"/>
      <c r="BT467" s="663"/>
      <c r="BU467" s="663"/>
      <c r="BV467" s="663"/>
      <c r="BW467" s="663"/>
      <c r="BX467" s="663"/>
      <c r="BY467" s="663"/>
      <c r="BZ467" s="663"/>
      <c r="CA467" s="663"/>
      <c r="CB467" s="663"/>
      <c r="CC467" s="663"/>
      <c r="CD467" s="663"/>
      <c r="CE467" s="663"/>
      <c r="CF467" s="663"/>
      <c r="CG467" s="663"/>
      <c r="CH467" s="663"/>
      <c r="CI467" s="663"/>
      <c r="CJ467" s="663"/>
      <c r="CK467" s="663"/>
      <c r="CL467" s="663"/>
      <c r="CM467" s="663"/>
      <c r="CN467" s="663"/>
      <c r="CO467" s="663"/>
      <c r="CP467" s="663"/>
      <c r="CQ467" s="663"/>
      <c r="CR467" s="663"/>
      <c r="CS467" s="663"/>
      <c r="CT467" s="663"/>
      <c r="CU467" s="663"/>
      <c r="CV467" s="663"/>
      <c r="CW467" s="663"/>
      <c r="CX467" s="663"/>
      <c r="CY467" s="663"/>
      <c r="CZ467" s="663"/>
      <c r="DA467" s="663"/>
      <c r="DB467" s="663"/>
      <c r="DC467" s="663"/>
      <c r="DD467" s="663"/>
      <c r="DE467" s="663"/>
      <c r="DF467" s="663"/>
      <c r="DG467" s="663"/>
      <c r="DH467" s="663"/>
      <c r="DI467" s="663"/>
      <c r="DJ467" s="663"/>
      <c r="DK467" s="663"/>
      <c r="DL467" s="663"/>
      <c r="DM467" s="663"/>
      <c r="DN467" s="663"/>
      <c r="DO467" s="663"/>
      <c r="DP467" s="663"/>
      <c r="DQ467" s="663"/>
      <c r="DR467" s="663"/>
      <c r="DS467" s="663"/>
      <c r="DT467" s="663"/>
      <c r="DU467" s="663"/>
      <c r="DV467" s="663"/>
      <c r="DW467" s="663"/>
      <c r="DX467" s="663"/>
      <c r="DY467" s="663"/>
      <c r="DZ467" s="663"/>
      <c r="EA467" s="663"/>
      <c r="EB467" s="663"/>
      <c r="EC467" s="663"/>
      <c r="ED467" s="663"/>
      <c r="EE467" s="663"/>
      <c r="EF467" s="663"/>
      <c r="EG467" s="663"/>
      <c r="EH467" s="663"/>
      <c r="EI467" s="663"/>
      <c r="EJ467" s="663"/>
      <c r="EK467" s="663"/>
      <c r="EL467" s="663"/>
      <c r="EM467" s="663"/>
      <c r="EN467" s="663"/>
      <c r="EO467" s="663"/>
      <c r="EP467" s="663"/>
      <c r="EQ467" s="663"/>
      <c r="ER467" s="663"/>
      <c r="ES467" s="663"/>
      <c r="ET467" s="663"/>
      <c r="EU467" s="663"/>
      <c r="EV467" s="663"/>
      <c r="EW467" s="663"/>
      <c r="EX467" s="663"/>
      <c r="EY467" s="663"/>
      <c r="EZ467" s="663"/>
      <c r="FA467" s="663"/>
      <c r="FB467" s="663"/>
      <c r="FC467" s="663"/>
      <c r="FD467" s="663"/>
      <c r="FE467" s="663"/>
      <c r="FF467" s="663"/>
      <c r="FG467" s="663"/>
      <c r="FH467" s="663"/>
      <c r="FI467" s="663"/>
      <c r="FJ467" s="663"/>
      <c r="FK467" s="663"/>
      <c r="FL467" s="663"/>
      <c r="FM467" s="663"/>
      <c r="FN467" s="663"/>
      <c r="FO467" s="663"/>
      <c r="FP467" s="663"/>
      <c r="FQ467" s="663"/>
      <c r="FR467" s="663"/>
      <c r="FS467" s="663"/>
      <c r="FT467" s="663"/>
      <c r="FU467" s="663"/>
      <c r="FV467" s="663"/>
      <c r="FW467" s="663"/>
      <c r="FX467" s="663"/>
      <c r="FY467" s="663"/>
      <c r="FZ467" s="663"/>
      <c r="GA467" s="663"/>
      <c r="GB467" s="663"/>
      <c r="GC467" s="663"/>
      <c r="GD467" s="663"/>
      <c r="GE467" s="663"/>
      <c r="GF467" s="663"/>
      <c r="GG467" s="663"/>
    </row>
    <row r="468" spans="1:189">
      <c r="A468" s="670"/>
      <c r="B468" s="670"/>
      <c r="C468" s="670"/>
      <c r="D468" s="670"/>
      <c r="E468" s="670"/>
      <c r="F468" s="670"/>
      <c r="G468" s="673"/>
      <c r="H468" s="627"/>
      <c r="I468" s="627"/>
      <c r="J468" s="672"/>
      <c r="K468" s="663"/>
      <c r="L468" s="663"/>
      <c r="M468" s="663"/>
      <c r="N468" s="663"/>
      <c r="O468" s="663"/>
      <c r="P468" s="663"/>
      <c r="Q468" s="663"/>
      <c r="R468" s="663"/>
      <c r="S468" s="663"/>
      <c r="T468" s="663"/>
      <c r="U468" s="663"/>
      <c r="V468" s="663"/>
      <c r="W468" s="663"/>
      <c r="X468" s="663"/>
      <c r="Y468" s="663"/>
      <c r="Z468" s="663"/>
      <c r="AA468" s="663"/>
      <c r="AB468" s="663"/>
      <c r="AC468" s="663"/>
      <c r="AD468" s="663"/>
      <c r="AE468" s="663"/>
      <c r="AF468" s="663"/>
      <c r="AG468" s="663"/>
      <c r="AH468" s="663"/>
      <c r="AI468" s="663"/>
      <c r="AJ468" s="663"/>
      <c r="AK468" s="663"/>
      <c r="AL468" s="663"/>
      <c r="AM468" s="663"/>
      <c r="AN468" s="663"/>
      <c r="AO468" s="663"/>
      <c r="AP468" s="663"/>
      <c r="AQ468" s="663"/>
      <c r="AR468" s="663"/>
      <c r="AS468" s="663"/>
      <c r="AT468" s="663"/>
      <c r="AU468" s="663"/>
      <c r="AV468" s="663"/>
      <c r="AW468" s="663"/>
      <c r="AX468" s="663"/>
      <c r="AY468" s="663"/>
      <c r="AZ468" s="663"/>
      <c r="BA468" s="663"/>
      <c r="BB468" s="663"/>
      <c r="BC468" s="663"/>
      <c r="BD468" s="663"/>
      <c r="BE468" s="663"/>
      <c r="BF468" s="663"/>
      <c r="BG468" s="663"/>
      <c r="BH468" s="663"/>
      <c r="BI468" s="663"/>
      <c r="BJ468" s="663"/>
      <c r="BK468" s="663"/>
      <c r="BL468" s="663"/>
      <c r="BM468" s="663"/>
      <c r="BN468" s="663"/>
      <c r="BO468" s="663"/>
      <c r="BP468" s="663"/>
      <c r="BQ468" s="663"/>
      <c r="BR468" s="663"/>
      <c r="BS468" s="663"/>
      <c r="BT468" s="663"/>
      <c r="BU468" s="663"/>
      <c r="BV468" s="663"/>
      <c r="BW468" s="663"/>
      <c r="BX468" s="663"/>
      <c r="BY468" s="663"/>
      <c r="BZ468" s="663"/>
      <c r="CA468" s="663"/>
      <c r="CB468" s="663"/>
      <c r="CC468" s="663"/>
      <c r="CD468" s="663"/>
      <c r="CE468" s="663"/>
      <c r="CF468" s="663"/>
      <c r="CG468" s="663"/>
      <c r="CH468" s="663"/>
      <c r="CI468" s="663"/>
      <c r="CJ468" s="663"/>
      <c r="CK468" s="663"/>
      <c r="CL468" s="663"/>
      <c r="CM468" s="663"/>
      <c r="CN468" s="663"/>
      <c r="CO468" s="663"/>
      <c r="CP468" s="663"/>
      <c r="CQ468" s="663"/>
      <c r="CR468" s="663"/>
      <c r="CS468" s="663"/>
      <c r="CT468" s="663"/>
      <c r="CU468" s="663"/>
      <c r="CV468" s="663"/>
      <c r="CW468" s="663"/>
      <c r="CX468" s="663"/>
      <c r="CY468" s="663"/>
      <c r="CZ468" s="663"/>
      <c r="DA468" s="663"/>
      <c r="DB468" s="663"/>
      <c r="DC468" s="663"/>
      <c r="DD468" s="663"/>
      <c r="DE468" s="663"/>
      <c r="DF468" s="663"/>
      <c r="DG468" s="663"/>
      <c r="DH468" s="663"/>
      <c r="DI468" s="663"/>
      <c r="DJ468" s="663"/>
      <c r="DK468" s="663"/>
      <c r="DL468" s="663"/>
      <c r="DM468" s="663"/>
      <c r="DN468" s="663"/>
      <c r="DO468" s="663"/>
      <c r="DP468" s="663"/>
      <c r="DQ468" s="663"/>
      <c r="DR468" s="663"/>
      <c r="DS468" s="663"/>
      <c r="DT468" s="663"/>
      <c r="DU468" s="663"/>
      <c r="DV468" s="663"/>
      <c r="DW468" s="663"/>
      <c r="DX468" s="663"/>
      <c r="DY468" s="663"/>
      <c r="DZ468" s="663"/>
      <c r="EA468" s="663"/>
      <c r="EB468" s="663"/>
      <c r="EC468" s="663"/>
      <c r="ED468" s="663"/>
      <c r="EE468" s="663"/>
      <c r="EF468" s="663"/>
      <c r="EG468" s="663"/>
      <c r="EH468" s="663"/>
      <c r="EI468" s="663"/>
      <c r="EJ468" s="663"/>
      <c r="EK468" s="663"/>
      <c r="EL468" s="663"/>
      <c r="EM468" s="663"/>
      <c r="EN468" s="663"/>
      <c r="EO468" s="663"/>
      <c r="EP468" s="663"/>
      <c r="EQ468" s="663"/>
      <c r="ER468" s="663"/>
      <c r="ES468" s="663"/>
      <c r="ET468" s="663"/>
      <c r="EU468" s="663"/>
      <c r="EV468" s="663"/>
      <c r="EW468" s="663"/>
      <c r="EX468" s="663"/>
      <c r="EY468" s="663"/>
      <c r="EZ468" s="663"/>
      <c r="FA468" s="663"/>
      <c r="FB468" s="663"/>
      <c r="FC468" s="663"/>
      <c r="FD468" s="663"/>
      <c r="FE468" s="663"/>
      <c r="FF468" s="663"/>
      <c r="FG468" s="663"/>
      <c r="FH468" s="663"/>
      <c r="FI468" s="663"/>
      <c r="FJ468" s="663"/>
      <c r="FK468" s="663"/>
      <c r="FL468" s="663"/>
      <c r="FM468" s="663"/>
      <c r="FN468" s="663"/>
      <c r="FO468" s="663"/>
      <c r="FP468" s="663"/>
      <c r="FQ468" s="663"/>
      <c r="FR468" s="663"/>
      <c r="FS468" s="663"/>
      <c r="FT468" s="663"/>
      <c r="FU468" s="663"/>
      <c r="FV468" s="663"/>
      <c r="FW468" s="663"/>
      <c r="FX468" s="663"/>
      <c r="FY468" s="663"/>
      <c r="FZ468" s="663"/>
      <c r="GA468" s="663"/>
      <c r="GB468" s="663"/>
      <c r="GC468" s="663"/>
      <c r="GD468" s="663"/>
      <c r="GE468" s="663"/>
      <c r="GF468" s="663"/>
      <c r="GG468" s="663"/>
    </row>
    <row r="469" spans="1:189">
      <c r="A469" s="670"/>
      <c r="B469" s="670"/>
      <c r="C469" s="670"/>
      <c r="D469" s="670"/>
      <c r="E469" s="670"/>
      <c r="F469" s="670"/>
      <c r="G469" s="673"/>
      <c r="H469" s="627"/>
      <c r="I469" s="627"/>
      <c r="J469" s="672"/>
      <c r="K469" s="663"/>
      <c r="L469" s="663"/>
      <c r="M469" s="663"/>
      <c r="N469" s="663"/>
      <c r="O469" s="663"/>
      <c r="P469" s="663"/>
      <c r="Q469" s="663"/>
      <c r="R469" s="663"/>
      <c r="S469" s="663"/>
      <c r="T469" s="663"/>
      <c r="U469" s="663"/>
      <c r="V469" s="663"/>
      <c r="W469" s="663"/>
      <c r="X469" s="663"/>
      <c r="Y469" s="663"/>
      <c r="Z469" s="663"/>
      <c r="AA469" s="663"/>
      <c r="AB469" s="663"/>
      <c r="AC469" s="663"/>
      <c r="AD469" s="663"/>
      <c r="AE469" s="663"/>
      <c r="AF469" s="663"/>
      <c r="AG469" s="663"/>
      <c r="AH469" s="663"/>
      <c r="AI469" s="663"/>
      <c r="AJ469" s="663"/>
      <c r="AK469" s="663"/>
      <c r="AL469" s="663"/>
      <c r="AM469" s="663"/>
      <c r="AN469" s="663"/>
      <c r="AO469" s="663"/>
      <c r="AP469" s="663"/>
      <c r="AQ469" s="663"/>
      <c r="AR469" s="663"/>
      <c r="AS469" s="663"/>
      <c r="AT469" s="663"/>
      <c r="AU469" s="663"/>
      <c r="AV469" s="663"/>
      <c r="AW469" s="663"/>
      <c r="AX469" s="663"/>
      <c r="AY469" s="663"/>
      <c r="AZ469" s="663"/>
      <c r="BA469" s="663"/>
      <c r="BB469" s="663"/>
      <c r="BC469" s="663"/>
      <c r="BD469" s="663"/>
      <c r="BE469" s="663"/>
      <c r="BF469" s="663"/>
      <c r="BG469" s="663"/>
      <c r="BH469" s="663"/>
      <c r="BI469" s="663"/>
      <c r="BJ469" s="663"/>
      <c r="BK469" s="663"/>
      <c r="BL469" s="663"/>
      <c r="BM469" s="663"/>
      <c r="BN469" s="663"/>
      <c r="BO469" s="663"/>
      <c r="BP469" s="663"/>
      <c r="BQ469" s="663"/>
      <c r="BR469" s="663"/>
      <c r="BS469" s="663"/>
      <c r="BT469" s="663"/>
      <c r="BU469" s="663"/>
      <c r="BV469" s="663"/>
      <c r="BW469" s="663"/>
      <c r="BX469" s="663"/>
      <c r="BY469" s="663"/>
      <c r="BZ469" s="663"/>
      <c r="CA469" s="663"/>
      <c r="CB469" s="663"/>
      <c r="CC469" s="663"/>
      <c r="CD469" s="663"/>
      <c r="CE469" s="663"/>
      <c r="CF469" s="663"/>
      <c r="CG469" s="663"/>
      <c r="CH469" s="663"/>
      <c r="CI469" s="663"/>
      <c r="CJ469" s="663"/>
      <c r="CK469" s="663"/>
      <c r="CL469" s="663"/>
      <c r="CM469" s="663"/>
      <c r="CN469" s="663"/>
      <c r="CO469" s="663"/>
      <c r="CP469" s="663"/>
      <c r="CQ469" s="663"/>
      <c r="CR469" s="663"/>
      <c r="CS469" s="663"/>
      <c r="CT469" s="663"/>
      <c r="CU469" s="663"/>
      <c r="CV469" s="663"/>
      <c r="CW469" s="663"/>
      <c r="CX469" s="663"/>
      <c r="CY469" s="663"/>
      <c r="CZ469" s="663"/>
      <c r="DA469" s="663"/>
      <c r="DB469" s="663"/>
      <c r="DC469" s="663"/>
      <c r="DD469" s="663"/>
      <c r="DE469" s="663"/>
      <c r="DF469" s="663"/>
      <c r="DG469" s="663"/>
      <c r="DH469" s="663"/>
      <c r="DI469" s="663"/>
      <c r="DJ469" s="663"/>
      <c r="DK469" s="663"/>
      <c r="DL469" s="663"/>
      <c r="DM469" s="663"/>
      <c r="DN469" s="663"/>
      <c r="DO469" s="663"/>
      <c r="DP469" s="663"/>
      <c r="DQ469" s="663"/>
      <c r="DR469" s="663"/>
      <c r="DS469" s="663"/>
      <c r="DT469" s="663"/>
      <c r="DU469" s="663"/>
      <c r="DV469" s="663"/>
      <c r="DW469" s="663"/>
      <c r="DX469" s="663"/>
      <c r="DY469" s="663"/>
      <c r="DZ469" s="663"/>
      <c r="EA469" s="663"/>
      <c r="EB469" s="663"/>
      <c r="EC469" s="663"/>
      <c r="ED469" s="663"/>
      <c r="EE469" s="663"/>
      <c r="EF469" s="663"/>
      <c r="EG469" s="663"/>
      <c r="EH469" s="663"/>
      <c r="EI469" s="663"/>
      <c r="EJ469" s="663"/>
      <c r="EK469" s="663"/>
      <c r="EL469" s="663"/>
      <c r="EM469" s="663"/>
      <c r="EN469" s="663"/>
      <c r="EO469" s="663"/>
      <c r="EP469" s="663"/>
      <c r="EQ469" s="663"/>
      <c r="ER469" s="663"/>
      <c r="ES469" s="663"/>
      <c r="ET469" s="663"/>
      <c r="EU469" s="663"/>
      <c r="EV469" s="663"/>
      <c r="EW469" s="663"/>
      <c r="EX469" s="663"/>
      <c r="EY469" s="663"/>
      <c r="EZ469" s="663"/>
      <c r="FA469" s="663"/>
      <c r="FB469" s="663"/>
      <c r="FC469" s="663"/>
      <c r="FD469" s="663"/>
      <c r="FE469" s="663"/>
      <c r="FF469" s="663"/>
      <c r="FG469" s="663"/>
      <c r="FH469" s="663"/>
      <c r="FI469" s="663"/>
      <c r="FJ469" s="663"/>
      <c r="FK469" s="663"/>
      <c r="FL469" s="663"/>
      <c r="FM469" s="663"/>
      <c r="FN469" s="663"/>
      <c r="FO469" s="663"/>
      <c r="FP469" s="663"/>
      <c r="FQ469" s="663"/>
      <c r="FR469" s="663"/>
      <c r="FS469" s="663"/>
      <c r="FT469" s="663"/>
      <c r="FU469" s="663"/>
      <c r="FV469" s="663"/>
      <c r="FW469" s="663"/>
      <c r="FX469" s="663"/>
      <c r="FY469" s="663"/>
      <c r="FZ469" s="663"/>
      <c r="GA469" s="663"/>
      <c r="GB469" s="663"/>
      <c r="GC469" s="663"/>
      <c r="GD469" s="663"/>
      <c r="GE469" s="663"/>
      <c r="GF469" s="663"/>
      <c r="GG469" s="663"/>
    </row>
    <row r="470" spans="1:189">
      <c r="A470" s="670"/>
      <c r="B470" s="670"/>
      <c r="C470" s="670"/>
      <c r="D470" s="670"/>
      <c r="E470" s="670"/>
      <c r="F470" s="670"/>
      <c r="G470" s="673"/>
      <c r="H470" s="627"/>
      <c r="I470" s="627"/>
      <c r="J470" s="672"/>
      <c r="K470" s="663"/>
      <c r="L470" s="663"/>
      <c r="M470" s="663"/>
      <c r="N470" s="663"/>
      <c r="O470" s="663"/>
      <c r="P470" s="663"/>
      <c r="Q470" s="663"/>
      <c r="R470" s="663"/>
      <c r="S470" s="663"/>
      <c r="T470" s="663"/>
      <c r="U470" s="663"/>
      <c r="V470" s="663"/>
      <c r="W470" s="663"/>
      <c r="X470" s="663"/>
      <c r="Y470" s="663"/>
      <c r="Z470" s="663"/>
      <c r="AA470" s="663"/>
      <c r="AB470" s="663"/>
      <c r="AC470" s="663"/>
      <c r="AD470" s="663"/>
      <c r="AE470" s="663"/>
      <c r="AF470" s="663"/>
      <c r="AG470" s="663"/>
      <c r="AH470" s="663"/>
      <c r="AI470" s="663"/>
      <c r="AJ470" s="663"/>
      <c r="AK470" s="663"/>
      <c r="AL470" s="663"/>
      <c r="AM470" s="663"/>
      <c r="AN470" s="663"/>
      <c r="AO470" s="663"/>
      <c r="AP470" s="663"/>
      <c r="AQ470" s="663"/>
      <c r="AR470" s="663"/>
      <c r="AS470" s="663"/>
      <c r="AT470" s="663"/>
      <c r="AU470" s="663"/>
      <c r="AV470" s="663"/>
      <c r="AW470" s="663"/>
      <c r="AX470" s="663"/>
      <c r="AY470" s="663"/>
      <c r="AZ470" s="663"/>
      <c r="BA470" s="663"/>
      <c r="BB470" s="663"/>
      <c r="BC470" s="663"/>
      <c r="BD470" s="663"/>
      <c r="BE470" s="663"/>
      <c r="BF470" s="663"/>
      <c r="BG470" s="663"/>
      <c r="BH470" s="663"/>
      <c r="BI470" s="663"/>
      <c r="BJ470" s="663"/>
      <c r="BK470" s="663"/>
      <c r="BL470" s="663"/>
      <c r="BM470" s="663"/>
      <c r="BN470" s="663"/>
      <c r="BO470" s="663"/>
      <c r="BP470" s="663"/>
      <c r="BQ470" s="663"/>
      <c r="BR470" s="663"/>
      <c r="BS470" s="663"/>
      <c r="BT470" s="663"/>
      <c r="BU470" s="663"/>
      <c r="BV470" s="663"/>
      <c r="BW470" s="663"/>
      <c r="BX470" s="663"/>
      <c r="BY470" s="663"/>
      <c r="BZ470" s="663"/>
      <c r="CA470" s="663"/>
      <c r="CB470" s="663"/>
      <c r="CC470" s="663"/>
      <c r="CD470" s="663"/>
      <c r="CE470" s="663"/>
      <c r="CF470" s="663"/>
      <c r="CG470" s="663"/>
      <c r="CH470" s="663"/>
      <c r="CI470" s="663"/>
      <c r="CJ470" s="663"/>
      <c r="CK470" s="663"/>
      <c r="CL470" s="663"/>
      <c r="CM470" s="663"/>
      <c r="CN470" s="663"/>
      <c r="CO470" s="663"/>
      <c r="CP470" s="663"/>
      <c r="CQ470" s="663"/>
      <c r="CR470" s="663"/>
      <c r="CS470" s="663"/>
      <c r="CT470" s="663"/>
      <c r="CU470" s="663"/>
      <c r="CV470" s="663"/>
      <c r="CW470" s="663"/>
      <c r="CX470" s="663"/>
      <c r="CY470" s="663"/>
      <c r="CZ470" s="663"/>
      <c r="DA470" s="663"/>
      <c r="DB470" s="663"/>
      <c r="DC470" s="663"/>
      <c r="DD470" s="663"/>
      <c r="DE470" s="663"/>
      <c r="DF470" s="663"/>
      <c r="DG470" s="663"/>
      <c r="DH470" s="663"/>
      <c r="DI470" s="663"/>
      <c r="DJ470" s="663"/>
      <c r="DK470" s="663"/>
      <c r="DL470" s="663"/>
      <c r="DM470" s="663"/>
      <c r="DN470" s="663"/>
      <c r="DO470" s="663"/>
      <c r="DP470" s="663"/>
      <c r="DQ470" s="663"/>
      <c r="DR470" s="663"/>
      <c r="DS470" s="663"/>
      <c r="DT470" s="663"/>
      <c r="DU470" s="663"/>
      <c r="DV470" s="663"/>
      <c r="DW470" s="663"/>
      <c r="DX470" s="663"/>
      <c r="DY470" s="663"/>
      <c r="DZ470" s="663"/>
      <c r="EA470" s="663"/>
      <c r="EB470" s="663"/>
      <c r="EC470" s="663"/>
      <c r="ED470" s="663"/>
      <c r="EE470" s="663"/>
      <c r="EF470" s="663"/>
      <c r="EG470" s="663"/>
      <c r="EH470" s="663"/>
      <c r="EI470" s="663"/>
      <c r="EJ470" s="663"/>
      <c r="EK470" s="663"/>
      <c r="EL470" s="663"/>
      <c r="EM470" s="663"/>
      <c r="EN470" s="663"/>
      <c r="EO470" s="663"/>
      <c r="EP470" s="663"/>
      <c r="EQ470" s="663"/>
      <c r="ER470" s="663"/>
      <c r="ES470" s="663"/>
      <c r="ET470" s="663"/>
      <c r="EU470" s="663"/>
      <c r="EV470" s="663"/>
      <c r="EW470" s="663"/>
      <c r="EX470" s="663"/>
      <c r="EY470" s="663"/>
      <c r="EZ470" s="663"/>
      <c r="FA470" s="663"/>
      <c r="FB470" s="663"/>
      <c r="FC470" s="663"/>
      <c r="FD470" s="663"/>
      <c r="FE470" s="663"/>
      <c r="FF470" s="663"/>
      <c r="FG470" s="663"/>
      <c r="FH470" s="663"/>
      <c r="FI470" s="663"/>
      <c r="FJ470" s="663"/>
      <c r="FK470" s="663"/>
      <c r="FL470" s="663"/>
      <c r="FM470" s="663"/>
      <c r="FN470" s="663"/>
      <c r="FO470" s="663"/>
      <c r="FP470" s="663"/>
      <c r="FQ470" s="663"/>
      <c r="FR470" s="663"/>
      <c r="FS470" s="663"/>
      <c r="FT470" s="663"/>
      <c r="FU470" s="663"/>
      <c r="FV470" s="663"/>
      <c r="FW470" s="663"/>
      <c r="FX470" s="663"/>
      <c r="FY470" s="663"/>
      <c r="FZ470" s="663"/>
      <c r="GA470" s="663"/>
      <c r="GB470" s="663"/>
      <c r="GC470" s="663"/>
      <c r="GD470" s="663"/>
      <c r="GE470" s="663"/>
      <c r="GF470" s="663"/>
      <c r="GG470" s="663"/>
    </row>
    <row r="471" spans="1:189">
      <c r="A471" s="670"/>
      <c r="B471" s="670"/>
      <c r="C471" s="670"/>
      <c r="D471" s="670"/>
      <c r="E471" s="670"/>
      <c r="F471" s="670"/>
      <c r="G471" s="673"/>
      <c r="H471" s="627"/>
      <c r="I471" s="627"/>
      <c r="J471" s="672"/>
      <c r="K471" s="663"/>
      <c r="L471" s="663"/>
      <c r="M471" s="663"/>
      <c r="N471" s="663"/>
      <c r="O471" s="663"/>
      <c r="P471" s="663"/>
      <c r="Q471" s="663"/>
      <c r="R471" s="663"/>
      <c r="S471" s="663"/>
      <c r="T471" s="663"/>
      <c r="U471" s="663"/>
      <c r="V471" s="663"/>
      <c r="W471" s="663"/>
      <c r="X471" s="663"/>
      <c r="Y471" s="663"/>
      <c r="Z471" s="663"/>
      <c r="AA471" s="663"/>
      <c r="AB471" s="663"/>
      <c r="AC471" s="663"/>
      <c r="AD471" s="663"/>
      <c r="AE471" s="663"/>
      <c r="AF471" s="663"/>
      <c r="AG471" s="663"/>
      <c r="AH471" s="663"/>
      <c r="AI471" s="663"/>
      <c r="AJ471" s="663"/>
      <c r="AK471" s="663"/>
      <c r="AL471" s="663"/>
      <c r="AM471" s="663"/>
      <c r="AN471" s="663"/>
      <c r="AO471" s="663"/>
      <c r="AP471" s="663"/>
      <c r="AQ471" s="663"/>
      <c r="AR471" s="663"/>
      <c r="AS471" s="663"/>
      <c r="AT471" s="663"/>
      <c r="AU471" s="663"/>
      <c r="AV471" s="663"/>
      <c r="AW471" s="663"/>
      <c r="AX471" s="663"/>
      <c r="AY471" s="663"/>
      <c r="AZ471" s="663"/>
      <c r="BA471" s="663"/>
      <c r="BB471" s="663"/>
      <c r="BC471" s="663"/>
      <c r="BD471" s="663"/>
      <c r="BE471" s="663"/>
      <c r="BF471" s="663"/>
      <c r="BG471" s="663"/>
      <c r="BH471" s="663"/>
      <c r="BI471" s="663"/>
      <c r="BJ471" s="663"/>
      <c r="BK471" s="663"/>
      <c r="BL471" s="663"/>
      <c r="BM471" s="663"/>
      <c r="BN471" s="663"/>
      <c r="BO471" s="663"/>
      <c r="BP471" s="663"/>
      <c r="BQ471" s="663"/>
      <c r="BR471" s="663"/>
      <c r="BS471" s="663"/>
      <c r="BT471" s="663"/>
      <c r="BU471" s="663"/>
      <c r="BV471" s="663"/>
      <c r="BW471" s="663"/>
      <c r="BX471" s="663"/>
      <c r="BY471" s="663"/>
      <c r="BZ471" s="663"/>
      <c r="CA471" s="663"/>
      <c r="CB471" s="663"/>
      <c r="CC471" s="663"/>
      <c r="CD471" s="663"/>
      <c r="CE471" s="663"/>
      <c r="CF471" s="663"/>
      <c r="CG471" s="663"/>
      <c r="CH471" s="663"/>
      <c r="CI471" s="663"/>
      <c r="CJ471" s="663"/>
      <c r="CK471" s="663"/>
      <c r="CL471" s="663"/>
      <c r="CM471" s="663"/>
      <c r="CN471" s="663"/>
      <c r="CO471" s="663"/>
      <c r="CP471" s="663"/>
      <c r="CQ471" s="663"/>
      <c r="CR471" s="663"/>
      <c r="CS471" s="663"/>
      <c r="CT471" s="663"/>
      <c r="CU471" s="663"/>
      <c r="CV471" s="663"/>
      <c r="CW471" s="663"/>
      <c r="CX471" s="663"/>
      <c r="CY471" s="663"/>
      <c r="CZ471" s="663"/>
      <c r="DA471" s="663"/>
      <c r="DB471" s="663"/>
      <c r="DC471" s="663"/>
      <c r="DD471" s="663"/>
      <c r="DE471" s="663"/>
      <c r="DF471" s="663"/>
      <c r="DG471" s="663"/>
      <c r="DH471" s="663"/>
      <c r="DI471" s="663"/>
      <c r="DJ471" s="663"/>
      <c r="DK471" s="663"/>
      <c r="DL471" s="663"/>
      <c r="DM471" s="663"/>
      <c r="DN471" s="663"/>
      <c r="DO471" s="663"/>
      <c r="DP471" s="663"/>
      <c r="DQ471" s="663"/>
      <c r="DR471" s="663"/>
      <c r="DS471" s="663"/>
      <c r="DT471" s="663"/>
      <c r="DU471" s="663"/>
      <c r="DV471" s="663"/>
      <c r="DW471" s="663"/>
      <c r="DX471" s="663"/>
      <c r="DY471" s="663"/>
      <c r="DZ471" s="663"/>
      <c r="EA471" s="663"/>
      <c r="EB471" s="663"/>
      <c r="EC471" s="663"/>
      <c r="ED471" s="663"/>
      <c r="EE471" s="663"/>
      <c r="EF471" s="663"/>
      <c r="EG471" s="663"/>
      <c r="EH471" s="663"/>
      <c r="EI471" s="663"/>
      <c r="EJ471" s="663"/>
      <c r="EK471" s="663"/>
      <c r="EL471" s="663"/>
      <c r="EM471" s="663"/>
      <c r="EN471" s="663"/>
      <c r="EO471" s="663"/>
      <c r="EP471" s="663"/>
      <c r="EQ471" s="663"/>
      <c r="ER471" s="663"/>
      <c r="ES471" s="663"/>
      <c r="ET471" s="663"/>
      <c r="EU471" s="663"/>
      <c r="EV471" s="663"/>
      <c r="EW471" s="663"/>
      <c r="EX471" s="663"/>
      <c r="EY471" s="663"/>
      <c r="EZ471" s="663"/>
      <c r="FA471" s="663"/>
      <c r="FB471" s="663"/>
      <c r="FC471" s="663"/>
      <c r="FD471" s="663"/>
      <c r="FE471" s="663"/>
      <c r="FF471" s="663"/>
      <c r="FG471" s="663"/>
      <c r="FH471" s="663"/>
      <c r="FI471" s="663"/>
      <c r="FJ471" s="663"/>
      <c r="FK471" s="663"/>
      <c r="FL471" s="663"/>
      <c r="FM471" s="663"/>
      <c r="FN471" s="663"/>
      <c r="FO471" s="663"/>
      <c r="FP471" s="663"/>
      <c r="FQ471" s="663"/>
      <c r="FR471" s="663"/>
      <c r="FS471" s="663"/>
      <c r="FT471" s="663"/>
      <c r="FU471" s="663"/>
      <c r="FV471" s="663"/>
      <c r="FW471" s="663"/>
      <c r="FX471" s="663"/>
      <c r="FY471" s="663"/>
      <c r="FZ471" s="663"/>
      <c r="GA471" s="663"/>
      <c r="GB471" s="663"/>
      <c r="GC471" s="663"/>
      <c r="GD471" s="663"/>
      <c r="GE471" s="663"/>
      <c r="GF471" s="663"/>
      <c r="GG471" s="663"/>
    </row>
    <row r="472" spans="1:189">
      <c r="A472" s="670"/>
      <c r="B472" s="670"/>
      <c r="C472" s="670"/>
      <c r="D472" s="670"/>
      <c r="E472" s="670"/>
      <c r="F472" s="670"/>
      <c r="G472" s="673"/>
      <c r="H472" s="627"/>
      <c r="I472" s="627"/>
      <c r="J472" s="672"/>
      <c r="K472" s="663"/>
      <c r="L472" s="663"/>
      <c r="M472" s="663"/>
      <c r="N472" s="663"/>
      <c r="O472" s="663"/>
      <c r="P472" s="663"/>
      <c r="Q472" s="663"/>
      <c r="R472" s="663"/>
      <c r="S472" s="663"/>
      <c r="T472" s="663"/>
      <c r="U472" s="663"/>
      <c r="V472" s="663"/>
      <c r="W472" s="663"/>
      <c r="X472" s="663"/>
      <c r="Y472" s="663"/>
      <c r="Z472" s="663"/>
      <c r="AA472" s="663"/>
      <c r="AB472" s="663"/>
      <c r="AC472" s="663"/>
      <c r="AD472" s="663"/>
      <c r="AE472" s="663"/>
      <c r="AF472" s="663"/>
      <c r="AG472" s="663"/>
      <c r="AH472" s="663"/>
      <c r="AI472" s="663"/>
      <c r="AJ472" s="663"/>
      <c r="AK472" s="663"/>
      <c r="AL472" s="663"/>
      <c r="AM472" s="663"/>
      <c r="AN472" s="663"/>
      <c r="AO472" s="663"/>
      <c r="AP472" s="663"/>
      <c r="AQ472" s="663"/>
      <c r="AR472" s="663"/>
      <c r="AS472" s="663"/>
      <c r="AT472" s="663"/>
      <c r="AU472" s="663"/>
      <c r="AV472" s="663"/>
      <c r="AW472" s="663"/>
      <c r="AX472" s="663"/>
      <c r="AY472" s="663"/>
      <c r="AZ472" s="663"/>
      <c r="BA472" s="663"/>
      <c r="BB472" s="663"/>
      <c r="BC472" s="663"/>
      <c r="BD472" s="663"/>
      <c r="BE472" s="663"/>
      <c r="BF472" s="663"/>
      <c r="BG472" s="663"/>
      <c r="BH472" s="663"/>
      <c r="BI472" s="663"/>
      <c r="BJ472" s="663"/>
      <c r="BK472" s="663"/>
      <c r="BL472" s="663"/>
      <c r="BM472" s="663"/>
      <c r="BN472" s="663"/>
      <c r="BO472" s="663"/>
      <c r="BP472" s="663"/>
      <c r="BQ472" s="663"/>
      <c r="BR472" s="663"/>
      <c r="BS472" s="663"/>
      <c r="BT472" s="663"/>
      <c r="BU472" s="663"/>
      <c r="BV472" s="663"/>
      <c r="BW472" s="663"/>
      <c r="BX472" s="663"/>
      <c r="BY472" s="663"/>
      <c r="BZ472" s="663"/>
      <c r="CA472" s="663"/>
      <c r="CB472" s="663"/>
      <c r="CC472" s="663"/>
      <c r="CD472" s="663"/>
      <c r="CE472" s="663"/>
      <c r="CF472" s="663"/>
      <c r="CG472" s="663"/>
      <c r="CH472" s="663"/>
      <c r="CI472" s="663"/>
      <c r="CJ472" s="663"/>
      <c r="CK472" s="663"/>
      <c r="CL472" s="663"/>
      <c r="CM472" s="663"/>
      <c r="CN472" s="663"/>
      <c r="CO472" s="663"/>
      <c r="CP472" s="663"/>
      <c r="CQ472" s="663"/>
      <c r="CR472" s="663"/>
      <c r="CS472" s="663"/>
      <c r="CT472" s="663"/>
      <c r="CU472" s="663"/>
      <c r="CV472" s="663"/>
      <c r="CW472" s="663"/>
      <c r="CX472" s="663"/>
      <c r="CY472" s="663"/>
      <c r="CZ472" s="663"/>
      <c r="DA472" s="663"/>
      <c r="DB472" s="663"/>
      <c r="DC472" s="663"/>
      <c r="DD472" s="663"/>
      <c r="DE472" s="663"/>
      <c r="DF472" s="663"/>
      <c r="DG472" s="663"/>
      <c r="DH472" s="663"/>
      <c r="DI472" s="663"/>
      <c r="DJ472" s="663"/>
      <c r="DK472" s="663"/>
      <c r="DL472" s="663"/>
      <c r="DM472" s="663"/>
      <c r="DN472" s="663"/>
      <c r="DO472" s="663"/>
      <c r="DP472" s="663"/>
      <c r="DQ472" s="663"/>
      <c r="DR472" s="663"/>
      <c r="DS472" s="663"/>
      <c r="DT472" s="663"/>
      <c r="DU472" s="663"/>
      <c r="DV472" s="663"/>
      <c r="DW472" s="663"/>
      <c r="DX472" s="663"/>
      <c r="DY472" s="663"/>
      <c r="DZ472" s="663"/>
      <c r="EA472" s="663"/>
      <c r="EB472" s="663"/>
      <c r="EC472" s="663"/>
      <c r="ED472" s="663"/>
      <c r="EE472" s="663"/>
      <c r="EF472" s="663"/>
      <c r="EG472" s="663"/>
      <c r="EH472" s="663"/>
      <c r="EI472" s="663"/>
      <c r="EJ472" s="663"/>
      <c r="EK472" s="663"/>
      <c r="EL472" s="663"/>
      <c r="EM472" s="663"/>
      <c r="EN472" s="663"/>
      <c r="EO472" s="663"/>
      <c r="EP472" s="663"/>
      <c r="EQ472" s="663"/>
      <c r="ER472" s="663"/>
      <c r="ES472" s="663"/>
      <c r="ET472" s="663"/>
      <c r="EU472" s="663"/>
      <c r="EV472" s="663"/>
      <c r="EW472" s="663"/>
      <c r="EX472" s="663"/>
      <c r="EY472" s="663"/>
      <c r="EZ472" s="663"/>
      <c r="FA472" s="663"/>
      <c r="FB472" s="663"/>
      <c r="FC472" s="663"/>
      <c r="FD472" s="663"/>
      <c r="FE472" s="663"/>
      <c r="FF472" s="663"/>
      <c r="FG472" s="663"/>
      <c r="FH472" s="663"/>
      <c r="FI472" s="663"/>
      <c r="FJ472" s="663"/>
      <c r="FK472" s="663"/>
      <c r="FL472" s="663"/>
      <c r="FM472" s="663"/>
      <c r="FN472" s="663"/>
      <c r="FO472" s="663"/>
      <c r="FP472" s="663"/>
      <c r="FQ472" s="663"/>
      <c r="FR472" s="663"/>
      <c r="FS472" s="663"/>
      <c r="FT472" s="663"/>
      <c r="FU472" s="663"/>
      <c r="FV472" s="663"/>
      <c r="FW472" s="663"/>
      <c r="FX472" s="663"/>
      <c r="FY472" s="663"/>
      <c r="FZ472" s="663"/>
      <c r="GA472" s="663"/>
      <c r="GB472" s="663"/>
      <c r="GC472" s="663"/>
      <c r="GD472" s="663"/>
      <c r="GE472" s="663"/>
      <c r="GF472" s="663"/>
      <c r="GG472" s="663"/>
    </row>
    <row r="473" spans="1:189">
      <c r="A473" s="670"/>
      <c r="B473" s="670"/>
      <c r="C473" s="670"/>
      <c r="D473" s="670"/>
      <c r="E473" s="670"/>
      <c r="F473" s="670"/>
      <c r="G473" s="673"/>
      <c r="H473" s="627"/>
      <c r="I473" s="627"/>
      <c r="J473" s="672"/>
      <c r="K473" s="663"/>
      <c r="L473" s="663"/>
      <c r="M473" s="663"/>
      <c r="N473" s="663"/>
      <c r="O473" s="663"/>
      <c r="P473" s="663"/>
      <c r="Q473" s="663"/>
      <c r="R473" s="663"/>
      <c r="S473" s="663"/>
      <c r="T473" s="663"/>
      <c r="U473" s="663"/>
      <c r="V473" s="663"/>
      <c r="W473" s="663"/>
      <c r="X473" s="663"/>
      <c r="Y473" s="663"/>
      <c r="Z473" s="663"/>
      <c r="AA473" s="663"/>
      <c r="AB473" s="663"/>
      <c r="AC473" s="663"/>
      <c r="AD473" s="663"/>
      <c r="AE473" s="663"/>
      <c r="AF473" s="663"/>
      <c r="AG473" s="663"/>
      <c r="AH473" s="663"/>
      <c r="AI473" s="663"/>
      <c r="AJ473" s="663"/>
      <c r="AK473" s="663"/>
      <c r="AL473" s="663"/>
      <c r="AM473" s="663"/>
      <c r="AN473" s="663"/>
      <c r="AO473" s="663"/>
      <c r="AP473" s="663"/>
      <c r="AQ473" s="663"/>
      <c r="AR473" s="663"/>
      <c r="AS473" s="663"/>
      <c r="AT473" s="663"/>
      <c r="AU473" s="663"/>
      <c r="AV473" s="663"/>
      <c r="AW473" s="663"/>
      <c r="AX473" s="663"/>
      <c r="AY473" s="663"/>
      <c r="AZ473" s="663"/>
      <c r="BA473" s="663"/>
      <c r="BB473" s="663"/>
      <c r="BC473" s="663"/>
      <c r="BD473" s="663"/>
      <c r="BE473" s="663"/>
      <c r="BF473" s="663"/>
      <c r="BG473" s="663"/>
      <c r="BH473" s="663"/>
      <c r="BI473" s="663"/>
      <c r="BJ473" s="663"/>
      <c r="BK473" s="663"/>
      <c r="BL473" s="663"/>
      <c r="BM473" s="663"/>
      <c r="BN473" s="663"/>
      <c r="BO473" s="663"/>
      <c r="BP473" s="663"/>
      <c r="BQ473" s="663"/>
      <c r="BR473" s="663"/>
      <c r="BS473" s="663"/>
      <c r="BT473" s="663"/>
      <c r="BU473" s="663"/>
      <c r="BV473" s="663"/>
      <c r="BW473" s="663"/>
      <c r="BX473" s="663"/>
      <c r="BY473" s="663"/>
      <c r="BZ473" s="663"/>
      <c r="CA473" s="663"/>
      <c r="CB473" s="663"/>
      <c r="CC473" s="663"/>
      <c r="CD473" s="663"/>
      <c r="CE473" s="663"/>
      <c r="CF473" s="663"/>
      <c r="CG473" s="663"/>
      <c r="CH473" s="663"/>
      <c r="CI473" s="663"/>
      <c r="CJ473" s="663"/>
      <c r="CK473" s="663"/>
      <c r="CL473" s="663"/>
      <c r="CM473" s="663"/>
      <c r="CN473" s="663"/>
      <c r="CO473" s="663"/>
      <c r="CP473" s="663"/>
      <c r="CQ473" s="663"/>
      <c r="CR473" s="663"/>
      <c r="CS473" s="663"/>
      <c r="CT473" s="663"/>
      <c r="CU473" s="663"/>
      <c r="CV473" s="663"/>
      <c r="CW473" s="663"/>
      <c r="CX473" s="663"/>
      <c r="CY473" s="663"/>
      <c r="CZ473" s="663"/>
      <c r="DA473" s="663"/>
      <c r="DB473" s="663"/>
      <c r="DC473" s="663"/>
      <c r="DD473" s="663"/>
      <c r="DE473" s="663"/>
      <c r="DF473" s="663"/>
      <c r="DG473" s="663"/>
      <c r="DH473" s="663"/>
      <c r="DI473" s="663"/>
      <c r="DJ473" s="663"/>
      <c r="DK473" s="663"/>
      <c r="DL473" s="663"/>
      <c r="DM473" s="663"/>
      <c r="DN473" s="663"/>
      <c r="DO473" s="663"/>
      <c r="DP473" s="663"/>
      <c r="DQ473" s="663"/>
      <c r="DR473" s="663"/>
      <c r="DS473" s="663"/>
      <c r="DT473" s="663"/>
      <c r="DU473" s="663"/>
      <c r="DV473" s="663"/>
      <c r="DW473" s="663"/>
      <c r="DX473" s="663"/>
      <c r="DY473" s="663"/>
      <c r="DZ473" s="663"/>
      <c r="EA473" s="663"/>
      <c r="EB473" s="663"/>
      <c r="EC473" s="663"/>
      <c r="ED473" s="663"/>
      <c r="EE473" s="663"/>
      <c r="EF473" s="663"/>
      <c r="EG473" s="663"/>
      <c r="EH473" s="663"/>
      <c r="EI473" s="663"/>
      <c r="EJ473" s="663"/>
      <c r="EK473" s="663"/>
      <c r="EL473" s="663"/>
      <c r="EM473" s="663"/>
      <c r="EN473" s="663"/>
      <c r="EO473" s="663"/>
      <c r="EP473" s="663"/>
      <c r="EQ473" s="663"/>
      <c r="ER473" s="663"/>
      <c r="ES473" s="663"/>
      <c r="ET473" s="663"/>
      <c r="EU473" s="663"/>
      <c r="EV473" s="663"/>
      <c r="EW473" s="663"/>
      <c r="EX473" s="663"/>
      <c r="EY473" s="663"/>
      <c r="EZ473" s="663"/>
      <c r="FA473" s="663"/>
      <c r="FB473" s="663"/>
      <c r="FC473" s="663"/>
      <c r="FD473" s="663"/>
      <c r="FE473" s="663"/>
      <c r="FF473" s="663"/>
      <c r="FG473" s="663"/>
      <c r="FH473" s="663"/>
      <c r="FI473" s="663"/>
      <c r="FJ473" s="663"/>
      <c r="FK473" s="663"/>
      <c r="FL473" s="663"/>
      <c r="FM473" s="663"/>
      <c r="FN473" s="663"/>
      <c r="FO473" s="663"/>
      <c r="FP473" s="663"/>
      <c r="FQ473" s="663"/>
      <c r="FR473" s="663"/>
      <c r="FS473" s="663"/>
      <c r="FT473" s="663"/>
      <c r="FU473" s="663"/>
      <c r="FV473" s="663"/>
      <c r="FW473" s="663"/>
      <c r="FX473" s="663"/>
      <c r="FY473" s="663"/>
      <c r="FZ473" s="663"/>
      <c r="GA473" s="663"/>
      <c r="GB473" s="663"/>
      <c r="GC473" s="663"/>
      <c r="GD473" s="663"/>
      <c r="GE473" s="663"/>
      <c r="GF473" s="663"/>
      <c r="GG473" s="663"/>
    </row>
    <row r="474" spans="1:189">
      <c r="A474" s="670"/>
      <c r="B474" s="670"/>
      <c r="C474" s="670"/>
      <c r="D474" s="670"/>
      <c r="E474" s="670"/>
      <c r="F474" s="670"/>
      <c r="G474" s="673"/>
      <c r="H474" s="627"/>
      <c r="I474" s="627"/>
      <c r="J474" s="672"/>
      <c r="K474" s="663"/>
      <c r="L474" s="663"/>
      <c r="M474" s="663"/>
      <c r="N474" s="663"/>
      <c r="O474" s="663"/>
      <c r="P474" s="663"/>
      <c r="Q474" s="663"/>
      <c r="R474" s="663"/>
      <c r="S474" s="663"/>
      <c r="T474" s="663"/>
      <c r="U474" s="663"/>
      <c r="V474" s="663"/>
      <c r="W474" s="663"/>
      <c r="X474" s="663"/>
      <c r="Y474" s="663"/>
      <c r="Z474" s="663"/>
      <c r="AA474" s="663"/>
      <c r="AB474" s="663"/>
      <c r="AC474" s="663"/>
      <c r="AD474" s="663"/>
      <c r="AE474" s="663"/>
      <c r="AF474" s="663"/>
      <c r="AG474" s="663"/>
      <c r="AH474" s="663"/>
      <c r="AI474" s="663"/>
      <c r="AJ474" s="663"/>
      <c r="AK474" s="663"/>
      <c r="AL474" s="663"/>
      <c r="AM474" s="663"/>
      <c r="AN474" s="663"/>
      <c r="AO474" s="663"/>
      <c r="AP474" s="663"/>
      <c r="AQ474" s="663"/>
      <c r="AR474" s="663"/>
      <c r="AS474" s="663"/>
      <c r="AT474" s="663"/>
      <c r="AU474" s="663"/>
      <c r="AV474" s="663"/>
      <c r="AW474" s="663"/>
      <c r="AX474" s="663"/>
      <c r="AY474" s="663"/>
      <c r="AZ474" s="663"/>
      <c r="BA474" s="663"/>
      <c r="BB474" s="663"/>
      <c r="BC474" s="663"/>
      <c r="BD474" s="663"/>
      <c r="BE474" s="663"/>
      <c r="BF474" s="663"/>
      <c r="BG474" s="663"/>
      <c r="BH474" s="663"/>
      <c r="BI474" s="663"/>
      <c r="BJ474" s="663"/>
      <c r="BK474" s="663"/>
      <c r="BL474" s="663"/>
      <c r="BM474" s="663"/>
      <c r="BN474" s="663"/>
      <c r="BO474" s="663"/>
      <c r="BP474" s="663"/>
      <c r="BQ474" s="663"/>
      <c r="BR474" s="663"/>
      <c r="BS474" s="663"/>
      <c r="BT474" s="663"/>
      <c r="BU474" s="663"/>
      <c r="BV474" s="663"/>
      <c r="BW474" s="663"/>
      <c r="BX474" s="663"/>
      <c r="BY474" s="663"/>
      <c r="BZ474" s="663"/>
      <c r="CA474" s="663"/>
      <c r="CB474" s="663"/>
      <c r="CC474" s="663"/>
      <c r="CD474" s="663"/>
      <c r="CE474" s="663"/>
      <c r="CF474" s="663"/>
      <c r="CG474" s="663"/>
      <c r="CH474" s="663"/>
      <c r="CI474" s="663"/>
      <c r="CJ474" s="663"/>
      <c r="CK474" s="663"/>
      <c r="CL474" s="663"/>
      <c r="CM474" s="663"/>
      <c r="CN474" s="663"/>
      <c r="CO474" s="663"/>
      <c r="CP474" s="663"/>
      <c r="CQ474" s="663"/>
      <c r="CR474" s="663"/>
      <c r="CS474" s="663"/>
      <c r="CT474" s="663"/>
      <c r="CU474" s="663"/>
      <c r="CV474" s="663"/>
      <c r="CW474" s="663"/>
      <c r="CX474" s="663"/>
      <c r="CY474" s="663"/>
      <c r="CZ474" s="663"/>
      <c r="DA474" s="663"/>
      <c r="DB474" s="663"/>
      <c r="DC474" s="663"/>
      <c r="DD474" s="663"/>
      <c r="DE474" s="663"/>
      <c r="DF474" s="663"/>
      <c r="DG474" s="663"/>
      <c r="DH474" s="663"/>
      <c r="DI474" s="663"/>
      <c r="DJ474" s="663"/>
      <c r="DK474" s="663"/>
      <c r="DL474" s="663"/>
      <c r="DM474" s="663"/>
      <c r="DN474" s="663"/>
      <c r="DO474" s="663"/>
      <c r="DP474" s="663"/>
      <c r="DQ474" s="663"/>
      <c r="DR474" s="663"/>
      <c r="DS474" s="663"/>
      <c r="DT474" s="663"/>
      <c r="DU474" s="663"/>
      <c r="DV474" s="663"/>
      <c r="DW474" s="663"/>
      <c r="DX474" s="663"/>
      <c r="DY474" s="663"/>
      <c r="DZ474" s="663"/>
      <c r="EA474" s="663"/>
      <c r="EB474" s="663"/>
      <c r="EC474" s="663"/>
      <c r="ED474" s="663"/>
      <c r="EE474" s="663"/>
      <c r="EF474" s="663"/>
      <c r="EG474" s="663"/>
      <c r="EH474" s="663"/>
      <c r="EI474" s="663"/>
      <c r="EJ474" s="663"/>
      <c r="EK474" s="663"/>
      <c r="EL474" s="663"/>
      <c r="EM474" s="663"/>
      <c r="EN474" s="663"/>
      <c r="EO474" s="663"/>
      <c r="EP474" s="663"/>
      <c r="EQ474" s="663"/>
      <c r="ER474" s="663"/>
      <c r="ES474" s="663"/>
      <c r="ET474" s="663"/>
      <c r="EU474" s="663"/>
      <c r="EV474" s="663"/>
      <c r="EW474" s="663"/>
      <c r="EX474" s="663"/>
      <c r="EY474" s="663"/>
      <c r="EZ474" s="663"/>
      <c r="FA474" s="663"/>
      <c r="FB474" s="663"/>
      <c r="FC474" s="663"/>
      <c r="FD474" s="663"/>
      <c r="FE474" s="663"/>
      <c r="FF474" s="663"/>
      <c r="FG474" s="663"/>
      <c r="FH474" s="663"/>
      <c r="FI474" s="663"/>
      <c r="FJ474" s="663"/>
      <c r="FK474" s="663"/>
      <c r="FL474" s="663"/>
      <c r="FM474" s="663"/>
      <c r="FN474" s="663"/>
      <c r="FO474" s="663"/>
      <c r="FP474" s="663"/>
      <c r="FQ474" s="663"/>
      <c r="FR474" s="663"/>
      <c r="FS474" s="663"/>
      <c r="FT474" s="663"/>
      <c r="FU474" s="663"/>
      <c r="FV474" s="663"/>
      <c r="FW474" s="663"/>
      <c r="FX474" s="663"/>
      <c r="FY474" s="663"/>
      <c r="FZ474" s="663"/>
      <c r="GA474" s="663"/>
      <c r="GB474" s="663"/>
      <c r="GC474" s="663"/>
      <c r="GD474" s="663"/>
      <c r="GE474" s="663"/>
      <c r="GF474" s="663"/>
      <c r="GG474" s="663"/>
    </row>
    <row r="475" spans="1:189">
      <c r="A475" s="670"/>
      <c r="B475" s="670"/>
      <c r="C475" s="670"/>
      <c r="D475" s="670"/>
      <c r="E475" s="670"/>
      <c r="F475" s="670"/>
      <c r="G475" s="673"/>
      <c r="H475" s="627"/>
      <c r="I475" s="627"/>
      <c r="J475" s="672"/>
      <c r="K475" s="663"/>
      <c r="L475" s="663"/>
      <c r="M475" s="663"/>
      <c r="N475" s="663"/>
      <c r="O475" s="663"/>
      <c r="P475" s="663"/>
      <c r="Q475" s="663"/>
      <c r="R475" s="663"/>
      <c r="S475" s="663"/>
      <c r="T475" s="663"/>
      <c r="U475" s="663"/>
      <c r="V475" s="663"/>
      <c r="W475" s="663"/>
      <c r="X475" s="663"/>
      <c r="Y475" s="663"/>
      <c r="Z475" s="663"/>
      <c r="AA475" s="663"/>
      <c r="AB475" s="663"/>
      <c r="AC475" s="663"/>
      <c r="AD475" s="663"/>
      <c r="AE475" s="663"/>
      <c r="AF475" s="663"/>
      <c r="AG475" s="663"/>
      <c r="AH475" s="663"/>
      <c r="AI475" s="663"/>
      <c r="AJ475" s="663"/>
      <c r="AK475" s="663"/>
      <c r="AL475" s="663"/>
      <c r="AM475" s="663"/>
      <c r="AN475" s="663"/>
      <c r="AO475" s="663"/>
      <c r="AP475" s="663"/>
      <c r="AQ475" s="663"/>
      <c r="AR475" s="663"/>
      <c r="AS475" s="663"/>
      <c r="AT475" s="663"/>
      <c r="AU475" s="663"/>
      <c r="AV475" s="663"/>
      <c r="AW475" s="663"/>
      <c r="AX475" s="663"/>
      <c r="AY475" s="663"/>
      <c r="AZ475" s="663"/>
      <c r="BA475" s="663"/>
      <c r="BB475" s="663"/>
      <c r="BC475" s="663"/>
      <c r="BD475" s="663"/>
      <c r="BE475" s="663"/>
      <c r="BF475" s="663"/>
      <c r="BG475" s="663"/>
      <c r="BH475" s="663"/>
      <c r="BI475" s="663"/>
      <c r="BJ475" s="663"/>
      <c r="BK475" s="663"/>
      <c r="BL475" s="663"/>
      <c r="BM475" s="663"/>
      <c r="BN475" s="663"/>
      <c r="BO475" s="663"/>
      <c r="BP475" s="663"/>
      <c r="BQ475" s="663"/>
      <c r="BR475" s="663"/>
      <c r="BS475" s="663"/>
      <c r="BT475" s="663"/>
      <c r="BU475" s="663"/>
      <c r="BV475" s="663"/>
      <c r="BW475" s="663"/>
      <c r="BX475" s="663"/>
      <c r="BY475" s="663"/>
      <c r="BZ475" s="663"/>
      <c r="CA475" s="663"/>
      <c r="CB475" s="663"/>
      <c r="CC475" s="663"/>
      <c r="CD475" s="663"/>
      <c r="CE475" s="663"/>
      <c r="CF475" s="663"/>
      <c r="CG475" s="663"/>
      <c r="CH475" s="663"/>
      <c r="CI475" s="663"/>
      <c r="CJ475" s="663"/>
      <c r="CK475" s="663"/>
      <c r="CL475" s="663"/>
      <c r="CM475" s="663"/>
      <c r="CN475" s="663"/>
      <c r="CO475" s="663"/>
      <c r="CP475" s="663"/>
      <c r="CQ475" s="663"/>
      <c r="CR475" s="663"/>
      <c r="CS475" s="663"/>
      <c r="CT475" s="663"/>
      <c r="CU475" s="663"/>
      <c r="CV475" s="663"/>
      <c r="CW475" s="663"/>
      <c r="CX475" s="663"/>
      <c r="CY475" s="663"/>
      <c r="CZ475" s="663"/>
      <c r="DA475" s="663"/>
      <c r="DB475" s="663"/>
      <c r="DC475" s="663"/>
      <c r="DD475" s="663"/>
      <c r="DE475" s="663"/>
      <c r="DF475" s="663"/>
      <c r="DG475" s="663"/>
      <c r="DH475" s="663"/>
      <c r="DI475" s="663"/>
      <c r="DJ475" s="663"/>
      <c r="DK475" s="663"/>
      <c r="DL475" s="663"/>
      <c r="DM475" s="663"/>
      <c r="DN475" s="663"/>
      <c r="DO475" s="663"/>
      <c r="DP475" s="663"/>
      <c r="DQ475" s="663"/>
      <c r="DR475" s="663"/>
      <c r="DS475" s="663"/>
      <c r="DT475" s="663"/>
      <c r="DU475" s="663"/>
      <c r="DV475" s="663"/>
      <c r="DW475" s="663"/>
      <c r="DX475" s="663"/>
      <c r="DY475" s="663"/>
      <c r="DZ475" s="663"/>
      <c r="EA475" s="663"/>
      <c r="EB475" s="663"/>
      <c r="EC475" s="663"/>
      <c r="ED475" s="663"/>
      <c r="EE475" s="663"/>
      <c r="EF475" s="663"/>
      <c r="EG475" s="663"/>
      <c r="EH475" s="663"/>
      <c r="EI475" s="663"/>
      <c r="EJ475" s="663"/>
      <c r="EK475" s="663"/>
      <c r="EL475" s="663"/>
      <c r="EM475" s="663"/>
      <c r="EN475" s="663"/>
      <c r="EO475" s="663"/>
      <c r="EP475" s="663"/>
      <c r="EQ475" s="663"/>
      <c r="ER475" s="663"/>
      <c r="ES475" s="663"/>
      <c r="ET475" s="663"/>
      <c r="EU475" s="663"/>
      <c r="EV475" s="663"/>
      <c r="EW475" s="663"/>
      <c r="EX475" s="663"/>
      <c r="EY475" s="663"/>
      <c r="EZ475" s="663"/>
      <c r="FA475" s="663"/>
      <c r="FB475" s="663"/>
      <c r="FC475" s="663"/>
      <c r="FD475" s="663"/>
      <c r="FE475" s="663"/>
      <c r="FF475" s="663"/>
      <c r="FG475" s="663"/>
      <c r="FH475" s="663"/>
      <c r="FI475" s="663"/>
      <c r="FJ475" s="663"/>
      <c r="FK475" s="663"/>
      <c r="FL475" s="663"/>
      <c r="FM475" s="663"/>
      <c r="FN475" s="663"/>
      <c r="FO475" s="663"/>
      <c r="FP475" s="663"/>
      <c r="FQ475" s="663"/>
      <c r="FR475" s="663"/>
      <c r="FS475" s="663"/>
      <c r="FT475" s="663"/>
      <c r="FU475" s="663"/>
      <c r="FV475" s="663"/>
      <c r="FW475" s="663"/>
      <c r="FX475" s="663"/>
      <c r="FY475" s="663"/>
      <c r="FZ475" s="663"/>
      <c r="GA475" s="663"/>
      <c r="GB475" s="663"/>
      <c r="GC475" s="663"/>
      <c r="GD475" s="663"/>
      <c r="GE475" s="663"/>
      <c r="GF475" s="663"/>
      <c r="GG475" s="663"/>
    </row>
    <row r="476" spans="1:189">
      <c r="A476" s="670"/>
      <c r="B476" s="670"/>
      <c r="C476" s="670"/>
      <c r="D476" s="670"/>
      <c r="E476" s="670"/>
      <c r="F476" s="670"/>
      <c r="G476" s="673"/>
      <c r="H476" s="627"/>
      <c r="I476" s="627"/>
      <c r="J476" s="672"/>
      <c r="K476" s="663"/>
      <c r="L476" s="663"/>
      <c r="M476" s="663"/>
      <c r="N476" s="663"/>
      <c r="O476" s="663"/>
      <c r="P476" s="663"/>
      <c r="Q476" s="663"/>
      <c r="R476" s="663"/>
      <c r="S476" s="663"/>
      <c r="T476" s="663"/>
      <c r="U476" s="663"/>
      <c r="V476" s="663"/>
      <c r="W476" s="663"/>
      <c r="X476" s="663"/>
      <c r="Y476" s="663"/>
      <c r="Z476" s="663"/>
      <c r="AA476" s="663"/>
      <c r="AB476" s="663"/>
      <c r="AC476" s="663"/>
      <c r="AD476" s="663"/>
      <c r="AE476" s="663"/>
      <c r="AF476" s="663"/>
      <c r="AG476" s="663"/>
      <c r="AH476" s="663"/>
      <c r="AI476" s="663"/>
      <c r="AJ476" s="663"/>
      <c r="AK476" s="663"/>
      <c r="AL476" s="663"/>
      <c r="AM476" s="663"/>
      <c r="AN476" s="663"/>
      <c r="AO476" s="663"/>
      <c r="AP476" s="663"/>
      <c r="AQ476" s="663"/>
      <c r="AR476" s="663"/>
      <c r="AS476" s="663"/>
      <c r="AT476" s="663"/>
      <c r="AU476" s="663"/>
      <c r="AV476" s="663"/>
      <c r="AW476" s="663"/>
      <c r="AX476" s="663"/>
      <c r="AY476" s="663"/>
      <c r="AZ476" s="663"/>
      <c r="BA476" s="663"/>
      <c r="BB476" s="663"/>
      <c r="BC476" s="663"/>
      <c r="BD476" s="663"/>
      <c r="BE476" s="663"/>
      <c r="BF476" s="663"/>
      <c r="BG476" s="663"/>
      <c r="BH476" s="663"/>
      <c r="BI476" s="663"/>
      <c r="BJ476" s="663"/>
      <c r="BK476" s="663"/>
      <c r="BL476" s="663"/>
      <c r="BM476" s="663"/>
      <c r="BN476" s="663"/>
      <c r="BO476" s="663"/>
      <c r="BP476" s="663"/>
      <c r="BQ476" s="663"/>
      <c r="BR476" s="663"/>
      <c r="BS476" s="663"/>
      <c r="BT476" s="663"/>
      <c r="BU476" s="663"/>
      <c r="BV476" s="663"/>
      <c r="BW476" s="663"/>
      <c r="BX476" s="663"/>
      <c r="BY476" s="663"/>
      <c r="BZ476" s="663"/>
      <c r="CA476" s="663"/>
      <c r="CB476" s="663"/>
      <c r="CC476" s="663"/>
      <c r="CD476" s="663"/>
      <c r="CE476" s="663"/>
      <c r="CF476" s="663"/>
      <c r="CG476" s="663"/>
      <c r="CH476" s="663"/>
      <c r="CI476" s="663"/>
      <c r="CJ476" s="663"/>
      <c r="CK476" s="663"/>
      <c r="CL476" s="663"/>
      <c r="CM476" s="663"/>
      <c r="CN476" s="663"/>
      <c r="CO476" s="663"/>
      <c r="CP476" s="663"/>
      <c r="CQ476" s="663"/>
      <c r="CR476" s="663"/>
      <c r="CS476" s="663"/>
      <c r="CT476" s="663"/>
      <c r="CU476" s="663"/>
      <c r="CV476" s="663"/>
      <c r="CW476" s="663"/>
      <c r="CX476" s="663"/>
      <c r="CY476" s="663"/>
      <c r="CZ476" s="663"/>
      <c r="DA476" s="663"/>
      <c r="DB476" s="663"/>
      <c r="DC476" s="663"/>
      <c r="DD476" s="663"/>
      <c r="DE476" s="663"/>
      <c r="DF476" s="663"/>
      <c r="DG476" s="663"/>
      <c r="DH476" s="663"/>
      <c r="DI476" s="663"/>
      <c r="DJ476" s="663"/>
      <c r="DK476" s="663"/>
      <c r="DL476" s="663"/>
      <c r="DM476" s="663"/>
      <c r="DN476" s="663"/>
      <c r="DO476" s="663"/>
      <c r="DP476" s="663"/>
      <c r="DQ476" s="663"/>
      <c r="DR476" s="663"/>
      <c r="DS476" s="663"/>
      <c r="DT476" s="663"/>
      <c r="DU476" s="663"/>
      <c r="DV476" s="663"/>
      <c r="DW476" s="663"/>
      <c r="DX476" s="663"/>
      <c r="DY476" s="663"/>
      <c r="DZ476" s="663"/>
      <c r="EA476" s="663"/>
      <c r="EB476" s="663"/>
      <c r="EC476" s="663"/>
      <c r="ED476" s="663"/>
      <c r="EE476" s="663"/>
      <c r="EF476" s="663"/>
      <c r="EG476" s="663"/>
      <c r="EH476" s="663"/>
      <c r="EI476" s="663"/>
      <c r="EJ476" s="663"/>
      <c r="EK476" s="663"/>
      <c r="EL476" s="663"/>
      <c r="EM476" s="663"/>
      <c r="EN476" s="663"/>
      <c r="EO476" s="663"/>
      <c r="EP476" s="663"/>
      <c r="EQ476" s="663"/>
      <c r="ER476" s="663"/>
      <c r="ES476" s="663"/>
      <c r="ET476" s="663"/>
      <c r="EU476" s="663"/>
      <c r="EV476" s="663"/>
      <c r="EW476" s="663"/>
      <c r="EX476" s="663"/>
      <c r="EY476" s="663"/>
      <c r="EZ476" s="663"/>
      <c r="FA476" s="663"/>
      <c r="FB476" s="663"/>
      <c r="FC476" s="663"/>
      <c r="FD476" s="663"/>
      <c r="FE476" s="663"/>
      <c r="FF476" s="663"/>
      <c r="FG476" s="663"/>
      <c r="FH476" s="663"/>
      <c r="FI476" s="663"/>
      <c r="FJ476" s="663"/>
      <c r="FK476" s="663"/>
      <c r="FL476" s="663"/>
      <c r="FM476" s="663"/>
      <c r="FN476" s="663"/>
      <c r="FO476" s="663"/>
      <c r="FP476" s="663"/>
      <c r="FQ476" s="663"/>
      <c r="FR476" s="663"/>
      <c r="FS476" s="663"/>
      <c r="FT476" s="663"/>
      <c r="FU476" s="663"/>
      <c r="FV476" s="663"/>
      <c r="FW476" s="663"/>
      <c r="FX476" s="663"/>
      <c r="FY476" s="663"/>
      <c r="FZ476" s="663"/>
      <c r="GA476" s="663"/>
      <c r="GB476" s="663"/>
      <c r="GC476" s="663"/>
      <c r="GD476" s="663"/>
      <c r="GE476" s="663"/>
      <c r="GF476" s="663"/>
      <c r="GG476" s="663"/>
    </row>
    <row r="477" spans="1:189">
      <c r="A477" s="670"/>
      <c r="B477" s="670"/>
      <c r="C477" s="670"/>
      <c r="D477" s="670"/>
      <c r="E477" s="670"/>
      <c r="F477" s="670"/>
      <c r="G477" s="673"/>
      <c r="H477" s="627"/>
      <c r="I477" s="627"/>
      <c r="J477" s="672"/>
      <c r="K477" s="663"/>
      <c r="L477" s="663"/>
      <c r="M477" s="663"/>
      <c r="N477" s="663"/>
      <c r="O477" s="663"/>
      <c r="P477" s="663"/>
      <c r="Q477" s="663"/>
      <c r="R477" s="663"/>
      <c r="S477" s="663"/>
      <c r="T477" s="663"/>
      <c r="U477" s="663"/>
      <c r="V477" s="663"/>
      <c r="W477" s="663"/>
      <c r="X477" s="663"/>
      <c r="Y477" s="663"/>
      <c r="Z477" s="663"/>
      <c r="AA477" s="663"/>
      <c r="AB477" s="663"/>
      <c r="AC477" s="663"/>
      <c r="AD477" s="663"/>
      <c r="AE477" s="663"/>
      <c r="AF477" s="663"/>
      <c r="AG477" s="663"/>
      <c r="AH477" s="663"/>
      <c r="AI477" s="663"/>
      <c r="AJ477" s="663"/>
      <c r="AK477" s="663"/>
      <c r="AL477" s="663"/>
      <c r="AM477" s="663"/>
      <c r="AN477" s="663"/>
      <c r="AO477" s="663"/>
      <c r="AP477" s="663"/>
      <c r="AQ477" s="663"/>
      <c r="AR477" s="663"/>
      <c r="AS477" s="663"/>
      <c r="AT477" s="663"/>
      <c r="AU477" s="663"/>
      <c r="AV477" s="663"/>
      <c r="AW477" s="663"/>
      <c r="AX477" s="663"/>
      <c r="AY477" s="663"/>
      <c r="AZ477" s="663"/>
      <c r="BA477" s="663"/>
      <c r="BB477" s="663"/>
      <c r="BC477" s="663"/>
      <c r="BD477" s="663"/>
      <c r="BE477" s="663"/>
      <c r="BF477" s="663"/>
      <c r="BG477" s="663"/>
      <c r="BH477" s="663"/>
      <c r="BI477" s="663"/>
      <c r="BJ477" s="663"/>
      <c r="BK477" s="663"/>
      <c r="BL477" s="663"/>
      <c r="BM477" s="663"/>
      <c r="BN477" s="663"/>
      <c r="BO477" s="663"/>
      <c r="BP477" s="663"/>
      <c r="BQ477" s="663"/>
      <c r="BR477" s="663"/>
      <c r="BS477" s="663"/>
      <c r="BT477" s="663"/>
      <c r="BU477" s="663"/>
      <c r="BV477" s="663"/>
      <c r="BW477" s="663"/>
      <c r="BX477" s="663"/>
      <c r="BY477" s="663"/>
      <c r="BZ477" s="663"/>
      <c r="CA477" s="663"/>
      <c r="CB477" s="663"/>
      <c r="CC477" s="663"/>
      <c r="CD477" s="663"/>
      <c r="CE477" s="663"/>
      <c r="CF477" s="663"/>
      <c r="CG477" s="663"/>
      <c r="CH477" s="663"/>
      <c r="CI477" s="663"/>
      <c r="CJ477" s="663"/>
      <c r="CK477" s="663"/>
      <c r="CL477" s="663"/>
      <c r="CM477" s="663"/>
      <c r="CN477" s="663"/>
      <c r="CO477" s="663"/>
      <c r="CP477" s="663"/>
      <c r="CQ477" s="663"/>
      <c r="CR477" s="663"/>
      <c r="CS477" s="663"/>
      <c r="CT477" s="663"/>
      <c r="CU477" s="663"/>
      <c r="CV477" s="663"/>
      <c r="CW477" s="663"/>
      <c r="CX477" s="663"/>
      <c r="CY477" s="663"/>
      <c r="CZ477" s="663"/>
      <c r="DA477" s="663"/>
      <c r="DB477" s="663"/>
      <c r="DC477" s="663"/>
      <c r="DD477" s="663"/>
      <c r="DE477" s="663"/>
      <c r="DF477" s="663"/>
      <c r="DG477" s="663"/>
      <c r="DH477" s="663"/>
      <c r="DI477" s="663"/>
      <c r="DJ477" s="663"/>
      <c r="DK477" s="663"/>
      <c r="DL477" s="663"/>
      <c r="DM477" s="663"/>
      <c r="DN477" s="663"/>
      <c r="DO477" s="663"/>
      <c r="DP477" s="663"/>
      <c r="DQ477" s="663"/>
      <c r="DR477" s="663"/>
      <c r="DS477" s="663"/>
      <c r="DT477" s="663"/>
      <c r="DU477" s="663"/>
      <c r="DV477" s="663"/>
      <c r="DW477" s="663"/>
      <c r="DX477" s="663"/>
      <c r="DY477" s="663"/>
      <c r="DZ477" s="663"/>
      <c r="EA477" s="663"/>
      <c r="EB477" s="663"/>
      <c r="EC477" s="663"/>
      <c r="ED477" s="663"/>
      <c r="EE477" s="663"/>
      <c r="EF477" s="663"/>
      <c r="EG477" s="663"/>
      <c r="EH477" s="663"/>
      <c r="EI477" s="663"/>
      <c r="EJ477" s="663"/>
      <c r="EK477" s="663"/>
      <c r="EL477" s="663"/>
      <c r="EM477" s="663"/>
      <c r="EN477" s="663"/>
      <c r="EO477" s="663"/>
      <c r="EP477" s="663"/>
      <c r="EQ477" s="663"/>
      <c r="ER477" s="663"/>
      <c r="ES477" s="663"/>
      <c r="ET477" s="663"/>
      <c r="EU477" s="663"/>
      <c r="EV477" s="663"/>
      <c r="EW477" s="663"/>
      <c r="EX477" s="663"/>
      <c r="EY477" s="663"/>
      <c r="EZ477" s="663"/>
      <c r="FA477" s="663"/>
      <c r="FB477" s="663"/>
      <c r="FC477" s="663"/>
      <c r="FD477" s="663"/>
      <c r="FE477" s="663"/>
      <c r="FF477" s="663"/>
      <c r="FG477" s="663"/>
      <c r="FH477" s="663"/>
      <c r="FI477" s="663"/>
      <c r="FJ477" s="663"/>
      <c r="FK477" s="663"/>
      <c r="FL477" s="663"/>
      <c r="FM477" s="663"/>
      <c r="FN477" s="663"/>
      <c r="FO477" s="663"/>
      <c r="FP477" s="663"/>
      <c r="FQ477" s="663"/>
      <c r="FR477" s="663"/>
      <c r="FS477" s="663"/>
      <c r="FT477" s="663"/>
      <c r="FU477" s="663"/>
      <c r="FV477" s="663"/>
      <c r="FW477" s="663"/>
      <c r="FX477" s="663"/>
      <c r="FY477" s="663"/>
      <c r="FZ477" s="663"/>
      <c r="GA477" s="663"/>
      <c r="GB477" s="663"/>
      <c r="GC477" s="663"/>
      <c r="GD477" s="663"/>
      <c r="GE477" s="663"/>
      <c r="GF477" s="663"/>
      <c r="GG477" s="663"/>
    </row>
    <row r="478" spans="1:189">
      <c r="A478" s="670"/>
      <c r="B478" s="670"/>
      <c r="C478" s="670"/>
      <c r="D478" s="670"/>
      <c r="E478" s="670"/>
      <c r="F478" s="670"/>
      <c r="G478" s="673"/>
      <c r="H478" s="627"/>
      <c r="I478" s="627"/>
      <c r="J478" s="672"/>
      <c r="K478" s="663"/>
      <c r="L478" s="663"/>
      <c r="M478" s="663"/>
      <c r="N478" s="663"/>
      <c r="O478" s="663"/>
      <c r="P478" s="663"/>
      <c r="Q478" s="663"/>
      <c r="R478" s="663"/>
      <c r="S478" s="663"/>
      <c r="T478" s="663"/>
      <c r="U478" s="663"/>
      <c r="V478" s="663"/>
      <c r="W478" s="663"/>
      <c r="X478" s="663"/>
      <c r="Y478" s="663"/>
      <c r="Z478" s="663"/>
      <c r="AA478" s="663"/>
      <c r="AB478" s="663"/>
      <c r="AC478" s="663"/>
      <c r="AD478" s="663"/>
      <c r="AE478" s="663"/>
      <c r="AF478" s="663"/>
      <c r="AG478" s="663"/>
      <c r="AH478" s="663"/>
      <c r="AI478" s="663"/>
      <c r="AJ478" s="663"/>
      <c r="AK478" s="663"/>
      <c r="AL478" s="663"/>
      <c r="AM478" s="663"/>
      <c r="AN478" s="663"/>
      <c r="AO478" s="663"/>
      <c r="AP478" s="663"/>
      <c r="AQ478" s="663"/>
      <c r="AR478" s="663"/>
      <c r="AS478" s="663"/>
      <c r="AT478" s="663"/>
      <c r="AU478" s="663"/>
      <c r="AV478" s="663"/>
      <c r="AW478" s="663"/>
      <c r="AX478" s="663"/>
      <c r="AY478" s="663"/>
      <c r="AZ478" s="663"/>
      <c r="BA478" s="663"/>
      <c r="BB478" s="663"/>
      <c r="BC478" s="663"/>
      <c r="BD478" s="663"/>
      <c r="BE478" s="663"/>
      <c r="BF478" s="663"/>
      <c r="BG478" s="663"/>
      <c r="BH478" s="663"/>
      <c r="BI478" s="663"/>
      <c r="BJ478" s="663"/>
      <c r="BK478" s="663"/>
      <c r="BL478" s="663"/>
      <c r="BM478" s="663"/>
      <c r="BN478" s="663"/>
      <c r="BO478" s="663"/>
      <c r="BP478" s="663"/>
      <c r="BQ478" s="663"/>
      <c r="BR478" s="663"/>
      <c r="BS478" s="663"/>
      <c r="BT478" s="663"/>
      <c r="BU478" s="663"/>
      <c r="BV478" s="663"/>
      <c r="BW478" s="663"/>
      <c r="BX478" s="663"/>
      <c r="BY478" s="663"/>
      <c r="BZ478" s="663"/>
      <c r="CA478" s="663"/>
      <c r="CB478" s="663"/>
      <c r="CC478" s="663"/>
      <c r="CD478" s="663"/>
      <c r="CE478" s="663"/>
      <c r="CF478" s="663"/>
      <c r="CG478" s="663"/>
      <c r="CH478" s="663"/>
      <c r="CI478" s="663"/>
      <c r="CJ478" s="663"/>
      <c r="CK478" s="663"/>
      <c r="CL478" s="663"/>
      <c r="CM478" s="663"/>
      <c r="CN478" s="663"/>
      <c r="CO478" s="663"/>
      <c r="CP478" s="663"/>
      <c r="CQ478" s="663"/>
      <c r="CR478" s="663"/>
      <c r="CS478" s="663"/>
      <c r="CT478" s="663"/>
      <c r="CU478" s="663"/>
      <c r="CV478" s="663"/>
      <c r="CW478" s="663"/>
      <c r="CX478" s="663"/>
      <c r="CY478" s="663"/>
      <c r="CZ478" s="663"/>
      <c r="DA478" s="663"/>
      <c r="DB478" s="663"/>
      <c r="DC478" s="663"/>
      <c r="DD478" s="663"/>
      <c r="DE478" s="663"/>
      <c r="DF478" s="663"/>
      <c r="DG478" s="663"/>
      <c r="DH478" s="663"/>
      <c r="DI478" s="663"/>
      <c r="DJ478" s="663"/>
      <c r="DK478" s="663"/>
      <c r="DL478" s="663"/>
      <c r="DM478" s="663"/>
      <c r="DN478" s="663"/>
      <c r="DO478" s="663"/>
      <c r="DP478" s="663"/>
      <c r="DQ478" s="663"/>
      <c r="DR478" s="663"/>
      <c r="DS478" s="663"/>
      <c r="DT478" s="663"/>
      <c r="DU478" s="663"/>
      <c r="DV478" s="663"/>
      <c r="DW478" s="663"/>
      <c r="DX478" s="663"/>
      <c r="DY478" s="663"/>
      <c r="DZ478" s="663"/>
      <c r="EA478" s="663"/>
      <c r="EB478" s="663"/>
      <c r="EC478" s="663"/>
      <c r="ED478" s="663"/>
      <c r="EE478" s="663"/>
      <c r="EF478" s="663"/>
      <c r="EG478" s="663"/>
      <c r="EH478" s="663"/>
      <c r="EI478" s="663"/>
      <c r="EJ478" s="663"/>
      <c r="EK478" s="663"/>
      <c r="EL478" s="663"/>
      <c r="EM478" s="663"/>
      <c r="EN478" s="663"/>
      <c r="EO478" s="663"/>
      <c r="EP478" s="663"/>
      <c r="EQ478" s="663"/>
      <c r="ER478" s="663"/>
      <c r="ES478" s="663"/>
      <c r="ET478" s="663"/>
      <c r="EU478" s="663"/>
      <c r="EV478" s="663"/>
      <c r="EW478" s="663"/>
      <c r="EX478" s="663"/>
      <c r="EY478" s="663"/>
      <c r="EZ478" s="663"/>
      <c r="FA478" s="663"/>
      <c r="FB478" s="663"/>
      <c r="FC478" s="663"/>
      <c r="FD478" s="663"/>
      <c r="FE478" s="663"/>
      <c r="FF478" s="663"/>
      <c r="FG478" s="663"/>
      <c r="FH478" s="663"/>
      <c r="FI478" s="663"/>
      <c r="FJ478" s="663"/>
      <c r="FK478" s="663"/>
      <c r="FL478" s="663"/>
      <c r="FM478" s="663"/>
      <c r="FN478" s="663"/>
      <c r="FO478" s="663"/>
      <c r="FP478" s="663"/>
      <c r="FQ478" s="663"/>
      <c r="FR478" s="663"/>
      <c r="FS478" s="663"/>
      <c r="FT478" s="663"/>
      <c r="FU478" s="663"/>
      <c r="FV478" s="663"/>
      <c r="FW478" s="663"/>
      <c r="FX478" s="663"/>
      <c r="FY478" s="663"/>
      <c r="FZ478" s="663"/>
      <c r="GA478" s="663"/>
      <c r="GB478" s="663"/>
      <c r="GC478" s="663"/>
      <c r="GD478" s="663"/>
      <c r="GE478" s="663"/>
      <c r="GF478" s="663"/>
      <c r="GG478" s="663"/>
    </row>
    <row r="479" spans="1:189">
      <c r="A479" s="670"/>
      <c r="B479" s="670"/>
      <c r="C479" s="670"/>
      <c r="D479" s="670"/>
      <c r="E479" s="670"/>
      <c r="F479" s="670"/>
      <c r="G479" s="673"/>
      <c r="H479" s="627"/>
      <c r="I479" s="627"/>
      <c r="J479" s="672"/>
      <c r="K479" s="663"/>
      <c r="L479" s="663"/>
      <c r="M479" s="663"/>
      <c r="N479" s="663"/>
      <c r="O479" s="663"/>
      <c r="P479" s="663"/>
      <c r="Q479" s="663"/>
      <c r="R479" s="663"/>
      <c r="S479" s="663"/>
      <c r="T479" s="663"/>
      <c r="U479" s="663"/>
      <c r="V479" s="663"/>
      <c r="W479" s="663"/>
      <c r="X479" s="663"/>
      <c r="Y479" s="663"/>
      <c r="Z479" s="663"/>
      <c r="AA479" s="663"/>
      <c r="AB479" s="663"/>
      <c r="AC479" s="663"/>
      <c r="AD479" s="663"/>
      <c r="AE479" s="663"/>
      <c r="AF479" s="663"/>
      <c r="AG479" s="663"/>
      <c r="AH479" s="663"/>
      <c r="AI479" s="663"/>
      <c r="AJ479" s="663"/>
      <c r="AK479" s="663"/>
      <c r="AL479" s="663"/>
      <c r="AM479" s="663"/>
      <c r="AN479" s="663"/>
      <c r="AO479" s="663"/>
      <c r="AP479" s="663"/>
      <c r="AQ479" s="663"/>
      <c r="AR479" s="663"/>
      <c r="AS479" s="663"/>
      <c r="AT479" s="663"/>
      <c r="AU479" s="663"/>
      <c r="AV479" s="663"/>
      <c r="AW479" s="663"/>
      <c r="AX479" s="663"/>
      <c r="AY479" s="663"/>
      <c r="AZ479" s="663"/>
      <c r="BA479" s="663"/>
      <c r="BB479" s="663"/>
      <c r="BC479" s="663"/>
      <c r="BD479" s="663"/>
      <c r="BE479" s="663"/>
      <c r="BF479" s="663"/>
      <c r="BG479" s="663"/>
      <c r="BH479" s="663"/>
      <c r="BI479" s="663"/>
      <c r="BJ479" s="663"/>
      <c r="BK479" s="663"/>
      <c r="BL479" s="663"/>
      <c r="BM479" s="663"/>
      <c r="BN479" s="663"/>
      <c r="BO479" s="663"/>
      <c r="BP479" s="663"/>
      <c r="BQ479" s="663"/>
      <c r="BR479" s="663"/>
      <c r="BS479" s="663"/>
      <c r="BT479" s="663"/>
      <c r="BU479" s="663"/>
      <c r="BV479" s="663"/>
      <c r="BW479" s="663"/>
      <c r="BX479" s="663"/>
      <c r="BY479" s="663"/>
      <c r="BZ479" s="663"/>
      <c r="CA479" s="663"/>
      <c r="CB479" s="663"/>
      <c r="CC479" s="663"/>
      <c r="CD479" s="663"/>
      <c r="CE479" s="663"/>
      <c r="CF479" s="663"/>
      <c r="CG479" s="663"/>
      <c r="CH479" s="663"/>
      <c r="CI479" s="663"/>
      <c r="CJ479" s="663"/>
      <c r="CK479" s="663"/>
      <c r="CL479" s="663"/>
      <c r="CM479" s="663"/>
      <c r="CN479" s="663"/>
      <c r="CO479" s="663"/>
      <c r="CP479" s="663"/>
      <c r="CQ479" s="663"/>
      <c r="CR479" s="663"/>
      <c r="CS479" s="663"/>
      <c r="CT479" s="663"/>
      <c r="CU479" s="663"/>
      <c r="CV479" s="663"/>
      <c r="CW479" s="663"/>
      <c r="CX479" s="663"/>
      <c r="CY479" s="663"/>
      <c r="CZ479" s="663"/>
      <c r="DA479" s="663"/>
      <c r="DB479" s="663"/>
      <c r="DC479" s="663"/>
      <c r="DD479" s="663"/>
      <c r="DE479" s="663"/>
      <c r="DF479" s="663"/>
      <c r="DG479" s="663"/>
      <c r="DH479" s="663"/>
      <c r="DI479" s="663"/>
      <c r="DJ479" s="663"/>
      <c r="DK479" s="663"/>
      <c r="DL479" s="663"/>
      <c r="DM479" s="663"/>
      <c r="DN479" s="663"/>
      <c r="DO479" s="663"/>
      <c r="DP479" s="663"/>
      <c r="DQ479" s="663"/>
      <c r="DR479" s="663"/>
      <c r="DS479" s="663"/>
      <c r="DT479" s="663"/>
      <c r="DU479" s="663"/>
      <c r="DV479" s="663"/>
      <c r="DW479" s="663"/>
      <c r="DX479" s="663"/>
      <c r="DY479" s="663"/>
      <c r="DZ479" s="663"/>
      <c r="EA479" s="663"/>
      <c r="EB479" s="663"/>
      <c r="EC479" s="663"/>
      <c r="ED479" s="663"/>
      <c r="EE479" s="663"/>
      <c r="EF479" s="663"/>
      <c r="EG479" s="663"/>
      <c r="EH479" s="663"/>
      <c r="EI479" s="663"/>
      <c r="EJ479" s="663"/>
      <c r="EK479" s="663"/>
      <c r="EL479" s="663"/>
      <c r="EM479" s="663"/>
      <c r="EN479" s="663"/>
      <c r="EO479" s="663"/>
      <c r="EP479" s="663"/>
      <c r="EQ479" s="663"/>
      <c r="ER479" s="663"/>
      <c r="ES479" s="663"/>
      <c r="ET479" s="663"/>
      <c r="EU479" s="663"/>
      <c r="EV479" s="663"/>
      <c r="EW479" s="663"/>
      <c r="EX479" s="663"/>
      <c r="EY479" s="663"/>
      <c r="EZ479" s="663"/>
      <c r="FA479" s="663"/>
      <c r="FB479" s="663"/>
      <c r="FC479" s="663"/>
      <c r="FD479" s="663"/>
      <c r="FE479" s="663"/>
      <c r="FF479" s="663"/>
      <c r="FG479" s="663"/>
      <c r="FH479" s="663"/>
      <c r="FI479" s="663"/>
      <c r="FJ479" s="663"/>
      <c r="FK479" s="663"/>
      <c r="FL479" s="663"/>
      <c r="FM479" s="663"/>
      <c r="FN479" s="663"/>
      <c r="FO479" s="663"/>
      <c r="FP479" s="663"/>
      <c r="FQ479" s="663"/>
      <c r="FR479" s="663"/>
      <c r="FS479" s="663"/>
      <c r="FT479" s="663"/>
      <c r="FU479" s="663"/>
      <c r="FV479" s="663"/>
      <c r="FW479" s="663"/>
      <c r="FX479" s="663"/>
      <c r="FY479" s="663"/>
      <c r="FZ479" s="663"/>
      <c r="GA479" s="663"/>
      <c r="GB479" s="663"/>
      <c r="GC479" s="663"/>
      <c r="GD479" s="663"/>
      <c r="GE479" s="663"/>
      <c r="GF479" s="663"/>
      <c r="GG479" s="663"/>
    </row>
    <row r="480" spans="1:189">
      <c r="A480" s="670"/>
      <c r="B480" s="670"/>
      <c r="C480" s="670"/>
      <c r="D480" s="670"/>
      <c r="E480" s="670"/>
      <c r="F480" s="670"/>
      <c r="G480" s="673"/>
      <c r="H480" s="627"/>
      <c r="I480" s="627"/>
      <c r="J480" s="672"/>
      <c r="K480" s="663"/>
      <c r="L480" s="663"/>
      <c r="M480" s="663"/>
      <c r="N480" s="663"/>
      <c r="O480" s="663"/>
      <c r="P480" s="663"/>
      <c r="Q480" s="663"/>
      <c r="R480" s="663"/>
      <c r="S480" s="663"/>
      <c r="T480" s="663"/>
      <c r="U480" s="663"/>
      <c r="V480" s="663"/>
      <c r="W480" s="663"/>
      <c r="X480" s="663"/>
      <c r="Y480" s="663"/>
      <c r="Z480" s="663"/>
      <c r="AA480" s="663"/>
      <c r="AB480" s="663"/>
      <c r="AC480" s="663"/>
      <c r="AD480" s="663"/>
      <c r="AE480" s="663"/>
      <c r="AF480" s="663"/>
      <c r="AG480" s="663"/>
      <c r="AH480" s="663"/>
      <c r="AI480" s="663"/>
      <c r="AJ480" s="663"/>
      <c r="AK480" s="663"/>
      <c r="AL480" s="663"/>
      <c r="AM480" s="663"/>
      <c r="AN480" s="663"/>
      <c r="AO480" s="663"/>
      <c r="AP480" s="663"/>
      <c r="AQ480" s="663"/>
      <c r="AR480" s="663"/>
      <c r="AS480" s="663"/>
      <c r="AT480" s="663"/>
      <c r="AU480" s="663"/>
      <c r="AV480" s="663"/>
      <c r="AW480" s="663"/>
      <c r="AX480" s="663"/>
      <c r="AY480" s="663"/>
      <c r="AZ480" s="663"/>
      <c r="BA480" s="663"/>
      <c r="BB480" s="663"/>
      <c r="BC480" s="663"/>
      <c r="BD480" s="663"/>
      <c r="BE480" s="663"/>
      <c r="BF480" s="663"/>
      <c r="BG480" s="663"/>
      <c r="BH480" s="663"/>
      <c r="BI480" s="663"/>
      <c r="BJ480" s="663"/>
      <c r="BK480" s="663"/>
      <c r="BL480" s="663"/>
      <c r="BM480" s="663"/>
      <c r="BN480" s="663"/>
      <c r="BO480" s="663"/>
      <c r="BP480" s="663"/>
      <c r="BQ480" s="663"/>
      <c r="BR480" s="663"/>
      <c r="BS480" s="663"/>
      <c r="BT480" s="663"/>
      <c r="BU480" s="663"/>
      <c r="BV480" s="663"/>
      <c r="BW480" s="663"/>
      <c r="BX480" s="663"/>
      <c r="BY480" s="663"/>
      <c r="BZ480" s="663"/>
      <c r="CA480" s="663"/>
      <c r="CB480" s="663"/>
      <c r="CC480" s="663"/>
      <c r="CD480" s="663"/>
      <c r="CE480" s="663"/>
      <c r="CF480" s="663"/>
      <c r="CG480" s="663"/>
      <c r="CH480" s="663"/>
      <c r="CI480" s="663"/>
      <c r="CJ480" s="663"/>
      <c r="CK480" s="663"/>
      <c r="CL480" s="663"/>
      <c r="CM480" s="663"/>
      <c r="CN480" s="663"/>
      <c r="CO480" s="663"/>
      <c r="CP480" s="663"/>
      <c r="CQ480" s="663"/>
      <c r="CR480" s="663"/>
      <c r="CS480" s="663"/>
      <c r="CT480" s="663"/>
      <c r="CU480" s="663"/>
      <c r="CV480" s="663"/>
      <c r="CW480" s="663"/>
      <c r="CX480" s="663"/>
      <c r="CY480" s="663"/>
      <c r="CZ480" s="663"/>
      <c r="DA480" s="663"/>
      <c r="DB480" s="663"/>
      <c r="DC480" s="663"/>
      <c r="DD480" s="663"/>
      <c r="DE480" s="663"/>
      <c r="DF480" s="663"/>
      <c r="DG480" s="663"/>
      <c r="DH480" s="663"/>
      <c r="DI480" s="663"/>
      <c r="DJ480" s="663"/>
      <c r="DK480" s="663"/>
      <c r="DL480" s="663"/>
      <c r="DM480" s="663"/>
      <c r="DN480" s="663"/>
      <c r="DO480" s="663"/>
      <c r="DP480" s="663"/>
      <c r="DQ480" s="663"/>
      <c r="DR480" s="663"/>
      <c r="DS480" s="663"/>
      <c r="DT480" s="663"/>
      <c r="DU480" s="663"/>
      <c r="DV480" s="663"/>
      <c r="DW480" s="663"/>
      <c r="DX480" s="663"/>
      <c r="DY480" s="663"/>
      <c r="DZ480" s="663"/>
      <c r="EA480" s="663"/>
      <c r="EB480" s="663"/>
      <c r="EC480" s="663"/>
      <c r="ED480" s="663"/>
      <c r="EE480" s="663"/>
      <c r="EF480" s="663"/>
      <c r="EG480" s="663"/>
      <c r="EH480" s="663"/>
      <c r="EI480" s="663"/>
      <c r="EJ480" s="663"/>
      <c r="EK480" s="663"/>
      <c r="EL480" s="663"/>
      <c r="EM480" s="663"/>
      <c r="EN480" s="663"/>
      <c r="EO480" s="663"/>
      <c r="EP480" s="663"/>
      <c r="EQ480" s="663"/>
      <c r="ER480" s="663"/>
      <c r="ES480" s="663"/>
      <c r="ET480" s="663"/>
      <c r="EU480" s="663"/>
      <c r="EV480" s="663"/>
      <c r="EW480" s="663"/>
      <c r="EX480" s="663"/>
      <c r="EY480" s="663"/>
      <c r="EZ480" s="663"/>
      <c r="FA480" s="663"/>
      <c r="FB480" s="663"/>
      <c r="FC480" s="663"/>
      <c r="FD480" s="663"/>
      <c r="FE480" s="663"/>
      <c r="FF480" s="663"/>
      <c r="FG480" s="663"/>
      <c r="FH480" s="663"/>
      <c r="FI480" s="663"/>
      <c r="FJ480" s="663"/>
      <c r="FK480" s="663"/>
      <c r="FL480" s="663"/>
      <c r="FM480" s="663"/>
      <c r="FN480" s="663"/>
      <c r="FO480" s="663"/>
      <c r="FP480" s="663"/>
      <c r="FQ480" s="663"/>
      <c r="FR480" s="663"/>
      <c r="FS480" s="663"/>
      <c r="FT480" s="663"/>
      <c r="FU480" s="663"/>
      <c r="FV480" s="663"/>
      <c r="FW480" s="663"/>
      <c r="FX480" s="663"/>
      <c r="FY480" s="663"/>
      <c r="FZ480" s="663"/>
      <c r="GA480" s="663"/>
      <c r="GB480" s="663"/>
      <c r="GC480" s="663"/>
      <c r="GD480" s="663"/>
      <c r="GE480" s="663"/>
      <c r="GF480" s="663"/>
      <c r="GG480" s="663"/>
    </row>
    <row r="481" spans="1:189">
      <c r="A481" s="670"/>
      <c r="B481" s="670"/>
      <c r="C481" s="670"/>
      <c r="D481" s="670"/>
      <c r="E481" s="670"/>
      <c r="F481" s="670"/>
      <c r="G481" s="673"/>
      <c r="H481" s="627"/>
      <c r="I481" s="627"/>
      <c r="J481" s="672"/>
      <c r="K481" s="663"/>
      <c r="L481" s="663"/>
      <c r="M481" s="663"/>
      <c r="N481" s="663"/>
      <c r="O481" s="663"/>
      <c r="P481" s="663"/>
      <c r="Q481" s="663"/>
      <c r="R481" s="663"/>
      <c r="S481" s="663"/>
      <c r="T481" s="663"/>
      <c r="U481" s="663"/>
      <c r="V481" s="663"/>
      <c r="W481" s="663"/>
      <c r="X481" s="663"/>
      <c r="Y481" s="663"/>
      <c r="Z481" s="663"/>
      <c r="AA481" s="663"/>
      <c r="AB481" s="663"/>
      <c r="AC481" s="663"/>
      <c r="AD481" s="663"/>
      <c r="AE481" s="663"/>
      <c r="AF481" s="663"/>
      <c r="AG481" s="663"/>
      <c r="AH481" s="663"/>
      <c r="AI481" s="663"/>
      <c r="AJ481" s="663"/>
      <c r="AK481" s="663"/>
      <c r="AL481" s="663"/>
      <c r="AM481" s="663"/>
      <c r="AN481" s="663"/>
      <c r="AO481" s="663"/>
      <c r="AP481" s="663"/>
      <c r="AQ481" s="663"/>
      <c r="AR481" s="663"/>
      <c r="AS481" s="663"/>
      <c r="AT481" s="663"/>
      <c r="AU481" s="663"/>
      <c r="AV481" s="663"/>
      <c r="AW481" s="663"/>
      <c r="AX481" s="663"/>
      <c r="AY481" s="663"/>
      <c r="AZ481" s="663"/>
      <c r="BA481" s="663"/>
      <c r="BB481" s="663"/>
      <c r="BC481" s="663"/>
      <c r="BD481" s="663"/>
      <c r="BE481" s="663"/>
      <c r="BF481" s="663"/>
      <c r="BG481" s="663"/>
      <c r="BH481" s="663"/>
      <c r="BI481" s="663"/>
      <c r="BJ481" s="663"/>
      <c r="BK481" s="663"/>
      <c r="BL481" s="663"/>
      <c r="BM481" s="663"/>
      <c r="BN481" s="663"/>
      <c r="BO481" s="663"/>
      <c r="BP481" s="663"/>
      <c r="BQ481" s="663"/>
      <c r="BR481" s="663"/>
      <c r="BS481" s="663"/>
      <c r="BT481" s="663"/>
      <c r="BU481" s="663"/>
      <c r="BV481" s="663"/>
      <c r="BW481" s="663"/>
      <c r="BX481" s="663"/>
      <c r="BY481" s="663"/>
      <c r="BZ481" s="663"/>
      <c r="CA481" s="663"/>
      <c r="CB481" s="663"/>
      <c r="CC481" s="663"/>
      <c r="CD481" s="663"/>
      <c r="CE481" s="663"/>
      <c r="CF481" s="663"/>
      <c r="CG481" s="663"/>
      <c r="CH481" s="663"/>
      <c r="CI481" s="663"/>
      <c r="CJ481" s="663"/>
      <c r="CK481" s="663"/>
      <c r="CL481" s="663"/>
      <c r="CM481" s="663"/>
      <c r="CN481" s="663"/>
      <c r="CO481" s="663"/>
      <c r="CP481" s="663"/>
      <c r="CQ481" s="663"/>
      <c r="CR481" s="663"/>
      <c r="CS481" s="663"/>
      <c r="CT481" s="663"/>
      <c r="CU481" s="663"/>
      <c r="CV481" s="663"/>
      <c r="CW481" s="663"/>
      <c r="CX481" s="663"/>
      <c r="CY481" s="663"/>
      <c r="CZ481" s="663"/>
      <c r="DA481" s="663"/>
      <c r="DB481" s="663"/>
      <c r="DC481" s="663"/>
      <c r="DD481" s="663"/>
      <c r="DE481" s="663"/>
      <c r="DF481" s="663"/>
      <c r="DG481" s="663"/>
      <c r="DH481" s="663"/>
      <c r="DI481" s="663"/>
      <c r="DJ481" s="663"/>
      <c r="DK481" s="663"/>
      <c r="DL481" s="663"/>
      <c r="DM481" s="663"/>
      <c r="DN481" s="663"/>
      <c r="DO481" s="663"/>
      <c r="DP481" s="663"/>
      <c r="DQ481" s="663"/>
      <c r="DR481" s="663"/>
      <c r="DS481" s="663"/>
      <c r="DT481" s="663"/>
      <c r="DU481" s="663"/>
      <c r="DV481" s="663"/>
      <c r="DW481" s="663"/>
      <c r="DX481" s="663"/>
      <c r="DY481" s="663"/>
      <c r="DZ481" s="663"/>
      <c r="EA481" s="663"/>
      <c r="EB481" s="663"/>
      <c r="EC481" s="663"/>
      <c r="ED481" s="663"/>
      <c r="EE481" s="663"/>
      <c r="EF481" s="663"/>
      <c r="EG481" s="663"/>
      <c r="EH481" s="663"/>
      <c r="EI481" s="663"/>
      <c r="EJ481" s="663"/>
      <c r="EK481" s="663"/>
      <c r="EL481" s="663"/>
      <c r="EM481" s="663"/>
      <c r="EN481" s="663"/>
      <c r="EO481" s="663"/>
      <c r="EP481" s="663"/>
      <c r="EQ481" s="663"/>
      <c r="ER481" s="663"/>
      <c r="ES481" s="663"/>
      <c r="ET481" s="663"/>
      <c r="EU481" s="663"/>
      <c r="EV481" s="663"/>
      <c r="EW481" s="663"/>
      <c r="EX481" s="663"/>
      <c r="EY481" s="663"/>
      <c r="EZ481" s="663"/>
      <c r="FA481" s="663"/>
      <c r="FB481" s="663"/>
      <c r="FC481" s="663"/>
      <c r="FD481" s="663"/>
      <c r="FE481" s="663"/>
      <c r="FF481" s="663"/>
      <c r="FG481" s="663"/>
      <c r="FH481" s="663"/>
      <c r="FI481" s="663"/>
      <c r="FJ481" s="663"/>
      <c r="FK481" s="663"/>
      <c r="FL481" s="663"/>
      <c r="FM481" s="663"/>
      <c r="FN481" s="663"/>
      <c r="FO481" s="663"/>
      <c r="FP481" s="663"/>
      <c r="FQ481" s="663"/>
      <c r="FR481" s="663"/>
      <c r="FS481" s="663"/>
      <c r="FT481" s="663"/>
      <c r="FU481" s="663"/>
      <c r="FV481" s="663"/>
      <c r="FW481" s="663"/>
      <c r="FX481" s="663"/>
      <c r="FY481" s="663"/>
      <c r="FZ481" s="663"/>
      <c r="GA481" s="663"/>
      <c r="GB481" s="663"/>
      <c r="GC481" s="663"/>
      <c r="GD481" s="663"/>
      <c r="GE481" s="663"/>
      <c r="GF481" s="663"/>
      <c r="GG481" s="663"/>
    </row>
    <row r="482" spans="1:189">
      <c r="A482" s="670"/>
      <c r="B482" s="670"/>
      <c r="C482" s="670"/>
      <c r="D482" s="670"/>
      <c r="E482" s="670"/>
      <c r="F482" s="670"/>
      <c r="G482" s="673"/>
      <c r="H482" s="627"/>
      <c r="I482" s="627"/>
      <c r="J482" s="672"/>
      <c r="K482" s="663"/>
      <c r="L482" s="663"/>
      <c r="M482" s="663"/>
      <c r="N482" s="663"/>
      <c r="O482" s="663"/>
      <c r="P482" s="663"/>
      <c r="Q482" s="663"/>
      <c r="R482" s="663"/>
      <c r="S482" s="663"/>
      <c r="T482" s="663"/>
      <c r="U482" s="663"/>
      <c r="V482" s="663"/>
      <c r="W482" s="663"/>
      <c r="X482" s="663"/>
      <c r="Y482" s="663"/>
      <c r="Z482" s="663"/>
      <c r="AA482" s="663"/>
      <c r="AB482" s="663"/>
      <c r="AC482" s="663"/>
      <c r="AD482" s="663"/>
      <c r="AE482" s="663"/>
      <c r="AF482" s="663"/>
      <c r="AG482" s="663"/>
      <c r="AH482" s="663"/>
      <c r="AI482" s="663"/>
      <c r="AJ482" s="663"/>
      <c r="AK482" s="663"/>
      <c r="AL482" s="663"/>
      <c r="AM482" s="663"/>
      <c r="AN482" s="663"/>
      <c r="AO482" s="663"/>
      <c r="AP482" s="663"/>
      <c r="AQ482" s="663"/>
      <c r="AR482" s="663"/>
      <c r="AS482" s="663"/>
      <c r="AT482" s="663"/>
      <c r="AU482" s="663"/>
      <c r="AV482" s="663"/>
      <c r="AW482" s="663"/>
      <c r="AX482" s="663"/>
      <c r="AY482" s="663"/>
      <c r="AZ482" s="663"/>
      <c r="BA482" s="663"/>
      <c r="BB482" s="663"/>
      <c r="BC482" s="663"/>
      <c r="BD482" s="663"/>
      <c r="BE482" s="663"/>
      <c r="BF482" s="663"/>
      <c r="BG482" s="663"/>
      <c r="BH482" s="663"/>
      <c r="BI482" s="663"/>
      <c r="BJ482" s="663"/>
      <c r="BK482" s="663"/>
      <c r="BL482" s="663"/>
      <c r="BM482" s="663"/>
      <c r="BN482" s="663"/>
      <c r="BO482" s="663"/>
      <c r="BP482" s="663"/>
      <c r="BQ482" s="663"/>
      <c r="BR482" s="663"/>
      <c r="BS482" s="663"/>
      <c r="BT482" s="663"/>
      <c r="BU482" s="663"/>
      <c r="BV482" s="663"/>
      <c r="BW482" s="663"/>
      <c r="BX482" s="663"/>
      <c r="BY482" s="663"/>
      <c r="BZ482" s="663"/>
      <c r="CA482" s="663"/>
      <c r="CB482" s="663"/>
      <c r="CC482" s="663"/>
      <c r="CD482" s="663"/>
      <c r="CE482" s="663"/>
      <c r="CF482" s="663"/>
      <c r="CG482" s="663"/>
      <c r="CH482" s="663"/>
      <c r="CI482" s="663"/>
      <c r="CJ482" s="663"/>
      <c r="CK482" s="663"/>
      <c r="CL482" s="663"/>
      <c r="CM482" s="663"/>
      <c r="CN482" s="663"/>
      <c r="CO482" s="663"/>
      <c r="CP482" s="663"/>
      <c r="CQ482" s="663"/>
      <c r="CR482" s="663"/>
      <c r="CS482" s="663"/>
      <c r="CT482" s="663"/>
      <c r="CU482" s="663"/>
      <c r="CV482" s="663"/>
      <c r="CW482" s="663"/>
      <c r="CX482" s="663"/>
      <c r="CY482" s="663"/>
      <c r="CZ482" s="663"/>
      <c r="DA482" s="663"/>
      <c r="DB482" s="663"/>
      <c r="DC482" s="663"/>
      <c r="DD482" s="663"/>
      <c r="DE482" s="663"/>
      <c r="DF482" s="663"/>
      <c r="DG482" s="663"/>
      <c r="DH482" s="663"/>
      <c r="DI482" s="663"/>
      <c r="DJ482" s="663"/>
      <c r="DK482" s="663"/>
      <c r="DL482" s="663"/>
      <c r="DM482" s="663"/>
      <c r="DN482" s="663"/>
      <c r="DO482" s="663"/>
      <c r="DP482" s="663"/>
      <c r="DQ482" s="663"/>
      <c r="DR482" s="663"/>
      <c r="DS482" s="663"/>
      <c r="DT482" s="663"/>
      <c r="DU482" s="663"/>
      <c r="DV482" s="663"/>
      <c r="DW482" s="663"/>
      <c r="DX482" s="663"/>
      <c r="DY482" s="663"/>
      <c r="DZ482" s="663"/>
      <c r="EA482" s="663"/>
      <c r="EB482" s="663"/>
      <c r="EC482" s="663"/>
      <c r="ED482" s="663"/>
      <c r="EE482" s="663"/>
      <c r="EF482" s="663"/>
      <c r="EG482" s="663"/>
      <c r="EH482" s="663"/>
      <c r="EI482" s="663"/>
      <c r="EJ482" s="663"/>
      <c r="EK482" s="663"/>
      <c r="EL482" s="663"/>
      <c r="EM482" s="663"/>
      <c r="EN482" s="663"/>
      <c r="EO482" s="663"/>
      <c r="EP482" s="663"/>
      <c r="EQ482" s="663"/>
      <c r="ER482" s="663"/>
      <c r="ES482" s="663"/>
      <c r="ET482" s="663"/>
      <c r="EU482" s="663"/>
      <c r="EV482" s="663"/>
      <c r="EW482" s="663"/>
      <c r="EX482" s="663"/>
      <c r="EY482" s="663"/>
      <c r="EZ482" s="663"/>
      <c r="FA482" s="663"/>
      <c r="FB482" s="663"/>
      <c r="FC482" s="663"/>
      <c r="FD482" s="663"/>
      <c r="FE482" s="663"/>
      <c r="FF482" s="663"/>
      <c r="FG482" s="663"/>
      <c r="FH482" s="663"/>
      <c r="FI482" s="663"/>
      <c r="FJ482" s="663"/>
      <c r="FK482" s="663"/>
      <c r="FL482" s="663"/>
      <c r="FM482" s="663"/>
      <c r="FN482" s="663"/>
      <c r="FO482" s="663"/>
      <c r="FP482" s="663"/>
      <c r="FQ482" s="663"/>
      <c r="FR482" s="663"/>
      <c r="FS482" s="663"/>
      <c r="FT482" s="663"/>
      <c r="FU482" s="663"/>
      <c r="FV482" s="663"/>
      <c r="FW482" s="663"/>
      <c r="FX482" s="663"/>
      <c r="FY482" s="663"/>
      <c r="FZ482" s="663"/>
      <c r="GA482" s="663"/>
      <c r="GB482" s="663"/>
      <c r="GC482" s="663"/>
      <c r="GD482" s="663"/>
      <c r="GE482" s="663"/>
      <c r="GF482" s="663"/>
      <c r="GG482" s="663"/>
    </row>
    <row r="483" spans="1:189">
      <c r="A483" s="670"/>
      <c r="B483" s="670"/>
      <c r="C483" s="670"/>
      <c r="D483" s="670"/>
      <c r="E483" s="670"/>
      <c r="F483" s="670"/>
      <c r="G483" s="673"/>
      <c r="H483" s="627"/>
      <c r="I483" s="627"/>
      <c r="J483" s="672"/>
      <c r="K483" s="663"/>
      <c r="L483" s="663"/>
      <c r="M483" s="663"/>
      <c r="N483" s="663"/>
      <c r="O483" s="663"/>
      <c r="P483" s="663"/>
      <c r="Q483" s="663"/>
      <c r="R483" s="663"/>
      <c r="S483" s="663"/>
      <c r="T483" s="663"/>
      <c r="U483" s="663"/>
      <c r="V483" s="663"/>
      <c r="W483" s="663"/>
      <c r="X483" s="663"/>
      <c r="Y483" s="663"/>
      <c r="Z483" s="663"/>
      <c r="AA483" s="663"/>
      <c r="AB483" s="663"/>
      <c r="AC483" s="663"/>
      <c r="AD483" s="663"/>
      <c r="AE483" s="663"/>
      <c r="AF483" s="663"/>
      <c r="AG483" s="663"/>
      <c r="AH483" s="663"/>
      <c r="AI483" s="663"/>
      <c r="AJ483" s="663"/>
      <c r="AK483" s="663"/>
      <c r="AL483" s="663"/>
      <c r="AM483" s="663"/>
      <c r="AN483" s="663"/>
      <c r="AO483" s="663"/>
      <c r="AP483" s="663"/>
      <c r="AQ483" s="663"/>
      <c r="AR483" s="663"/>
      <c r="AS483" s="663"/>
      <c r="AT483" s="663"/>
      <c r="AU483" s="663"/>
      <c r="AV483" s="663"/>
      <c r="AW483" s="663"/>
      <c r="AX483" s="663"/>
      <c r="AY483" s="663"/>
      <c r="AZ483" s="663"/>
      <c r="BA483" s="663"/>
      <c r="BB483" s="663"/>
      <c r="BC483" s="663"/>
      <c r="BD483" s="663"/>
      <c r="BE483" s="663"/>
      <c r="BF483" s="663"/>
      <c r="BG483" s="663"/>
      <c r="BH483" s="663"/>
      <c r="BI483" s="663"/>
      <c r="BJ483" s="663"/>
      <c r="BK483" s="663"/>
      <c r="BL483" s="663"/>
      <c r="BM483" s="663"/>
      <c r="BN483" s="663"/>
      <c r="BO483" s="663"/>
      <c r="BP483" s="663"/>
      <c r="BQ483" s="663"/>
      <c r="BR483" s="663"/>
      <c r="BS483" s="663"/>
      <c r="BT483" s="663"/>
      <c r="BU483" s="663"/>
      <c r="BV483" s="663"/>
      <c r="BW483" s="663"/>
      <c r="BX483" s="663"/>
      <c r="BY483" s="663"/>
      <c r="BZ483" s="663"/>
      <c r="CA483" s="663"/>
      <c r="CB483" s="663"/>
      <c r="CC483" s="663"/>
      <c r="CD483" s="663"/>
      <c r="CE483" s="663"/>
      <c r="CF483" s="663"/>
      <c r="CG483" s="663"/>
      <c r="CH483" s="663"/>
      <c r="CI483" s="663"/>
      <c r="CJ483" s="663"/>
      <c r="CK483" s="663"/>
      <c r="CL483" s="663"/>
      <c r="CM483" s="663"/>
      <c r="CN483" s="663"/>
      <c r="CO483" s="663"/>
      <c r="CP483" s="663"/>
      <c r="CQ483" s="663"/>
      <c r="CR483" s="663"/>
      <c r="CS483" s="663"/>
      <c r="CT483" s="663"/>
      <c r="CU483" s="663"/>
      <c r="CV483" s="663"/>
      <c r="CW483" s="663"/>
      <c r="CX483" s="663"/>
      <c r="CY483" s="663"/>
      <c r="CZ483" s="663"/>
      <c r="DA483" s="663"/>
      <c r="DB483" s="663"/>
      <c r="DC483" s="663"/>
      <c r="DD483" s="663"/>
      <c r="DE483" s="663"/>
      <c r="DF483" s="663"/>
      <c r="DG483" s="663"/>
      <c r="DH483" s="663"/>
      <c r="DI483" s="663"/>
      <c r="DJ483" s="663"/>
      <c r="DK483" s="663"/>
      <c r="DL483" s="663"/>
      <c r="DM483" s="663"/>
      <c r="DN483" s="663"/>
      <c r="DO483" s="663"/>
      <c r="DP483" s="663"/>
      <c r="DQ483" s="663"/>
      <c r="DR483" s="663"/>
      <c r="DS483" s="663"/>
      <c r="DT483" s="663"/>
      <c r="DU483" s="663"/>
      <c r="DV483" s="663"/>
      <c r="DW483" s="663"/>
      <c r="DX483" s="663"/>
      <c r="DY483" s="663"/>
      <c r="DZ483" s="663"/>
      <c r="EA483" s="663"/>
      <c r="EB483" s="663"/>
      <c r="EC483" s="663"/>
      <c r="ED483" s="663"/>
      <c r="EE483" s="663"/>
      <c r="EF483" s="663"/>
      <c r="EG483" s="663"/>
      <c r="EH483" s="663"/>
      <c r="EI483" s="663"/>
      <c r="EJ483" s="663"/>
      <c r="EK483" s="663"/>
      <c r="EL483" s="663"/>
      <c r="EM483" s="663"/>
      <c r="EN483" s="663"/>
      <c r="EO483" s="663"/>
      <c r="EP483" s="663"/>
      <c r="EQ483" s="663"/>
      <c r="ER483" s="663"/>
      <c r="ES483" s="663"/>
      <c r="ET483" s="663"/>
      <c r="EU483" s="663"/>
      <c r="EV483" s="663"/>
      <c r="EW483" s="663"/>
      <c r="EX483" s="663"/>
      <c r="EY483" s="663"/>
      <c r="EZ483" s="663"/>
      <c r="FA483" s="663"/>
      <c r="FB483" s="663"/>
      <c r="FC483" s="663"/>
      <c r="FD483" s="663"/>
      <c r="FE483" s="663"/>
      <c r="FF483" s="663"/>
      <c r="FG483" s="663"/>
      <c r="FH483" s="663"/>
      <c r="FI483" s="663"/>
      <c r="FJ483" s="663"/>
      <c r="FK483" s="663"/>
      <c r="FL483" s="663"/>
      <c r="FM483" s="663"/>
      <c r="FN483" s="663"/>
      <c r="FO483" s="663"/>
      <c r="FP483" s="663"/>
      <c r="FQ483" s="663"/>
      <c r="FR483" s="663"/>
      <c r="FS483" s="663"/>
      <c r="FT483" s="663"/>
      <c r="FU483" s="663"/>
      <c r="FV483" s="663"/>
      <c r="FW483" s="663"/>
      <c r="FX483" s="663"/>
      <c r="FY483" s="663"/>
      <c r="FZ483" s="663"/>
      <c r="GA483" s="663"/>
      <c r="GB483" s="663"/>
      <c r="GC483" s="663"/>
      <c r="GD483" s="663"/>
      <c r="GE483" s="663"/>
      <c r="GF483" s="663"/>
      <c r="GG483" s="663"/>
    </row>
    <row r="484" spans="1:189">
      <c r="A484" s="670"/>
      <c r="B484" s="670"/>
      <c r="C484" s="670"/>
      <c r="D484" s="670"/>
      <c r="E484" s="670"/>
      <c r="F484" s="670"/>
      <c r="G484" s="673"/>
      <c r="H484" s="627"/>
      <c r="I484" s="627"/>
      <c r="J484" s="672"/>
      <c r="K484" s="663"/>
      <c r="L484" s="663"/>
      <c r="M484" s="663"/>
      <c r="N484" s="663"/>
      <c r="O484" s="663"/>
      <c r="P484" s="663"/>
      <c r="Q484" s="663"/>
      <c r="R484" s="663"/>
      <c r="S484" s="663"/>
      <c r="T484" s="663"/>
      <c r="U484" s="663"/>
      <c r="V484" s="663"/>
      <c r="W484" s="663"/>
      <c r="X484" s="663"/>
      <c r="Y484" s="663"/>
      <c r="Z484" s="663"/>
      <c r="AA484" s="663"/>
      <c r="AB484" s="663"/>
      <c r="AC484" s="663"/>
      <c r="AD484" s="663"/>
      <c r="AE484" s="663"/>
      <c r="AF484" s="663"/>
      <c r="AG484" s="663"/>
      <c r="AH484" s="663"/>
      <c r="AI484" s="663"/>
      <c r="AJ484" s="663"/>
      <c r="AK484" s="663"/>
      <c r="AL484" s="663"/>
      <c r="AM484" s="663"/>
      <c r="AN484" s="663"/>
      <c r="AO484" s="663"/>
      <c r="AP484" s="663"/>
      <c r="AQ484" s="663"/>
      <c r="AR484" s="663"/>
      <c r="AS484" s="663"/>
      <c r="AT484" s="663"/>
      <c r="AU484" s="663"/>
      <c r="AV484" s="663"/>
      <c r="AW484" s="663"/>
      <c r="AX484" s="663"/>
      <c r="AY484" s="663"/>
      <c r="AZ484" s="663"/>
      <c r="BA484" s="663"/>
      <c r="BB484" s="663"/>
      <c r="BC484" s="663"/>
      <c r="BD484" s="663"/>
      <c r="BE484" s="663"/>
      <c r="BF484" s="663"/>
      <c r="BG484" s="663"/>
      <c r="BH484" s="663"/>
      <c r="BI484" s="663"/>
      <c r="BJ484" s="663"/>
      <c r="BK484" s="663"/>
      <c r="BL484" s="663"/>
      <c r="BM484" s="663"/>
      <c r="BN484" s="663"/>
      <c r="BO484" s="663"/>
      <c r="BP484" s="663"/>
      <c r="BQ484" s="663"/>
      <c r="BR484" s="663"/>
      <c r="BS484" s="663"/>
      <c r="BT484" s="663"/>
      <c r="BU484" s="663"/>
      <c r="BV484" s="663"/>
      <c r="BW484" s="663"/>
      <c r="BX484" s="663"/>
      <c r="BY484" s="663"/>
      <c r="BZ484" s="663"/>
      <c r="CA484" s="663"/>
      <c r="CB484" s="663"/>
      <c r="CC484" s="663"/>
      <c r="CD484" s="663"/>
      <c r="CE484" s="663"/>
      <c r="CF484" s="663"/>
      <c r="CG484" s="663"/>
      <c r="CH484" s="663"/>
      <c r="CI484" s="663"/>
      <c r="CJ484" s="663"/>
      <c r="CK484" s="663"/>
      <c r="CL484" s="663"/>
      <c r="CM484" s="663"/>
      <c r="CN484" s="663"/>
      <c r="CO484" s="663"/>
      <c r="CP484" s="663"/>
      <c r="CQ484" s="663"/>
      <c r="CR484" s="663"/>
      <c r="CS484" s="663"/>
      <c r="CT484" s="663"/>
      <c r="CU484" s="663"/>
      <c r="CV484" s="663"/>
      <c r="CW484" s="663"/>
      <c r="CX484" s="663"/>
      <c r="CY484" s="663"/>
      <c r="CZ484" s="663"/>
      <c r="DA484" s="663"/>
      <c r="DB484" s="663"/>
      <c r="DC484" s="663"/>
      <c r="DD484" s="663"/>
      <c r="DE484" s="663"/>
      <c r="DF484" s="663"/>
      <c r="DG484" s="663"/>
      <c r="DH484" s="663"/>
      <c r="DI484" s="663"/>
      <c r="DJ484" s="663"/>
      <c r="DK484" s="663"/>
      <c r="DL484" s="663"/>
      <c r="DM484" s="663"/>
      <c r="DN484" s="663"/>
      <c r="DO484" s="663"/>
      <c r="DP484" s="663"/>
      <c r="DQ484" s="663"/>
      <c r="DR484" s="663"/>
      <c r="DS484" s="663"/>
      <c r="DT484" s="663"/>
      <c r="DU484" s="663"/>
      <c r="DV484" s="663"/>
      <c r="DW484" s="663"/>
      <c r="DX484" s="663"/>
      <c r="DY484" s="663"/>
      <c r="DZ484" s="663"/>
      <c r="EA484" s="663"/>
      <c r="EB484" s="663"/>
      <c r="EC484" s="663"/>
      <c r="ED484" s="663"/>
      <c r="EE484" s="663"/>
      <c r="EF484" s="663"/>
      <c r="EG484" s="663"/>
      <c r="EH484" s="663"/>
      <c r="EI484" s="663"/>
      <c r="EJ484" s="663"/>
      <c r="EK484" s="663"/>
      <c r="EL484" s="663"/>
      <c r="EM484" s="663"/>
      <c r="EN484" s="663"/>
      <c r="EO484" s="663"/>
      <c r="EP484" s="663"/>
      <c r="EQ484" s="663"/>
      <c r="ER484" s="663"/>
      <c r="ES484" s="663"/>
      <c r="ET484" s="663"/>
      <c r="EU484" s="663"/>
      <c r="EV484" s="663"/>
      <c r="EW484" s="663"/>
      <c r="EX484" s="663"/>
      <c r="EY484" s="663"/>
      <c r="EZ484" s="663"/>
      <c r="FA484" s="663"/>
      <c r="FB484" s="663"/>
      <c r="FC484" s="663"/>
      <c r="FD484" s="663"/>
      <c r="FE484" s="663"/>
      <c r="FF484" s="663"/>
      <c r="FG484" s="663"/>
      <c r="FH484" s="663"/>
      <c r="FI484" s="663"/>
      <c r="FJ484" s="663"/>
      <c r="FK484" s="663"/>
      <c r="FL484" s="663"/>
      <c r="FM484" s="663"/>
      <c r="FN484" s="663"/>
      <c r="FO484" s="663"/>
      <c r="FP484" s="663"/>
      <c r="FQ484" s="663"/>
      <c r="FR484" s="663"/>
      <c r="FS484" s="663"/>
      <c r="FT484" s="663"/>
      <c r="FU484" s="663"/>
      <c r="FV484" s="663"/>
      <c r="FW484" s="663"/>
      <c r="FX484" s="663"/>
      <c r="FY484" s="663"/>
      <c r="FZ484" s="663"/>
      <c r="GA484" s="663"/>
      <c r="GB484" s="663"/>
      <c r="GC484" s="663"/>
      <c r="GD484" s="663"/>
      <c r="GE484" s="663"/>
      <c r="GF484" s="663"/>
      <c r="GG484" s="663"/>
    </row>
    <row r="485" spans="1:189">
      <c r="A485" s="670"/>
      <c r="B485" s="670"/>
      <c r="C485" s="670"/>
      <c r="D485" s="670"/>
      <c r="E485" s="670"/>
      <c r="F485" s="670"/>
      <c r="G485" s="673"/>
      <c r="H485" s="627"/>
      <c r="I485" s="627"/>
      <c r="J485" s="672"/>
      <c r="K485" s="663"/>
      <c r="L485" s="663"/>
      <c r="M485" s="663"/>
      <c r="N485" s="663"/>
      <c r="O485" s="663"/>
      <c r="P485" s="663"/>
      <c r="Q485" s="663"/>
      <c r="R485" s="663"/>
      <c r="S485" s="663"/>
      <c r="T485" s="663"/>
      <c r="U485" s="663"/>
      <c r="V485" s="663"/>
      <c r="W485" s="663"/>
      <c r="X485" s="663"/>
      <c r="Y485" s="663"/>
      <c r="Z485" s="663"/>
      <c r="AA485" s="663"/>
      <c r="AB485" s="663"/>
      <c r="AC485" s="663"/>
      <c r="AD485" s="663"/>
      <c r="AE485" s="663"/>
      <c r="AF485" s="663"/>
      <c r="AG485" s="663"/>
      <c r="AH485" s="663"/>
      <c r="AI485" s="663"/>
      <c r="AJ485" s="663"/>
      <c r="AK485" s="663"/>
      <c r="AL485" s="663"/>
      <c r="AM485" s="663"/>
      <c r="AN485" s="663"/>
      <c r="AO485" s="663"/>
      <c r="AP485" s="663"/>
      <c r="AQ485" s="663"/>
      <c r="AR485" s="663"/>
      <c r="AS485" s="663"/>
      <c r="AT485" s="663"/>
      <c r="AU485" s="663"/>
      <c r="AV485" s="663"/>
      <c r="AW485" s="663"/>
      <c r="AX485" s="663"/>
      <c r="AY485" s="663"/>
      <c r="AZ485" s="663"/>
      <c r="BA485" s="663"/>
      <c r="BB485" s="663"/>
      <c r="BC485" s="663"/>
      <c r="BD485" s="663"/>
      <c r="BE485" s="663"/>
      <c r="BF485" s="663"/>
      <c r="BG485" s="663"/>
      <c r="BH485" s="663"/>
      <c r="BI485" s="663"/>
      <c r="BJ485" s="663"/>
      <c r="BK485" s="663"/>
      <c r="BL485" s="663"/>
      <c r="BM485" s="663"/>
      <c r="BN485" s="663"/>
      <c r="BO485" s="663"/>
      <c r="BP485" s="663"/>
      <c r="BQ485" s="663"/>
      <c r="BR485" s="663"/>
      <c r="BS485" s="663"/>
      <c r="BT485" s="663"/>
      <c r="BU485" s="663"/>
      <c r="BV485" s="663"/>
      <c r="BW485" s="663"/>
      <c r="BX485" s="663"/>
      <c r="BY485" s="663"/>
      <c r="BZ485" s="663"/>
      <c r="CA485" s="663"/>
      <c r="CB485" s="663"/>
      <c r="CC485" s="663"/>
      <c r="CD485" s="663"/>
      <c r="CE485" s="663"/>
      <c r="CF485" s="663"/>
      <c r="CG485" s="663"/>
      <c r="CH485" s="663"/>
      <c r="CI485" s="663"/>
      <c r="CJ485" s="663"/>
      <c r="CK485" s="663"/>
      <c r="CL485" s="663"/>
      <c r="CM485" s="663"/>
      <c r="CN485" s="663"/>
      <c r="CO485" s="663"/>
      <c r="CP485" s="663"/>
      <c r="CQ485" s="663"/>
      <c r="CR485" s="663"/>
      <c r="CS485" s="663"/>
      <c r="CT485" s="663"/>
      <c r="CU485" s="663"/>
      <c r="CV485" s="663"/>
      <c r="CW485" s="663"/>
      <c r="CX485" s="663"/>
      <c r="CY485" s="663"/>
      <c r="CZ485" s="663"/>
      <c r="DA485" s="663"/>
      <c r="DB485" s="663"/>
      <c r="DC485" s="663"/>
      <c r="DD485" s="663"/>
      <c r="DE485" s="663"/>
      <c r="DF485" s="663"/>
      <c r="DG485" s="663"/>
      <c r="DH485" s="663"/>
      <c r="DI485" s="663"/>
      <c r="DJ485" s="663"/>
      <c r="DK485" s="663"/>
      <c r="DL485" s="663"/>
      <c r="DM485" s="663"/>
      <c r="DN485" s="663"/>
      <c r="DO485" s="663"/>
      <c r="DP485" s="663"/>
      <c r="DQ485" s="663"/>
      <c r="DR485" s="663"/>
      <c r="DS485" s="663"/>
      <c r="DT485" s="663"/>
      <c r="DU485" s="663"/>
      <c r="DV485" s="663"/>
      <c r="DW485" s="663"/>
      <c r="DX485" s="663"/>
      <c r="DY485" s="663"/>
      <c r="DZ485" s="663"/>
      <c r="EA485" s="663"/>
      <c r="EB485" s="663"/>
      <c r="EC485" s="663"/>
      <c r="ED485" s="663"/>
      <c r="EE485" s="663"/>
      <c r="EF485" s="663"/>
      <c r="EG485" s="663"/>
      <c r="EH485" s="663"/>
      <c r="EI485" s="663"/>
      <c r="EJ485" s="663"/>
      <c r="EK485" s="663"/>
      <c r="EL485" s="663"/>
      <c r="EM485" s="663"/>
      <c r="EN485" s="663"/>
      <c r="EO485" s="663"/>
      <c r="EP485" s="663"/>
      <c r="EQ485" s="663"/>
      <c r="ER485" s="663"/>
      <c r="ES485" s="663"/>
      <c r="ET485" s="663"/>
      <c r="EU485" s="663"/>
      <c r="EV485" s="663"/>
      <c r="EW485" s="663"/>
      <c r="EX485" s="663"/>
      <c r="EY485" s="663"/>
      <c r="EZ485" s="663"/>
      <c r="FA485" s="663"/>
      <c r="FB485" s="663"/>
      <c r="FC485" s="663"/>
      <c r="FD485" s="663"/>
      <c r="FE485" s="663"/>
      <c r="FF485" s="663"/>
      <c r="FG485" s="663"/>
      <c r="FH485" s="663"/>
      <c r="FI485" s="663"/>
      <c r="FJ485" s="663"/>
      <c r="FK485" s="663"/>
      <c r="FL485" s="663"/>
      <c r="FM485" s="663"/>
      <c r="FN485" s="663"/>
      <c r="FO485" s="663"/>
      <c r="FP485" s="663"/>
      <c r="FQ485" s="663"/>
      <c r="FR485" s="663"/>
      <c r="FS485" s="663"/>
      <c r="FT485" s="663"/>
      <c r="FU485" s="663"/>
      <c r="FV485" s="663"/>
      <c r="FW485" s="663"/>
      <c r="FX485" s="663"/>
      <c r="FY485" s="663"/>
      <c r="FZ485" s="663"/>
      <c r="GA485" s="663"/>
      <c r="GB485" s="663"/>
      <c r="GC485" s="663"/>
      <c r="GD485" s="663"/>
      <c r="GE485" s="663"/>
      <c r="GF485" s="663"/>
      <c r="GG485" s="663"/>
    </row>
    <row r="486" spans="1:189">
      <c r="A486" s="670"/>
      <c r="B486" s="670"/>
      <c r="C486" s="670"/>
      <c r="D486" s="670"/>
      <c r="E486" s="670"/>
      <c r="F486" s="670"/>
      <c r="G486" s="673"/>
      <c r="H486" s="627"/>
      <c r="I486" s="627"/>
      <c r="J486" s="672"/>
      <c r="K486" s="663"/>
      <c r="L486" s="663"/>
      <c r="M486" s="663"/>
      <c r="N486" s="663"/>
      <c r="O486" s="663"/>
      <c r="P486" s="663"/>
      <c r="Q486" s="663"/>
      <c r="R486" s="663"/>
      <c r="S486" s="663"/>
      <c r="T486" s="663"/>
      <c r="U486" s="663"/>
      <c r="V486" s="663"/>
      <c r="W486" s="663"/>
      <c r="X486" s="663"/>
      <c r="Y486" s="663"/>
      <c r="Z486" s="663"/>
      <c r="AA486" s="663"/>
      <c r="AB486" s="663"/>
      <c r="AC486" s="663"/>
      <c r="AD486" s="663"/>
      <c r="AE486" s="663"/>
      <c r="AF486" s="663"/>
      <c r="AG486" s="663"/>
      <c r="AH486" s="663"/>
      <c r="AI486" s="663"/>
      <c r="AJ486" s="663"/>
      <c r="AK486" s="663"/>
      <c r="AL486" s="663"/>
      <c r="AM486" s="663"/>
      <c r="AN486" s="663"/>
      <c r="AO486" s="663"/>
      <c r="AP486" s="663"/>
      <c r="AQ486" s="663"/>
      <c r="AR486" s="663"/>
      <c r="AS486" s="663"/>
      <c r="AT486" s="663"/>
      <c r="AU486" s="663"/>
      <c r="AV486" s="663"/>
      <c r="AW486" s="663"/>
      <c r="AX486" s="663"/>
      <c r="AY486" s="663"/>
      <c r="AZ486" s="663"/>
      <c r="BA486" s="663"/>
      <c r="BB486" s="663"/>
      <c r="BC486" s="663"/>
      <c r="BD486" s="663"/>
      <c r="BE486" s="663"/>
      <c r="BF486" s="663"/>
      <c r="BG486" s="663"/>
      <c r="BH486" s="663"/>
      <c r="BI486" s="663"/>
      <c r="BJ486" s="663"/>
      <c r="BK486" s="663"/>
      <c r="BL486" s="663"/>
      <c r="BM486" s="663"/>
      <c r="BN486" s="663"/>
      <c r="BO486" s="663"/>
      <c r="BP486" s="663"/>
      <c r="BQ486" s="663"/>
      <c r="BR486" s="663"/>
      <c r="BS486" s="663"/>
      <c r="BT486" s="663"/>
      <c r="BU486" s="663"/>
      <c r="BV486" s="663"/>
      <c r="BW486" s="663"/>
      <c r="BX486" s="663"/>
      <c r="BY486" s="663"/>
      <c r="BZ486" s="663"/>
      <c r="CA486" s="663"/>
      <c r="CB486" s="663"/>
      <c r="CC486" s="663"/>
      <c r="CD486" s="663"/>
      <c r="CE486" s="663"/>
      <c r="CF486" s="663"/>
      <c r="CG486" s="663"/>
      <c r="CH486" s="663"/>
      <c r="CI486" s="663"/>
      <c r="CJ486" s="663"/>
      <c r="CK486" s="663"/>
      <c r="CL486" s="663"/>
      <c r="CM486" s="663"/>
      <c r="CN486" s="663"/>
      <c r="CO486" s="663"/>
      <c r="CP486" s="663"/>
      <c r="CQ486" s="663"/>
      <c r="CR486" s="663"/>
      <c r="CS486" s="663"/>
      <c r="CT486" s="663"/>
      <c r="CU486" s="663"/>
      <c r="CV486" s="663"/>
      <c r="CW486" s="663"/>
      <c r="CX486" s="663"/>
      <c r="CY486" s="663"/>
      <c r="CZ486" s="663"/>
      <c r="DA486" s="663"/>
      <c r="DB486" s="663"/>
      <c r="DC486" s="663"/>
      <c r="DD486" s="663"/>
      <c r="DE486" s="663"/>
      <c r="DF486" s="663"/>
      <c r="DG486" s="663"/>
      <c r="DH486" s="663"/>
      <c r="DI486" s="663"/>
      <c r="DJ486" s="663"/>
      <c r="DK486" s="663"/>
      <c r="DL486" s="663"/>
      <c r="DM486" s="663"/>
      <c r="DN486" s="663"/>
      <c r="DO486" s="663"/>
      <c r="DP486" s="663"/>
      <c r="DQ486" s="663"/>
      <c r="DR486" s="663"/>
      <c r="DS486" s="663"/>
      <c r="DT486" s="663"/>
      <c r="DU486" s="663"/>
      <c r="DV486" s="663"/>
      <c r="DW486" s="663"/>
      <c r="DX486" s="663"/>
      <c r="DY486" s="663"/>
      <c r="DZ486" s="663"/>
      <c r="EA486" s="663"/>
      <c r="EB486" s="663"/>
      <c r="EC486" s="663"/>
      <c r="ED486" s="663"/>
      <c r="EE486" s="663"/>
      <c r="EF486" s="663"/>
      <c r="EG486" s="663"/>
      <c r="EH486" s="663"/>
      <c r="EI486" s="663"/>
      <c r="EJ486" s="663"/>
      <c r="EK486" s="663"/>
      <c r="EL486" s="663"/>
      <c r="EM486" s="663"/>
      <c r="EN486" s="663"/>
      <c r="EO486" s="663"/>
      <c r="EP486" s="663"/>
      <c r="EQ486" s="663"/>
      <c r="ER486" s="663"/>
      <c r="ES486" s="663"/>
      <c r="ET486" s="663"/>
      <c r="EU486" s="663"/>
      <c r="EV486" s="663"/>
      <c r="EW486" s="663"/>
      <c r="EX486" s="663"/>
      <c r="EY486" s="663"/>
      <c r="EZ486" s="663"/>
      <c r="FA486" s="663"/>
      <c r="FB486" s="663"/>
      <c r="FC486" s="663"/>
      <c r="FD486" s="663"/>
      <c r="FE486" s="663"/>
      <c r="FF486" s="663"/>
      <c r="FG486" s="663"/>
      <c r="FH486" s="663"/>
      <c r="FI486" s="663"/>
      <c r="FJ486" s="663"/>
      <c r="FK486" s="663"/>
      <c r="FL486" s="663"/>
      <c r="FM486" s="663"/>
      <c r="FN486" s="663"/>
      <c r="FO486" s="663"/>
      <c r="FP486" s="663"/>
      <c r="FQ486" s="663"/>
      <c r="FR486" s="663"/>
      <c r="FS486" s="663"/>
      <c r="FT486" s="663"/>
      <c r="FU486" s="663"/>
      <c r="FV486" s="663"/>
      <c r="FW486" s="663"/>
      <c r="FX486" s="663"/>
      <c r="FY486" s="663"/>
      <c r="FZ486" s="663"/>
      <c r="GA486" s="663"/>
      <c r="GB486" s="663"/>
      <c r="GC486" s="663"/>
      <c r="GD486" s="663"/>
      <c r="GE486" s="663"/>
      <c r="GF486" s="663"/>
      <c r="GG486" s="663"/>
    </row>
    <row r="487" spans="1:189">
      <c r="A487" s="670"/>
      <c r="B487" s="670"/>
      <c r="C487" s="670"/>
      <c r="D487" s="670"/>
      <c r="E487" s="670"/>
      <c r="F487" s="670"/>
      <c r="G487" s="673"/>
      <c r="H487" s="627"/>
      <c r="I487" s="627"/>
      <c r="J487" s="672"/>
      <c r="K487" s="663"/>
      <c r="L487" s="663"/>
      <c r="M487" s="663"/>
      <c r="N487" s="663"/>
      <c r="O487" s="663"/>
      <c r="P487" s="663"/>
      <c r="Q487" s="663"/>
      <c r="R487" s="663"/>
      <c r="S487" s="663"/>
      <c r="T487" s="663"/>
      <c r="U487" s="663"/>
      <c r="V487" s="663"/>
      <c r="W487" s="663"/>
      <c r="X487" s="663"/>
      <c r="Y487" s="663"/>
      <c r="Z487" s="663"/>
      <c r="AA487" s="663"/>
      <c r="AB487" s="663"/>
      <c r="AC487" s="663"/>
      <c r="AD487" s="663"/>
      <c r="AE487" s="663"/>
      <c r="AF487" s="663"/>
      <c r="AG487" s="663"/>
      <c r="AH487" s="663"/>
      <c r="AI487" s="663"/>
      <c r="AJ487" s="663"/>
      <c r="AK487" s="663"/>
      <c r="AL487" s="663"/>
      <c r="AM487" s="663"/>
      <c r="AN487" s="663"/>
      <c r="AO487" s="663"/>
      <c r="AP487" s="663"/>
      <c r="AQ487" s="663"/>
      <c r="AR487" s="663"/>
      <c r="AS487" s="663"/>
      <c r="AT487" s="663"/>
      <c r="AU487" s="663"/>
      <c r="AV487" s="663"/>
      <c r="AW487" s="663"/>
      <c r="AX487" s="663"/>
      <c r="AY487" s="663"/>
      <c r="AZ487" s="663"/>
      <c r="BA487" s="663"/>
      <c r="BB487" s="663"/>
      <c r="BC487" s="663"/>
      <c r="BD487" s="663"/>
      <c r="BE487" s="663"/>
      <c r="BF487" s="663"/>
      <c r="BG487" s="663"/>
      <c r="BH487" s="663"/>
      <c r="BI487" s="663"/>
      <c r="BJ487" s="663"/>
      <c r="BK487" s="663"/>
      <c r="BL487" s="663"/>
      <c r="BM487" s="663"/>
      <c r="BN487" s="663"/>
      <c r="BO487" s="663"/>
      <c r="BP487" s="663"/>
      <c r="BQ487" s="663"/>
      <c r="BR487" s="663"/>
      <c r="BS487" s="663"/>
      <c r="BT487" s="663"/>
      <c r="BU487" s="663"/>
      <c r="BV487" s="663"/>
      <c r="BW487" s="663"/>
      <c r="BX487" s="663"/>
      <c r="BY487" s="663"/>
      <c r="BZ487" s="663"/>
      <c r="CA487" s="663"/>
      <c r="CB487" s="663"/>
      <c r="CC487" s="663"/>
      <c r="CD487" s="663"/>
      <c r="CE487" s="663"/>
      <c r="CF487" s="663"/>
      <c r="CG487" s="663"/>
      <c r="CH487" s="663"/>
      <c r="CI487" s="663"/>
      <c r="CJ487" s="663"/>
      <c r="CK487" s="663"/>
      <c r="CL487" s="663"/>
      <c r="CM487" s="663"/>
      <c r="CN487" s="663"/>
      <c r="CO487" s="663"/>
      <c r="CP487" s="663"/>
      <c r="CQ487" s="663"/>
      <c r="CR487" s="663"/>
      <c r="CS487" s="663"/>
      <c r="CT487" s="663"/>
      <c r="CU487" s="663"/>
      <c r="CV487" s="663"/>
      <c r="CW487" s="663"/>
      <c r="CX487" s="663"/>
      <c r="CY487" s="663"/>
      <c r="CZ487" s="663"/>
      <c r="DA487" s="663"/>
      <c r="DB487" s="663"/>
      <c r="DC487" s="663"/>
      <c r="DD487" s="663"/>
      <c r="DE487" s="663"/>
      <c r="DF487" s="663"/>
      <c r="DG487" s="663"/>
      <c r="DH487" s="663"/>
      <c r="DI487" s="663"/>
      <c r="DJ487" s="663"/>
      <c r="DK487" s="663"/>
      <c r="DL487" s="663"/>
      <c r="DM487" s="663"/>
      <c r="DN487" s="663"/>
      <c r="DO487" s="663"/>
      <c r="DP487" s="663"/>
      <c r="DQ487" s="663"/>
      <c r="DR487" s="663"/>
      <c r="DS487" s="663"/>
      <c r="DT487" s="663"/>
      <c r="DU487" s="663"/>
      <c r="DV487" s="663"/>
      <c r="DW487" s="663"/>
      <c r="DX487" s="663"/>
      <c r="DY487" s="663"/>
      <c r="DZ487" s="663"/>
      <c r="EA487" s="663"/>
      <c r="EB487" s="663"/>
      <c r="EC487" s="663"/>
      <c r="ED487" s="663"/>
      <c r="EE487" s="663"/>
      <c r="EF487" s="663"/>
      <c r="EG487" s="663"/>
      <c r="EH487" s="663"/>
      <c r="EI487" s="663"/>
      <c r="EJ487" s="663"/>
      <c r="EK487" s="663"/>
      <c r="EL487" s="663"/>
      <c r="EM487" s="663"/>
      <c r="EN487" s="663"/>
      <c r="EO487" s="663"/>
      <c r="EP487" s="663"/>
      <c r="EQ487" s="663"/>
      <c r="ER487" s="663"/>
      <c r="ES487" s="663"/>
      <c r="ET487" s="663"/>
      <c r="EU487" s="663"/>
      <c r="EV487" s="663"/>
      <c r="EW487" s="663"/>
      <c r="EX487" s="663"/>
      <c r="EY487" s="663"/>
      <c r="EZ487" s="663"/>
      <c r="FA487" s="663"/>
      <c r="FB487" s="663"/>
      <c r="FC487" s="663"/>
      <c r="FD487" s="663"/>
      <c r="FE487" s="663"/>
      <c r="FF487" s="663"/>
      <c r="FG487" s="663"/>
      <c r="FH487" s="663"/>
      <c r="FI487" s="663"/>
      <c r="FJ487" s="663"/>
      <c r="FK487" s="663"/>
      <c r="FL487" s="663"/>
      <c r="FM487" s="663"/>
      <c r="FN487" s="663"/>
      <c r="FO487" s="663"/>
      <c r="FP487" s="663"/>
      <c r="FQ487" s="663"/>
      <c r="FR487" s="663"/>
      <c r="FS487" s="663"/>
      <c r="FT487" s="663"/>
      <c r="FU487" s="663"/>
      <c r="FV487" s="663"/>
      <c r="FW487" s="663"/>
      <c r="FX487" s="663"/>
      <c r="FY487" s="663"/>
      <c r="FZ487" s="663"/>
      <c r="GA487" s="663"/>
      <c r="GB487" s="663"/>
      <c r="GC487" s="663"/>
      <c r="GD487" s="663"/>
      <c r="GE487" s="663"/>
      <c r="GF487" s="663"/>
      <c r="GG487" s="663"/>
    </row>
    <row r="488" spans="1:189">
      <c r="A488" s="670"/>
      <c r="B488" s="670"/>
      <c r="C488" s="670"/>
      <c r="D488" s="670"/>
      <c r="E488" s="670"/>
      <c r="F488" s="670"/>
      <c r="G488" s="673"/>
      <c r="H488" s="627"/>
      <c r="I488" s="627"/>
      <c r="J488" s="672"/>
      <c r="K488" s="663"/>
      <c r="L488" s="663"/>
      <c r="M488" s="663"/>
      <c r="N488" s="663"/>
      <c r="O488" s="663"/>
      <c r="P488" s="663"/>
      <c r="Q488" s="663"/>
      <c r="R488" s="663"/>
      <c r="S488" s="663"/>
      <c r="T488" s="663"/>
      <c r="U488" s="663"/>
      <c r="V488" s="663"/>
      <c r="W488" s="663"/>
      <c r="X488" s="663"/>
      <c r="Y488" s="663"/>
      <c r="Z488" s="663"/>
      <c r="AA488" s="663"/>
      <c r="AB488" s="663"/>
      <c r="AC488" s="663"/>
      <c r="AD488" s="663"/>
      <c r="AE488" s="663"/>
      <c r="AF488" s="663"/>
      <c r="AG488" s="663"/>
      <c r="AH488" s="663"/>
      <c r="AI488" s="663"/>
      <c r="AJ488" s="663"/>
      <c r="AK488" s="663"/>
      <c r="AL488" s="663"/>
      <c r="AM488" s="663"/>
      <c r="AN488" s="663"/>
      <c r="AO488" s="663"/>
      <c r="AP488" s="663"/>
      <c r="AQ488" s="663"/>
      <c r="AR488" s="663"/>
      <c r="AS488" s="663"/>
      <c r="AT488" s="663"/>
      <c r="AU488" s="663"/>
      <c r="AV488" s="663"/>
      <c r="AW488" s="663"/>
      <c r="AX488" s="663"/>
      <c r="AY488" s="663"/>
      <c r="AZ488" s="663"/>
      <c r="BA488" s="663"/>
      <c r="BB488" s="663"/>
      <c r="BC488" s="663"/>
      <c r="BD488" s="663"/>
      <c r="BE488" s="663"/>
      <c r="BF488" s="663"/>
      <c r="BG488" s="663"/>
      <c r="BH488" s="663"/>
      <c r="BI488" s="663"/>
      <c r="BJ488" s="663"/>
      <c r="BK488" s="663"/>
      <c r="BL488" s="663"/>
      <c r="BM488" s="663"/>
      <c r="BN488" s="663"/>
      <c r="BO488" s="663"/>
      <c r="BP488" s="663"/>
      <c r="BQ488" s="663"/>
      <c r="BR488" s="663"/>
      <c r="BS488" s="663"/>
      <c r="BT488" s="663"/>
      <c r="BU488" s="663"/>
      <c r="BV488" s="663"/>
      <c r="BW488" s="663"/>
      <c r="BX488" s="663"/>
      <c r="BY488" s="663"/>
      <c r="BZ488" s="663"/>
      <c r="CA488" s="663"/>
      <c r="CB488" s="663"/>
      <c r="CC488" s="663"/>
      <c r="CD488" s="663"/>
      <c r="CE488" s="663"/>
      <c r="CF488" s="663"/>
      <c r="CG488" s="663"/>
      <c r="CH488" s="663"/>
      <c r="CI488" s="663"/>
      <c r="CJ488" s="663"/>
      <c r="CK488" s="663"/>
      <c r="CL488" s="663"/>
      <c r="CM488" s="663"/>
      <c r="CN488" s="663"/>
      <c r="CO488" s="663"/>
      <c r="CP488" s="663"/>
      <c r="CQ488" s="663"/>
      <c r="CR488" s="663"/>
      <c r="CS488" s="663"/>
      <c r="CT488" s="663"/>
      <c r="CU488" s="663"/>
      <c r="CV488" s="663"/>
      <c r="CW488" s="663"/>
      <c r="CX488" s="663"/>
      <c r="CY488" s="663"/>
      <c r="CZ488" s="663"/>
      <c r="DA488" s="663"/>
      <c r="DB488" s="663"/>
      <c r="DC488" s="663"/>
      <c r="DD488" s="663"/>
      <c r="DE488" s="663"/>
      <c r="DF488" s="663"/>
      <c r="DG488" s="663"/>
      <c r="DH488" s="663"/>
      <c r="DI488" s="663"/>
      <c r="DJ488" s="663"/>
      <c r="DK488" s="663"/>
      <c r="DL488" s="663"/>
      <c r="DM488" s="663"/>
      <c r="DN488" s="663"/>
      <c r="DO488" s="663"/>
      <c r="DP488" s="663"/>
      <c r="DQ488" s="663"/>
      <c r="DR488" s="663"/>
      <c r="DS488" s="663"/>
      <c r="DT488" s="663"/>
      <c r="DU488" s="663"/>
      <c r="DV488" s="663"/>
      <c r="DW488" s="663"/>
      <c r="DX488" s="663"/>
      <c r="DY488" s="663"/>
      <c r="DZ488" s="663"/>
      <c r="EA488" s="663"/>
      <c r="EB488" s="663"/>
      <c r="EC488" s="663"/>
      <c r="ED488" s="663"/>
      <c r="EE488" s="663"/>
      <c r="EF488" s="663"/>
      <c r="EG488" s="663"/>
      <c r="EH488" s="663"/>
      <c r="EI488" s="663"/>
      <c r="EJ488" s="663"/>
      <c r="EK488" s="663"/>
      <c r="EL488" s="663"/>
      <c r="EM488" s="663"/>
      <c r="EN488" s="663"/>
      <c r="EO488" s="663"/>
      <c r="EP488" s="663"/>
      <c r="EQ488" s="663"/>
      <c r="ER488" s="663"/>
      <c r="ES488" s="663"/>
      <c r="ET488" s="663"/>
      <c r="EU488" s="663"/>
      <c r="EV488" s="663"/>
      <c r="EW488" s="663"/>
      <c r="EX488" s="663"/>
      <c r="EY488" s="663"/>
      <c r="EZ488" s="663"/>
      <c r="FA488" s="663"/>
      <c r="FB488" s="663"/>
      <c r="FC488" s="663"/>
      <c r="FD488" s="663"/>
      <c r="FE488" s="663"/>
      <c r="FF488" s="663"/>
      <c r="FG488" s="663"/>
      <c r="FH488" s="663"/>
      <c r="FI488" s="663"/>
      <c r="FJ488" s="663"/>
      <c r="FK488" s="663"/>
      <c r="FL488" s="663"/>
      <c r="FM488" s="663"/>
      <c r="FN488" s="663"/>
      <c r="FO488" s="663"/>
      <c r="FP488" s="663"/>
      <c r="FQ488" s="663"/>
      <c r="FR488" s="663"/>
      <c r="FS488" s="663"/>
      <c r="FT488" s="663"/>
      <c r="FU488" s="663"/>
      <c r="FV488" s="663"/>
      <c r="FW488" s="663"/>
      <c r="FX488" s="663"/>
      <c r="FY488" s="663"/>
      <c r="FZ488" s="663"/>
      <c r="GA488" s="663"/>
      <c r="GB488" s="663"/>
      <c r="GC488" s="663"/>
      <c r="GD488" s="663"/>
      <c r="GE488" s="663"/>
      <c r="GF488" s="663"/>
      <c r="GG488" s="663"/>
    </row>
    <row r="489" spans="1:189">
      <c r="A489" s="670"/>
      <c r="B489" s="670"/>
      <c r="C489" s="670"/>
      <c r="D489" s="670"/>
      <c r="E489" s="670"/>
      <c r="F489" s="670"/>
      <c r="G489" s="673"/>
      <c r="H489" s="627"/>
      <c r="I489" s="627"/>
      <c r="J489" s="672"/>
      <c r="K489" s="663"/>
      <c r="L489" s="663"/>
      <c r="M489" s="663"/>
      <c r="N489" s="663"/>
      <c r="O489" s="663"/>
      <c r="P489" s="663"/>
      <c r="Q489" s="663"/>
      <c r="R489" s="663"/>
      <c r="S489" s="663"/>
      <c r="T489" s="663"/>
      <c r="U489" s="663"/>
      <c r="V489" s="663"/>
      <c r="W489" s="663"/>
      <c r="X489" s="663"/>
      <c r="Y489" s="663"/>
      <c r="Z489" s="663"/>
      <c r="AA489" s="663"/>
      <c r="AB489" s="663"/>
      <c r="AC489" s="663"/>
      <c r="AD489" s="663"/>
      <c r="AE489" s="663"/>
      <c r="AF489" s="663"/>
      <c r="AG489" s="663"/>
      <c r="AH489" s="663"/>
      <c r="AI489" s="663"/>
      <c r="AJ489" s="663"/>
      <c r="AK489" s="663"/>
      <c r="AL489" s="663"/>
      <c r="AM489" s="663"/>
      <c r="AN489" s="663"/>
      <c r="AO489" s="663"/>
      <c r="AP489" s="663"/>
      <c r="AQ489" s="663"/>
      <c r="AR489" s="663"/>
      <c r="AS489" s="663"/>
      <c r="AT489" s="663"/>
      <c r="AU489" s="663"/>
      <c r="AV489" s="663"/>
      <c r="AW489" s="663"/>
      <c r="AX489" s="663"/>
      <c r="AY489" s="663"/>
      <c r="AZ489" s="663"/>
      <c r="BA489" s="663"/>
      <c r="BB489" s="663"/>
      <c r="BC489" s="663"/>
      <c r="BD489" s="663"/>
      <c r="BE489" s="663"/>
      <c r="BF489" s="663"/>
      <c r="BG489" s="663"/>
      <c r="BH489" s="663"/>
      <c r="BI489" s="663"/>
      <c r="BJ489" s="663"/>
      <c r="BK489" s="663"/>
      <c r="BL489" s="663"/>
      <c r="BM489" s="663"/>
      <c r="BN489" s="663"/>
      <c r="BO489" s="663"/>
      <c r="BP489" s="663"/>
      <c r="BQ489" s="663"/>
      <c r="BR489" s="663"/>
      <c r="BS489" s="663"/>
      <c r="BT489" s="663"/>
      <c r="BU489" s="663"/>
      <c r="BV489" s="663"/>
      <c r="BW489" s="663"/>
      <c r="BX489" s="663"/>
      <c r="BY489" s="663"/>
      <c r="BZ489" s="663"/>
      <c r="CA489" s="663"/>
      <c r="CB489" s="663"/>
      <c r="CC489" s="663"/>
      <c r="CD489" s="663"/>
      <c r="CE489" s="663"/>
      <c r="CF489" s="663"/>
      <c r="CG489" s="663"/>
      <c r="CH489" s="663"/>
      <c r="CI489" s="663"/>
      <c r="CJ489" s="663"/>
      <c r="CK489" s="663"/>
      <c r="CL489" s="663"/>
      <c r="CM489" s="663"/>
      <c r="CN489" s="663"/>
      <c r="CO489" s="663"/>
      <c r="CP489" s="663"/>
      <c r="CQ489" s="663"/>
      <c r="CR489" s="663"/>
      <c r="CS489" s="663"/>
      <c r="CT489" s="663"/>
      <c r="CU489" s="663"/>
      <c r="CV489" s="663"/>
      <c r="CW489" s="663"/>
      <c r="CX489" s="663"/>
      <c r="CY489" s="663"/>
      <c r="CZ489" s="663"/>
      <c r="DA489" s="663"/>
      <c r="DB489" s="663"/>
      <c r="DC489" s="663"/>
      <c r="DD489" s="663"/>
      <c r="DE489" s="663"/>
      <c r="DF489" s="663"/>
      <c r="DG489" s="663"/>
      <c r="DH489" s="663"/>
      <c r="DI489" s="663"/>
      <c r="DJ489" s="663"/>
      <c r="DK489" s="663"/>
      <c r="DL489" s="663"/>
      <c r="DM489" s="663"/>
      <c r="DN489" s="663"/>
      <c r="DO489" s="663"/>
      <c r="DP489" s="663"/>
      <c r="DQ489" s="663"/>
      <c r="DR489" s="663"/>
      <c r="DS489" s="663"/>
      <c r="DT489" s="663"/>
      <c r="DU489" s="663"/>
      <c r="DV489" s="663"/>
      <c r="DW489" s="663"/>
      <c r="DX489" s="663"/>
      <c r="DY489" s="663"/>
      <c r="DZ489" s="663"/>
      <c r="EA489" s="663"/>
      <c r="EB489" s="663"/>
      <c r="EC489" s="663"/>
      <c r="ED489" s="663"/>
      <c r="EE489" s="663"/>
      <c r="EF489" s="663"/>
      <c r="EG489" s="663"/>
      <c r="EH489" s="663"/>
      <c r="EI489" s="663"/>
      <c r="EJ489" s="663"/>
      <c r="EK489" s="663"/>
      <c r="EL489" s="663"/>
      <c r="EM489" s="663"/>
      <c r="EN489" s="663"/>
      <c r="EO489" s="663"/>
      <c r="EP489" s="663"/>
      <c r="EQ489" s="663"/>
      <c r="ER489" s="663"/>
      <c r="ES489" s="663"/>
      <c r="ET489" s="663"/>
      <c r="EU489" s="663"/>
      <c r="EV489" s="663"/>
      <c r="EW489" s="663"/>
      <c r="EX489" s="663"/>
      <c r="EY489" s="663"/>
      <c r="EZ489" s="663"/>
      <c r="FA489" s="663"/>
      <c r="FB489" s="663"/>
      <c r="FC489" s="663"/>
      <c r="FD489" s="663"/>
      <c r="FE489" s="663"/>
      <c r="FF489" s="663"/>
      <c r="FG489" s="663"/>
      <c r="FH489" s="663"/>
      <c r="FI489" s="663"/>
      <c r="FJ489" s="663"/>
      <c r="FK489" s="663"/>
      <c r="FL489" s="663"/>
      <c r="FM489" s="663"/>
      <c r="FN489" s="663"/>
      <c r="FO489" s="663"/>
      <c r="FP489" s="663"/>
      <c r="FQ489" s="663"/>
      <c r="FR489" s="663"/>
      <c r="FS489" s="663"/>
      <c r="FT489" s="663"/>
      <c r="FU489" s="663"/>
      <c r="FV489" s="663"/>
      <c r="FW489" s="663"/>
      <c r="FX489" s="663"/>
      <c r="FY489" s="663"/>
      <c r="FZ489" s="663"/>
      <c r="GA489" s="663"/>
      <c r="GB489" s="663"/>
      <c r="GC489" s="663"/>
      <c r="GD489" s="663"/>
      <c r="GE489" s="663"/>
      <c r="GF489" s="663"/>
      <c r="GG489" s="663"/>
    </row>
    <row r="490" spans="1:189">
      <c r="A490" s="670"/>
      <c r="B490" s="670"/>
      <c r="C490" s="670"/>
      <c r="D490" s="670"/>
      <c r="E490" s="670"/>
      <c r="F490" s="670"/>
      <c r="G490" s="673"/>
      <c r="H490" s="627"/>
      <c r="I490" s="627"/>
      <c r="J490" s="672"/>
      <c r="K490" s="663"/>
      <c r="L490" s="663"/>
      <c r="M490" s="663"/>
      <c r="N490" s="663"/>
      <c r="O490" s="663"/>
      <c r="P490" s="663"/>
      <c r="Q490" s="663"/>
      <c r="R490" s="663"/>
      <c r="S490" s="663"/>
      <c r="T490" s="663"/>
      <c r="U490" s="663"/>
      <c r="V490" s="663"/>
      <c r="W490" s="663"/>
      <c r="X490" s="663"/>
      <c r="Y490" s="663"/>
      <c r="Z490" s="663"/>
      <c r="AA490" s="663"/>
      <c r="AB490" s="663"/>
      <c r="AC490" s="663"/>
      <c r="AD490" s="663"/>
      <c r="AE490" s="663"/>
      <c r="AF490" s="663"/>
      <c r="AG490" s="663"/>
      <c r="AH490" s="663"/>
      <c r="AI490" s="663"/>
      <c r="AJ490" s="663"/>
      <c r="AK490" s="663"/>
      <c r="AL490" s="663"/>
      <c r="AM490" s="663"/>
      <c r="AN490" s="663"/>
      <c r="AO490" s="663"/>
      <c r="AP490" s="663"/>
      <c r="AQ490" s="663"/>
      <c r="AR490" s="663"/>
      <c r="AS490" s="663"/>
      <c r="AT490" s="663"/>
      <c r="AU490" s="663"/>
      <c r="AV490" s="663"/>
      <c r="AW490" s="663"/>
      <c r="AX490" s="663"/>
      <c r="AY490" s="663"/>
      <c r="AZ490" s="663"/>
      <c r="BA490" s="663"/>
      <c r="BB490" s="663"/>
      <c r="BC490" s="663"/>
      <c r="BD490" s="663"/>
      <c r="BE490" s="663"/>
      <c r="BF490" s="663"/>
      <c r="BG490" s="663"/>
      <c r="BH490" s="663"/>
      <c r="BI490" s="663"/>
      <c r="BJ490" s="663"/>
      <c r="BK490" s="663"/>
      <c r="BL490" s="663"/>
      <c r="BM490" s="663"/>
      <c r="BN490" s="663"/>
      <c r="BO490" s="663"/>
      <c r="BP490" s="663"/>
      <c r="BQ490" s="663"/>
      <c r="BR490" s="663"/>
      <c r="BS490" s="663"/>
      <c r="BT490" s="663"/>
      <c r="BU490" s="663"/>
      <c r="BV490" s="663"/>
      <c r="BW490" s="663"/>
      <c r="BX490" s="663"/>
      <c r="BY490" s="663"/>
      <c r="BZ490" s="663"/>
      <c r="CA490" s="663"/>
      <c r="CB490" s="663"/>
      <c r="CC490" s="663"/>
      <c r="CD490" s="663"/>
      <c r="CE490" s="663"/>
      <c r="CF490" s="663"/>
      <c r="CG490" s="663"/>
      <c r="CH490" s="663"/>
      <c r="CI490" s="663"/>
      <c r="CJ490" s="663"/>
      <c r="CK490" s="663"/>
      <c r="CL490" s="663"/>
      <c r="CM490" s="663"/>
      <c r="CN490" s="663"/>
      <c r="CO490" s="663"/>
      <c r="CP490" s="663"/>
      <c r="CQ490" s="663"/>
      <c r="CR490" s="663"/>
      <c r="CS490" s="663"/>
      <c r="CT490" s="663"/>
      <c r="CU490" s="663"/>
      <c r="CV490" s="663"/>
      <c r="CW490" s="663"/>
      <c r="CX490" s="663"/>
      <c r="CY490" s="663"/>
      <c r="CZ490" s="663"/>
      <c r="DA490" s="663"/>
      <c r="DB490" s="663"/>
      <c r="DC490" s="663"/>
      <c r="DD490" s="663"/>
      <c r="DE490" s="663"/>
      <c r="DF490" s="663"/>
      <c r="DG490" s="663"/>
      <c r="DH490" s="663"/>
      <c r="DI490" s="663"/>
      <c r="DJ490" s="663"/>
      <c r="DK490" s="663"/>
      <c r="DL490" s="663"/>
      <c r="DM490" s="663"/>
      <c r="DN490" s="663"/>
      <c r="DO490" s="663"/>
      <c r="DP490" s="663"/>
      <c r="DQ490" s="663"/>
      <c r="DR490" s="663"/>
      <c r="DS490" s="663"/>
      <c r="DT490" s="663"/>
      <c r="DU490" s="663"/>
      <c r="DV490" s="663"/>
      <c r="DW490" s="663"/>
      <c r="DX490" s="663"/>
      <c r="DY490" s="663"/>
      <c r="DZ490" s="663"/>
      <c r="EA490" s="663"/>
      <c r="EB490" s="663"/>
      <c r="EC490" s="663"/>
      <c r="ED490" s="663"/>
      <c r="EE490" s="663"/>
      <c r="EF490" s="663"/>
      <c r="EG490" s="663"/>
      <c r="EH490" s="663"/>
      <c r="EI490" s="663"/>
      <c r="EJ490" s="663"/>
      <c r="EK490" s="663"/>
      <c r="EL490" s="663"/>
      <c r="EM490" s="663"/>
      <c r="EN490" s="663"/>
      <c r="EO490" s="663"/>
      <c r="EP490" s="663"/>
      <c r="EQ490" s="663"/>
      <c r="ER490" s="663"/>
      <c r="ES490" s="663"/>
      <c r="ET490" s="663"/>
      <c r="EU490" s="663"/>
      <c r="EV490" s="663"/>
      <c r="EW490" s="663"/>
      <c r="EX490" s="663"/>
      <c r="EY490" s="663"/>
      <c r="EZ490" s="663"/>
      <c r="FA490" s="663"/>
      <c r="FB490" s="663"/>
      <c r="FC490" s="663"/>
      <c r="FD490" s="663"/>
      <c r="FE490" s="663"/>
      <c r="FF490" s="663"/>
      <c r="FG490" s="663"/>
      <c r="FH490" s="663"/>
      <c r="FI490" s="663"/>
      <c r="FJ490" s="663"/>
      <c r="FK490" s="663"/>
      <c r="FL490" s="663"/>
      <c r="FM490" s="663"/>
      <c r="FN490" s="663"/>
      <c r="FO490" s="663"/>
      <c r="FP490" s="663"/>
      <c r="FQ490" s="663"/>
      <c r="FR490" s="663"/>
      <c r="FS490" s="663"/>
      <c r="FT490" s="663"/>
      <c r="FU490" s="663"/>
      <c r="FV490" s="663"/>
      <c r="FW490" s="663"/>
      <c r="FX490" s="663"/>
      <c r="FY490" s="663"/>
      <c r="FZ490" s="663"/>
      <c r="GA490" s="663"/>
      <c r="GB490" s="663"/>
      <c r="GC490" s="663"/>
      <c r="GD490" s="663"/>
      <c r="GE490" s="663"/>
      <c r="GF490" s="663"/>
      <c r="GG490" s="663"/>
    </row>
    <row r="491" spans="1:189">
      <c r="A491" s="670"/>
      <c r="B491" s="670"/>
      <c r="C491" s="670"/>
      <c r="D491" s="670"/>
      <c r="E491" s="670"/>
      <c r="F491" s="670"/>
      <c r="G491" s="673"/>
      <c r="H491" s="627"/>
      <c r="I491" s="627"/>
      <c r="J491" s="672"/>
      <c r="K491" s="663"/>
      <c r="L491" s="663"/>
      <c r="M491" s="663"/>
      <c r="N491" s="663"/>
      <c r="O491" s="663"/>
      <c r="P491" s="663"/>
      <c r="Q491" s="663"/>
      <c r="R491" s="663"/>
      <c r="S491" s="663"/>
      <c r="T491" s="663"/>
      <c r="U491" s="663"/>
      <c r="V491" s="663"/>
      <c r="W491" s="663"/>
      <c r="X491" s="663"/>
      <c r="Y491" s="663"/>
      <c r="Z491" s="663"/>
      <c r="AA491" s="663"/>
      <c r="AB491" s="663"/>
      <c r="AC491" s="663"/>
      <c r="AD491" s="663"/>
      <c r="AE491" s="663"/>
      <c r="AF491" s="663"/>
      <c r="AG491" s="663"/>
      <c r="AH491" s="663"/>
      <c r="AI491" s="663"/>
      <c r="AJ491" s="663"/>
      <c r="AK491" s="663"/>
      <c r="AL491" s="663"/>
      <c r="AM491" s="663"/>
      <c r="AN491" s="663"/>
      <c r="AO491" s="663"/>
      <c r="AP491" s="663"/>
      <c r="AQ491" s="663"/>
      <c r="AR491" s="663"/>
      <c r="AS491" s="663"/>
      <c r="AT491" s="663"/>
      <c r="AU491" s="663"/>
      <c r="AV491" s="663"/>
      <c r="AW491" s="663"/>
      <c r="AX491" s="663"/>
      <c r="AY491" s="663"/>
      <c r="AZ491" s="663"/>
      <c r="BA491" s="663"/>
      <c r="BB491" s="663"/>
      <c r="BC491" s="663"/>
      <c r="BD491" s="663"/>
      <c r="BE491" s="663"/>
      <c r="BF491" s="663"/>
      <c r="BG491" s="663"/>
      <c r="BH491" s="663"/>
      <c r="BI491" s="663"/>
      <c r="BJ491" s="663"/>
      <c r="BK491" s="663"/>
      <c r="BL491" s="663"/>
      <c r="BM491" s="663"/>
      <c r="BN491" s="663"/>
      <c r="BO491" s="663"/>
      <c r="BP491" s="663"/>
      <c r="BQ491" s="663"/>
      <c r="BR491" s="663"/>
      <c r="BS491" s="663"/>
      <c r="BT491" s="663"/>
      <c r="BU491" s="663"/>
      <c r="BV491" s="663"/>
      <c r="BW491" s="663"/>
      <c r="BX491" s="663"/>
      <c r="BY491" s="663"/>
      <c r="BZ491" s="663"/>
      <c r="CA491" s="663"/>
      <c r="CB491" s="663"/>
      <c r="CC491" s="663"/>
      <c r="CD491" s="663"/>
      <c r="CE491" s="663"/>
      <c r="CF491" s="663"/>
      <c r="CG491" s="663"/>
      <c r="CH491" s="663"/>
      <c r="CI491" s="663"/>
      <c r="CJ491" s="663"/>
      <c r="CK491" s="663"/>
      <c r="CL491" s="663"/>
      <c r="CM491" s="663"/>
      <c r="CN491" s="663"/>
      <c r="CO491" s="663"/>
      <c r="CP491" s="663"/>
      <c r="CQ491" s="663"/>
      <c r="CR491" s="663"/>
      <c r="CS491" s="663"/>
      <c r="CT491" s="663"/>
      <c r="CU491" s="663"/>
      <c r="CV491" s="663"/>
      <c r="CW491" s="663"/>
      <c r="CX491" s="663"/>
      <c r="CY491" s="663"/>
      <c r="CZ491" s="663"/>
      <c r="DA491" s="663"/>
      <c r="DB491" s="663"/>
      <c r="DC491" s="663"/>
      <c r="DD491" s="663"/>
      <c r="DE491" s="663"/>
      <c r="DF491" s="663"/>
      <c r="DG491" s="663"/>
      <c r="DH491" s="663"/>
      <c r="DI491" s="663"/>
      <c r="DJ491" s="663"/>
      <c r="DK491" s="663"/>
      <c r="DL491" s="663"/>
      <c r="DM491" s="663"/>
      <c r="DN491" s="663"/>
      <c r="DO491" s="663"/>
      <c r="DP491" s="663"/>
      <c r="DQ491" s="663"/>
      <c r="DR491" s="663"/>
      <c r="DS491" s="663"/>
      <c r="DT491" s="663"/>
      <c r="DU491" s="663"/>
      <c r="DV491" s="663"/>
      <c r="DW491" s="663"/>
      <c r="DX491" s="663"/>
      <c r="DY491" s="663"/>
      <c r="DZ491" s="663"/>
      <c r="EA491" s="663"/>
      <c r="EB491" s="663"/>
      <c r="EC491" s="663"/>
      <c r="ED491" s="663"/>
      <c r="EE491" s="663"/>
      <c r="EF491" s="663"/>
      <c r="EG491" s="663"/>
      <c r="EH491" s="663"/>
      <c r="EI491" s="663"/>
      <c r="EJ491" s="663"/>
      <c r="EK491" s="663"/>
      <c r="EL491" s="663"/>
      <c r="EM491" s="663"/>
      <c r="EN491" s="663"/>
      <c r="EO491" s="663"/>
      <c r="EP491" s="663"/>
      <c r="EQ491" s="663"/>
      <c r="ER491" s="663"/>
      <c r="ES491" s="663"/>
      <c r="ET491" s="663"/>
      <c r="EU491" s="663"/>
      <c r="EV491" s="663"/>
      <c r="EW491" s="663"/>
      <c r="EX491" s="663"/>
      <c r="EY491" s="663"/>
      <c r="EZ491" s="663"/>
      <c r="FA491" s="663"/>
      <c r="FB491" s="663"/>
      <c r="FC491" s="663"/>
      <c r="FD491" s="663"/>
      <c r="FE491" s="663"/>
      <c r="FF491" s="663"/>
      <c r="FG491" s="663"/>
      <c r="FH491" s="663"/>
      <c r="FI491" s="663"/>
      <c r="FJ491" s="663"/>
      <c r="FK491" s="663"/>
      <c r="FL491" s="663"/>
      <c r="FM491" s="663"/>
      <c r="FN491" s="663"/>
      <c r="FO491" s="663"/>
      <c r="FP491" s="663"/>
      <c r="FQ491" s="663"/>
      <c r="FR491" s="663"/>
      <c r="FS491" s="663"/>
      <c r="FT491" s="663"/>
      <c r="FU491" s="663"/>
      <c r="FV491" s="663"/>
      <c r="FW491" s="663"/>
      <c r="FX491" s="663"/>
      <c r="FY491" s="663"/>
      <c r="FZ491" s="663"/>
      <c r="GA491" s="663"/>
      <c r="GB491" s="663"/>
      <c r="GC491" s="663"/>
      <c r="GD491" s="663"/>
      <c r="GE491" s="663"/>
      <c r="GF491" s="663"/>
      <c r="GG491" s="663"/>
    </row>
    <row r="492" spans="1:189">
      <c r="A492" s="670"/>
      <c r="B492" s="670"/>
      <c r="C492" s="670"/>
      <c r="D492" s="670"/>
      <c r="E492" s="670"/>
      <c r="F492" s="670"/>
      <c r="G492" s="673"/>
      <c r="H492" s="627"/>
      <c r="I492" s="627"/>
      <c r="J492" s="672"/>
      <c r="K492" s="663"/>
      <c r="L492" s="663"/>
      <c r="M492" s="663"/>
      <c r="N492" s="663"/>
      <c r="O492" s="663"/>
      <c r="P492" s="663"/>
      <c r="Q492" s="663"/>
      <c r="R492" s="663"/>
      <c r="S492" s="663"/>
      <c r="T492" s="663"/>
      <c r="U492" s="663"/>
      <c r="V492" s="663"/>
      <c r="W492" s="663"/>
      <c r="X492" s="663"/>
      <c r="Y492" s="663"/>
      <c r="Z492" s="663"/>
      <c r="AA492" s="663"/>
      <c r="AB492" s="663"/>
      <c r="AC492" s="663"/>
      <c r="AD492" s="663"/>
      <c r="AE492" s="663"/>
      <c r="AF492" s="663"/>
      <c r="AG492" s="663"/>
      <c r="AH492" s="663"/>
      <c r="AI492" s="663"/>
      <c r="AJ492" s="663"/>
      <c r="AK492" s="663"/>
      <c r="AL492" s="663"/>
      <c r="AM492" s="663"/>
      <c r="AN492" s="663"/>
      <c r="AO492" s="663"/>
      <c r="AP492" s="663"/>
      <c r="AQ492" s="663"/>
      <c r="AR492" s="663"/>
      <c r="AS492" s="663"/>
      <c r="AT492" s="663"/>
      <c r="AU492" s="663"/>
      <c r="AV492" s="663"/>
      <c r="AW492" s="663"/>
      <c r="AX492" s="663"/>
      <c r="AY492" s="663"/>
      <c r="AZ492" s="663"/>
      <c r="BA492" s="663"/>
      <c r="BB492" s="663"/>
      <c r="BC492" s="663"/>
      <c r="BD492" s="663"/>
      <c r="BE492" s="663"/>
      <c r="BF492" s="663"/>
      <c r="BG492" s="663"/>
      <c r="BH492" s="663"/>
      <c r="BI492" s="663"/>
      <c r="BJ492" s="663"/>
      <c r="BK492" s="663"/>
      <c r="BL492" s="663"/>
      <c r="BM492" s="663"/>
      <c r="BN492" s="663"/>
      <c r="BO492" s="663"/>
      <c r="BP492" s="663"/>
      <c r="BQ492" s="663"/>
      <c r="BR492" s="663"/>
      <c r="BS492" s="663"/>
      <c r="BT492" s="663"/>
      <c r="BU492" s="663"/>
      <c r="BV492" s="663"/>
      <c r="BW492" s="663"/>
      <c r="BX492" s="663"/>
      <c r="BY492" s="663"/>
      <c r="BZ492" s="663"/>
      <c r="CA492" s="663"/>
      <c r="CB492" s="663"/>
      <c r="CC492" s="663"/>
      <c r="CD492" s="663"/>
      <c r="CE492" s="663"/>
      <c r="CF492" s="663"/>
      <c r="CG492" s="663"/>
      <c r="CH492" s="663"/>
      <c r="CI492" s="663"/>
      <c r="CJ492" s="663"/>
      <c r="CK492" s="663"/>
      <c r="CL492" s="663"/>
      <c r="CM492" s="663"/>
      <c r="CN492" s="663"/>
      <c r="CO492" s="663"/>
      <c r="CP492" s="663"/>
      <c r="CQ492" s="663"/>
      <c r="CR492" s="663"/>
      <c r="CS492" s="663"/>
      <c r="CT492" s="663"/>
      <c r="CU492" s="663"/>
      <c r="CV492" s="663"/>
      <c r="CW492" s="663"/>
      <c r="CX492" s="663"/>
      <c r="CY492" s="663"/>
      <c r="CZ492" s="663"/>
      <c r="DA492" s="663"/>
      <c r="DB492" s="663"/>
      <c r="DC492" s="663"/>
      <c r="DD492" s="663"/>
      <c r="DE492" s="663"/>
      <c r="DF492" s="663"/>
      <c r="DG492" s="663"/>
      <c r="DH492" s="663"/>
      <c r="DI492" s="663"/>
      <c r="DJ492" s="663"/>
      <c r="DK492" s="663"/>
      <c r="DL492" s="663"/>
      <c r="DM492" s="663"/>
      <c r="DN492" s="663"/>
      <c r="DO492" s="663"/>
      <c r="DP492" s="663"/>
      <c r="DQ492" s="663"/>
      <c r="DR492" s="663"/>
      <c r="DS492" s="663"/>
      <c r="DT492" s="663"/>
      <c r="DU492" s="663"/>
      <c r="DV492" s="663"/>
      <c r="DW492" s="663"/>
      <c r="DX492" s="663"/>
      <c r="DY492" s="663"/>
      <c r="DZ492" s="663"/>
      <c r="EA492" s="663"/>
      <c r="EB492" s="663"/>
      <c r="EC492" s="663"/>
      <c r="ED492" s="663"/>
      <c r="EE492" s="663"/>
      <c r="EF492" s="663"/>
      <c r="EG492" s="663"/>
      <c r="EH492" s="663"/>
      <c r="EI492" s="663"/>
      <c r="EJ492" s="663"/>
      <c r="EK492" s="663"/>
      <c r="EL492" s="663"/>
      <c r="EM492" s="663"/>
      <c r="EN492" s="663"/>
      <c r="EO492" s="663"/>
      <c r="EP492" s="663"/>
      <c r="EQ492" s="663"/>
      <c r="ER492" s="663"/>
      <c r="ES492" s="663"/>
      <c r="ET492" s="663"/>
      <c r="EU492" s="663"/>
      <c r="EV492" s="663"/>
      <c r="EW492" s="663"/>
      <c r="EX492" s="663"/>
      <c r="EY492" s="663"/>
      <c r="EZ492" s="663"/>
      <c r="FA492" s="663"/>
      <c r="FB492" s="663"/>
      <c r="FC492" s="663"/>
      <c r="FD492" s="663"/>
      <c r="FE492" s="663"/>
      <c r="FF492" s="663"/>
      <c r="FG492" s="663"/>
      <c r="FH492" s="663"/>
      <c r="FI492" s="663"/>
      <c r="FJ492" s="663"/>
      <c r="FK492" s="663"/>
      <c r="FL492" s="663"/>
      <c r="FM492" s="663"/>
      <c r="FN492" s="663"/>
      <c r="FO492" s="663"/>
      <c r="FP492" s="663"/>
      <c r="FQ492" s="663"/>
      <c r="FR492" s="663"/>
      <c r="FS492" s="663"/>
      <c r="FT492" s="663"/>
      <c r="FU492" s="663"/>
      <c r="FV492" s="663"/>
      <c r="FW492" s="663"/>
      <c r="FX492" s="663"/>
      <c r="FY492" s="663"/>
      <c r="FZ492" s="663"/>
      <c r="GA492" s="663"/>
      <c r="GB492" s="663"/>
      <c r="GC492" s="663"/>
      <c r="GD492" s="663"/>
      <c r="GE492" s="663"/>
      <c r="GF492" s="663"/>
      <c r="GG492" s="663"/>
    </row>
    <row r="493" spans="1:189">
      <c r="A493" s="670"/>
      <c r="B493" s="670"/>
      <c r="C493" s="670"/>
      <c r="D493" s="670"/>
      <c r="E493" s="670"/>
      <c r="F493" s="670"/>
      <c r="G493" s="673"/>
      <c r="H493" s="627"/>
      <c r="I493" s="627"/>
      <c r="J493" s="672"/>
      <c r="K493" s="663"/>
      <c r="L493" s="663"/>
      <c r="M493" s="663"/>
      <c r="N493" s="663"/>
      <c r="O493" s="663"/>
      <c r="P493" s="663"/>
      <c r="Q493" s="663"/>
      <c r="R493" s="663"/>
      <c r="S493" s="663"/>
      <c r="T493" s="663"/>
      <c r="U493" s="663"/>
      <c r="V493" s="663"/>
      <c r="W493" s="663"/>
      <c r="X493" s="663"/>
      <c r="Y493" s="663"/>
      <c r="Z493" s="663"/>
      <c r="AA493" s="663"/>
      <c r="AB493" s="663"/>
      <c r="AC493" s="663"/>
      <c r="AD493" s="663"/>
      <c r="AE493" s="663"/>
      <c r="AF493" s="663"/>
      <c r="AG493" s="663"/>
      <c r="AH493" s="663"/>
      <c r="AI493" s="663"/>
      <c r="AJ493" s="663"/>
      <c r="AK493" s="663"/>
      <c r="AL493" s="663"/>
      <c r="AM493" s="663"/>
      <c r="AN493" s="663"/>
      <c r="AO493" s="663"/>
      <c r="AP493" s="663"/>
      <c r="AQ493" s="663"/>
      <c r="AR493" s="663"/>
      <c r="AS493" s="663"/>
      <c r="AT493" s="663"/>
      <c r="AU493" s="663"/>
      <c r="AV493" s="663"/>
      <c r="AW493" s="663"/>
      <c r="AX493" s="663"/>
      <c r="AY493" s="663"/>
      <c r="AZ493" s="663"/>
      <c r="BA493" s="663"/>
      <c r="BB493" s="663"/>
      <c r="BC493" s="663"/>
      <c r="BD493" s="663"/>
      <c r="BE493" s="663"/>
      <c r="BF493" s="663"/>
      <c r="BG493" s="663"/>
      <c r="BH493" s="663"/>
      <c r="BI493" s="663"/>
      <c r="BJ493" s="663"/>
      <c r="BK493" s="663"/>
      <c r="BL493" s="663"/>
      <c r="BM493" s="663"/>
      <c r="BN493" s="663"/>
      <c r="BO493" s="663"/>
      <c r="BP493" s="663"/>
      <c r="BQ493" s="663"/>
      <c r="BR493" s="663"/>
      <c r="BS493" s="663"/>
      <c r="BT493" s="663"/>
      <c r="BU493" s="663"/>
      <c r="BV493" s="663"/>
      <c r="BW493" s="663"/>
      <c r="BX493" s="663"/>
      <c r="BY493" s="663"/>
      <c r="BZ493" s="663"/>
      <c r="CA493" s="663"/>
      <c r="CB493" s="663"/>
      <c r="CC493" s="663"/>
      <c r="CD493" s="663"/>
      <c r="CE493" s="663"/>
      <c r="CF493" s="663"/>
      <c r="CG493" s="663"/>
      <c r="CH493" s="663"/>
      <c r="CI493" s="663"/>
      <c r="CJ493" s="663"/>
      <c r="CK493" s="663"/>
      <c r="CL493" s="663"/>
      <c r="CM493" s="663"/>
      <c r="CN493" s="663"/>
      <c r="CO493" s="663"/>
      <c r="CP493" s="663"/>
      <c r="CQ493" s="663"/>
      <c r="CR493" s="663"/>
      <c r="CS493" s="663"/>
      <c r="CT493" s="663"/>
      <c r="CU493" s="663"/>
      <c r="CV493" s="663"/>
      <c r="CW493" s="663"/>
      <c r="CX493" s="663"/>
      <c r="CY493" s="663"/>
      <c r="CZ493" s="663"/>
      <c r="DA493" s="663"/>
      <c r="DB493" s="663"/>
      <c r="DC493" s="663"/>
      <c r="DD493" s="663"/>
      <c r="DE493" s="663"/>
      <c r="DF493" s="663"/>
      <c r="DG493" s="663"/>
      <c r="DH493" s="663"/>
      <c r="DI493" s="663"/>
      <c r="DJ493" s="663"/>
      <c r="DK493" s="663"/>
      <c r="DL493" s="663"/>
      <c r="DM493" s="663"/>
      <c r="DN493" s="663"/>
      <c r="DO493" s="663"/>
      <c r="DP493" s="663"/>
      <c r="DQ493" s="663"/>
      <c r="DR493" s="663"/>
      <c r="DS493" s="663"/>
      <c r="DT493" s="663"/>
      <c r="DU493" s="663"/>
      <c r="DV493" s="663"/>
      <c r="DW493" s="663"/>
      <c r="DX493" s="663"/>
      <c r="DY493" s="663"/>
      <c r="DZ493" s="663"/>
      <c r="EA493" s="663"/>
      <c r="EB493" s="663"/>
      <c r="EC493" s="663"/>
      <c r="ED493" s="663"/>
      <c r="EE493" s="663"/>
      <c r="EF493" s="663"/>
      <c r="EG493" s="663"/>
      <c r="EH493" s="663"/>
      <c r="EI493" s="663"/>
      <c r="EJ493" s="663"/>
      <c r="EK493" s="663"/>
      <c r="EL493" s="663"/>
      <c r="EM493" s="663"/>
      <c r="EN493" s="663"/>
      <c r="EO493" s="663"/>
      <c r="EP493" s="663"/>
      <c r="EQ493" s="663"/>
      <c r="ER493" s="663"/>
      <c r="ES493" s="663"/>
      <c r="ET493" s="663"/>
      <c r="EU493" s="663"/>
      <c r="EV493" s="663"/>
      <c r="EW493" s="663"/>
      <c r="EX493" s="663"/>
      <c r="EY493" s="663"/>
      <c r="EZ493" s="663"/>
      <c r="FA493" s="663"/>
      <c r="FB493" s="663"/>
      <c r="FC493" s="663"/>
      <c r="FD493" s="663"/>
      <c r="FE493" s="663"/>
      <c r="FF493" s="663"/>
      <c r="FG493" s="663"/>
      <c r="FH493" s="663"/>
      <c r="FI493" s="663"/>
      <c r="FJ493" s="663"/>
      <c r="FK493" s="663"/>
      <c r="FL493" s="663"/>
      <c r="FM493" s="663"/>
      <c r="FN493" s="663"/>
      <c r="FO493" s="663"/>
      <c r="FP493" s="663"/>
      <c r="FQ493" s="663"/>
      <c r="FR493" s="663"/>
      <c r="FS493" s="663"/>
      <c r="FT493" s="663"/>
      <c r="FU493" s="663"/>
      <c r="FV493" s="663"/>
      <c r="FW493" s="663"/>
      <c r="FX493" s="663"/>
      <c r="FY493" s="663"/>
      <c r="FZ493" s="663"/>
      <c r="GA493" s="663"/>
      <c r="GB493" s="663"/>
      <c r="GC493" s="663"/>
      <c r="GD493" s="663"/>
      <c r="GE493" s="663"/>
      <c r="GF493" s="663"/>
      <c r="GG493" s="663"/>
    </row>
    <row r="494" spans="1:189">
      <c r="A494" s="670"/>
      <c r="B494" s="670"/>
      <c r="C494" s="670"/>
      <c r="D494" s="670"/>
      <c r="E494" s="670"/>
      <c r="F494" s="670"/>
      <c r="G494" s="673"/>
      <c r="H494" s="627"/>
      <c r="I494" s="627"/>
      <c r="J494" s="672"/>
      <c r="K494" s="663"/>
      <c r="L494" s="663"/>
      <c r="M494" s="663"/>
      <c r="N494" s="663"/>
      <c r="O494" s="663"/>
      <c r="P494" s="663"/>
      <c r="Q494" s="663"/>
      <c r="R494" s="663"/>
      <c r="S494" s="663"/>
      <c r="T494" s="663"/>
      <c r="U494" s="663"/>
      <c r="V494" s="663"/>
      <c r="W494" s="663"/>
      <c r="X494" s="663"/>
      <c r="Y494" s="663"/>
      <c r="Z494" s="663"/>
      <c r="AA494" s="663"/>
      <c r="AB494" s="663"/>
      <c r="AC494" s="663"/>
      <c r="AD494" s="663"/>
      <c r="AE494" s="663"/>
      <c r="AF494" s="663"/>
      <c r="AG494" s="663"/>
      <c r="AH494" s="663"/>
      <c r="AI494" s="663"/>
      <c r="AJ494" s="663"/>
      <c r="AK494" s="663"/>
      <c r="AL494" s="663"/>
      <c r="AM494" s="663"/>
      <c r="AN494" s="663"/>
      <c r="AO494" s="663"/>
      <c r="AP494" s="663"/>
      <c r="AQ494" s="663"/>
      <c r="AR494" s="663"/>
      <c r="AS494" s="663"/>
      <c r="AT494" s="663"/>
      <c r="AU494" s="663"/>
      <c r="AV494" s="663"/>
      <c r="AW494" s="663"/>
      <c r="AX494" s="663"/>
      <c r="AY494" s="663"/>
      <c r="AZ494" s="663"/>
      <c r="BA494" s="663"/>
      <c r="BB494" s="663"/>
      <c r="BC494" s="663"/>
      <c r="BD494" s="663"/>
      <c r="BE494" s="663"/>
      <c r="BF494" s="663"/>
      <c r="BG494" s="663"/>
      <c r="BH494" s="663"/>
      <c r="BI494" s="663"/>
      <c r="BJ494" s="663"/>
      <c r="BK494" s="663"/>
      <c r="BL494" s="663"/>
      <c r="BM494" s="663"/>
      <c r="BN494" s="663"/>
      <c r="BO494" s="663"/>
      <c r="BP494" s="663"/>
      <c r="BQ494" s="663"/>
      <c r="BR494" s="663"/>
      <c r="BS494" s="663"/>
      <c r="BT494" s="663"/>
      <c r="BU494" s="663"/>
      <c r="BV494" s="663"/>
      <c r="BW494" s="663"/>
      <c r="BX494" s="663"/>
      <c r="BY494" s="663"/>
      <c r="BZ494" s="663"/>
      <c r="CA494" s="663"/>
      <c r="CB494" s="663"/>
      <c r="CC494" s="663"/>
      <c r="CD494" s="663"/>
      <c r="CE494" s="663"/>
      <c r="CF494" s="663"/>
      <c r="CG494" s="663"/>
      <c r="CH494" s="663"/>
      <c r="CI494" s="663"/>
      <c r="CJ494" s="663"/>
      <c r="CK494" s="663"/>
      <c r="CL494" s="663"/>
      <c r="CM494" s="663"/>
      <c r="CN494" s="663"/>
      <c r="CO494" s="663"/>
      <c r="CP494" s="663"/>
      <c r="CQ494" s="663"/>
      <c r="CR494" s="663"/>
      <c r="CS494" s="663"/>
      <c r="CT494" s="663"/>
      <c r="CU494" s="663"/>
      <c r="CV494" s="663"/>
      <c r="CW494" s="663"/>
      <c r="CX494" s="663"/>
      <c r="CY494" s="663"/>
      <c r="CZ494" s="663"/>
      <c r="DA494" s="663"/>
      <c r="DB494" s="663"/>
      <c r="DC494" s="663"/>
      <c r="DD494" s="663"/>
      <c r="DE494" s="663"/>
      <c r="DF494" s="663"/>
      <c r="DG494" s="663"/>
      <c r="DH494" s="663"/>
      <c r="DI494" s="663"/>
      <c r="DJ494" s="663"/>
      <c r="DK494" s="663"/>
      <c r="DL494" s="663"/>
      <c r="DM494" s="663"/>
      <c r="DN494" s="663"/>
      <c r="DO494" s="663"/>
      <c r="DP494" s="663"/>
      <c r="DQ494" s="663"/>
      <c r="DR494" s="663"/>
      <c r="DS494" s="663"/>
      <c r="DT494" s="663"/>
      <c r="DU494" s="663"/>
      <c r="DV494" s="663"/>
      <c r="DW494" s="663"/>
      <c r="DX494" s="663"/>
      <c r="DY494" s="663"/>
      <c r="DZ494" s="663"/>
      <c r="EA494" s="663"/>
      <c r="EB494" s="663"/>
      <c r="EC494" s="663"/>
      <c r="ED494" s="663"/>
      <c r="EE494" s="663"/>
      <c r="EF494" s="663"/>
      <c r="EG494" s="663"/>
      <c r="EH494" s="663"/>
      <c r="EI494" s="663"/>
      <c r="EJ494" s="663"/>
      <c r="EK494" s="663"/>
      <c r="EL494" s="663"/>
      <c r="EM494" s="663"/>
      <c r="EN494" s="663"/>
      <c r="EO494" s="663"/>
      <c r="EP494" s="663"/>
      <c r="EQ494" s="663"/>
      <c r="ER494" s="663"/>
      <c r="ES494" s="663"/>
      <c r="ET494" s="663"/>
      <c r="EU494" s="663"/>
      <c r="EV494" s="663"/>
      <c r="EW494" s="663"/>
      <c r="EX494" s="663"/>
      <c r="EY494" s="663"/>
      <c r="EZ494" s="663"/>
      <c r="FA494" s="663"/>
      <c r="FB494" s="663"/>
      <c r="FC494" s="663"/>
      <c r="FD494" s="663"/>
      <c r="FE494" s="663"/>
      <c r="FF494" s="663"/>
      <c r="FG494" s="663"/>
      <c r="FH494" s="663"/>
      <c r="FI494" s="663"/>
      <c r="FJ494" s="663"/>
      <c r="FK494" s="663"/>
      <c r="FL494" s="663"/>
      <c r="FM494" s="663"/>
      <c r="FN494" s="663"/>
      <c r="FO494" s="663"/>
      <c r="FP494" s="663"/>
      <c r="FQ494" s="663"/>
      <c r="FR494" s="663"/>
      <c r="FS494" s="663"/>
      <c r="FT494" s="663"/>
      <c r="FU494" s="663"/>
      <c r="FV494" s="663"/>
      <c r="FW494" s="663"/>
      <c r="FX494" s="663"/>
      <c r="FY494" s="663"/>
      <c r="FZ494" s="663"/>
      <c r="GA494" s="663"/>
      <c r="GB494" s="663"/>
      <c r="GC494" s="663"/>
      <c r="GD494" s="663"/>
      <c r="GE494" s="663"/>
      <c r="GF494" s="663"/>
      <c r="GG494" s="663"/>
    </row>
    <row r="495" spans="1:189">
      <c r="A495" s="670"/>
      <c r="B495" s="670"/>
      <c r="C495" s="670"/>
      <c r="D495" s="670"/>
      <c r="E495" s="670"/>
      <c r="F495" s="670"/>
      <c r="G495" s="673"/>
      <c r="H495" s="627"/>
      <c r="I495" s="627"/>
      <c r="J495" s="672"/>
      <c r="K495" s="663"/>
      <c r="L495" s="663"/>
      <c r="M495" s="663"/>
      <c r="N495" s="663"/>
      <c r="O495" s="663"/>
      <c r="P495" s="663"/>
      <c r="Q495" s="663"/>
      <c r="R495" s="663"/>
      <c r="S495" s="663"/>
      <c r="T495" s="663"/>
      <c r="U495" s="663"/>
      <c r="V495" s="663"/>
      <c r="W495" s="663"/>
      <c r="X495" s="663"/>
      <c r="Y495" s="663"/>
      <c r="Z495" s="663"/>
      <c r="AA495" s="663"/>
      <c r="AB495" s="663"/>
      <c r="AC495" s="663"/>
      <c r="AD495" s="663"/>
      <c r="AE495" s="663"/>
      <c r="AF495" s="663"/>
      <c r="AG495" s="663"/>
      <c r="AH495" s="663"/>
      <c r="AI495" s="663"/>
      <c r="AJ495" s="663"/>
      <c r="AK495" s="663"/>
      <c r="AL495" s="663"/>
      <c r="AM495" s="663"/>
      <c r="AN495" s="663"/>
      <c r="AO495" s="663"/>
      <c r="AP495" s="663"/>
      <c r="AQ495" s="663"/>
      <c r="AR495" s="663"/>
      <c r="AS495" s="663"/>
      <c r="AT495" s="663"/>
      <c r="AU495" s="663"/>
      <c r="AV495" s="663"/>
      <c r="AW495" s="663"/>
      <c r="AX495" s="663"/>
      <c r="AY495" s="663"/>
      <c r="AZ495" s="663"/>
      <c r="BA495" s="663"/>
      <c r="BB495" s="663"/>
      <c r="BC495" s="663"/>
      <c r="BD495" s="663"/>
      <c r="BE495" s="663"/>
      <c r="BF495" s="663"/>
      <c r="BG495" s="663"/>
      <c r="BH495" s="663"/>
      <c r="BI495" s="663"/>
      <c r="BJ495" s="663"/>
      <c r="BK495" s="663"/>
      <c r="BL495" s="663"/>
      <c r="BM495" s="663"/>
      <c r="BN495" s="663"/>
      <c r="BO495" s="663"/>
      <c r="BP495" s="663"/>
      <c r="BQ495" s="663"/>
      <c r="BR495" s="663"/>
      <c r="BS495" s="663"/>
      <c r="BT495" s="663"/>
      <c r="BU495" s="663"/>
      <c r="BV495" s="663"/>
      <c r="BW495" s="663"/>
      <c r="BX495" s="663"/>
      <c r="BY495" s="663"/>
      <c r="BZ495" s="663"/>
      <c r="CA495" s="663"/>
      <c r="CB495" s="663"/>
      <c r="CC495" s="663"/>
      <c r="CD495" s="663"/>
      <c r="CE495" s="663"/>
      <c r="CF495" s="663"/>
      <c r="CG495" s="663"/>
      <c r="CH495" s="663"/>
      <c r="CI495" s="663"/>
      <c r="CJ495" s="663"/>
      <c r="CK495" s="663"/>
      <c r="CL495" s="663"/>
      <c r="CM495" s="663"/>
      <c r="CN495" s="663"/>
      <c r="CO495" s="663"/>
      <c r="CP495" s="663"/>
      <c r="CQ495" s="663"/>
      <c r="CR495" s="663"/>
      <c r="CS495" s="663"/>
      <c r="CT495" s="663"/>
      <c r="CU495" s="663"/>
      <c r="CV495" s="663"/>
      <c r="CW495" s="663"/>
      <c r="CX495" s="663"/>
      <c r="CY495" s="663"/>
      <c r="CZ495" s="663"/>
      <c r="DA495" s="663"/>
      <c r="DB495" s="663"/>
      <c r="DC495" s="663"/>
      <c r="DD495" s="663"/>
      <c r="DE495" s="663"/>
      <c r="DF495" s="663"/>
      <c r="DG495" s="663"/>
      <c r="DH495" s="663"/>
      <c r="DI495" s="663"/>
      <c r="DJ495" s="663"/>
      <c r="DK495" s="663"/>
      <c r="DL495" s="663"/>
      <c r="DM495" s="663"/>
      <c r="DN495" s="663"/>
      <c r="DO495" s="663"/>
      <c r="DP495" s="663"/>
      <c r="DQ495" s="663"/>
      <c r="DR495" s="663"/>
      <c r="DS495" s="663"/>
      <c r="DT495" s="663"/>
      <c r="DU495" s="663"/>
      <c r="DV495" s="663"/>
      <c r="DW495" s="663"/>
      <c r="DX495" s="663"/>
      <c r="DY495" s="663"/>
      <c r="DZ495" s="663"/>
      <c r="EA495" s="663"/>
      <c r="EB495" s="663"/>
      <c r="EC495" s="663"/>
      <c r="ED495" s="663"/>
      <c r="EE495" s="663"/>
      <c r="EF495" s="663"/>
      <c r="EG495" s="663"/>
      <c r="EH495" s="663"/>
      <c r="EI495" s="663"/>
      <c r="EJ495" s="663"/>
      <c r="EK495" s="663"/>
      <c r="EL495" s="663"/>
      <c r="EM495" s="663"/>
      <c r="EN495" s="663"/>
      <c r="EO495" s="663"/>
      <c r="EP495" s="663"/>
      <c r="EQ495" s="663"/>
      <c r="ER495" s="663"/>
      <c r="ES495" s="663"/>
      <c r="ET495" s="663"/>
      <c r="EU495" s="663"/>
      <c r="EV495" s="663"/>
      <c r="EW495" s="663"/>
      <c r="EX495" s="663"/>
      <c r="EY495" s="663"/>
      <c r="EZ495" s="663"/>
      <c r="FA495" s="663"/>
      <c r="FB495" s="663"/>
      <c r="FC495" s="663"/>
      <c r="FD495" s="663"/>
      <c r="FE495" s="663"/>
      <c r="FF495" s="663"/>
      <c r="FG495" s="663"/>
      <c r="FH495" s="663"/>
      <c r="FI495" s="663"/>
      <c r="FJ495" s="663"/>
      <c r="FK495" s="663"/>
      <c r="FL495" s="663"/>
      <c r="FM495" s="663"/>
      <c r="FN495" s="663"/>
      <c r="FO495" s="663"/>
      <c r="FP495" s="663"/>
      <c r="FQ495" s="663"/>
      <c r="FR495" s="663"/>
      <c r="FS495" s="663"/>
      <c r="FT495" s="663"/>
      <c r="FU495" s="663"/>
      <c r="FV495" s="663"/>
      <c r="FW495" s="663"/>
      <c r="FX495" s="663"/>
      <c r="FY495" s="663"/>
      <c r="FZ495" s="663"/>
      <c r="GA495" s="663"/>
      <c r="GB495" s="663"/>
      <c r="GC495" s="663"/>
      <c r="GD495" s="663"/>
      <c r="GE495" s="663"/>
      <c r="GF495" s="663"/>
      <c r="GG495" s="663"/>
    </row>
    <row r="496" spans="1:189">
      <c r="A496" s="670"/>
      <c r="B496" s="670"/>
      <c r="C496" s="670"/>
      <c r="D496" s="670"/>
      <c r="E496" s="670"/>
      <c r="F496" s="670"/>
      <c r="G496" s="673"/>
      <c r="H496" s="627"/>
      <c r="I496" s="627"/>
      <c r="J496" s="672"/>
      <c r="K496" s="663"/>
      <c r="L496" s="663"/>
      <c r="M496" s="663"/>
      <c r="N496" s="663"/>
      <c r="O496" s="663"/>
      <c r="P496" s="663"/>
      <c r="Q496" s="663"/>
      <c r="R496" s="663"/>
      <c r="S496" s="663"/>
      <c r="T496" s="663"/>
      <c r="U496" s="663"/>
      <c r="V496" s="663"/>
      <c r="W496" s="663"/>
      <c r="X496" s="663"/>
      <c r="Y496" s="663"/>
      <c r="Z496" s="663"/>
      <c r="AA496" s="663"/>
      <c r="AB496" s="663"/>
      <c r="AC496" s="663"/>
      <c r="AD496" s="663"/>
      <c r="AE496" s="663"/>
      <c r="AF496" s="663"/>
      <c r="AG496" s="663"/>
      <c r="AH496" s="663"/>
      <c r="AI496" s="663"/>
      <c r="AJ496" s="663"/>
      <c r="AK496" s="663"/>
      <c r="AL496" s="663"/>
      <c r="AM496" s="663"/>
      <c r="AN496" s="663"/>
      <c r="AO496" s="663"/>
      <c r="AP496" s="663"/>
      <c r="AQ496" s="663"/>
      <c r="AR496" s="663"/>
      <c r="AS496" s="663"/>
      <c r="AT496" s="663"/>
      <c r="AU496" s="663"/>
      <c r="AV496" s="663"/>
      <c r="AW496" s="663"/>
      <c r="AX496" s="663"/>
      <c r="AY496" s="663"/>
      <c r="AZ496" s="663"/>
      <c r="BA496" s="663"/>
      <c r="BB496" s="663"/>
      <c r="BC496" s="663"/>
      <c r="BD496" s="663"/>
      <c r="BE496" s="663"/>
      <c r="BF496" s="663"/>
      <c r="BG496" s="663"/>
      <c r="BH496" s="663"/>
      <c r="BI496" s="663"/>
      <c r="BJ496" s="663"/>
      <c r="BK496" s="663"/>
      <c r="BL496" s="663"/>
      <c r="BM496" s="663"/>
      <c r="BN496" s="663"/>
      <c r="BO496" s="663"/>
      <c r="BP496" s="663"/>
      <c r="BQ496" s="663"/>
      <c r="BR496" s="663"/>
      <c r="BS496" s="663"/>
      <c r="BT496" s="663"/>
      <c r="BU496" s="663"/>
      <c r="BV496" s="663"/>
      <c r="BW496" s="663"/>
      <c r="BX496" s="663"/>
      <c r="BY496" s="663"/>
      <c r="BZ496" s="663"/>
      <c r="CA496" s="663"/>
      <c r="CB496" s="663"/>
      <c r="CC496" s="663"/>
      <c r="CD496" s="663"/>
      <c r="CE496" s="663"/>
      <c r="CF496" s="663"/>
      <c r="CG496" s="663"/>
      <c r="CH496" s="663"/>
      <c r="CI496" s="663"/>
      <c r="CJ496" s="663"/>
      <c r="CK496" s="663"/>
      <c r="CL496" s="663"/>
      <c r="CM496" s="663"/>
      <c r="CN496" s="663"/>
      <c r="CO496" s="663"/>
      <c r="CP496" s="663"/>
      <c r="CQ496" s="663"/>
      <c r="CR496" s="663"/>
      <c r="CS496" s="663"/>
      <c r="CT496" s="663"/>
      <c r="CU496" s="663"/>
      <c r="CV496" s="663"/>
      <c r="CW496" s="663"/>
      <c r="CX496" s="663"/>
      <c r="CY496" s="663"/>
      <c r="CZ496" s="663"/>
      <c r="DA496" s="663"/>
      <c r="DB496" s="663"/>
      <c r="DC496" s="663"/>
      <c r="DD496" s="663"/>
      <c r="DE496" s="663"/>
      <c r="DF496" s="663"/>
      <c r="DG496" s="663"/>
      <c r="DH496" s="663"/>
      <c r="DI496" s="663"/>
      <c r="DJ496" s="663"/>
      <c r="DK496" s="663"/>
      <c r="DL496" s="663"/>
      <c r="DM496" s="663"/>
      <c r="DN496" s="663"/>
      <c r="DO496" s="663"/>
      <c r="DP496" s="663"/>
      <c r="DQ496" s="663"/>
      <c r="DR496" s="663"/>
      <c r="DS496" s="663"/>
      <c r="DT496" s="663"/>
      <c r="DU496" s="663"/>
      <c r="DV496" s="663"/>
      <c r="DW496" s="663"/>
      <c r="DX496" s="663"/>
      <c r="DY496" s="663"/>
      <c r="DZ496" s="663"/>
      <c r="EA496" s="663"/>
      <c r="EB496" s="663"/>
      <c r="EC496" s="663"/>
      <c r="ED496" s="663"/>
      <c r="EE496" s="663"/>
      <c r="EF496" s="663"/>
      <c r="EG496" s="663"/>
      <c r="EH496" s="663"/>
      <c r="EI496" s="663"/>
      <c r="EJ496" s="663"/>
      <c r="EK496" s="663"/>
      <c r="EL496" s="663"/>
      <c r="EM496" s="663"/>
      <c r="EN496" s="663"/>
      <c r="EO496" s="663"/>
      <c r="EP496" s="663"/>
      <c r="EQ496" s="663"/>
      <c r="ER496" s="663"/>
      <c r="ES496" s="663"/>
      <c r="ET496" s="663"/>
      <c r="EU496" s="663"/>
      <c r="EV496" s="663"/>
      <c r="EW496" s="663"/>
      <c r="EX496" s="663"/>
      <c r="EY496" s="663"/>
      <c r="EZ496" s="663"/>
      <c r="FA496" s="663"/>
      <c r="FB496" s="663"/>
      <c r="FC496" s="663"/>
      <c r="FD496" s="663"/>
      <c r="FE496" s="663"/>
      <c r="FF496" s="663"/>
      <c r="FG496" s="663"/>
      <c r="FH496" s="663"/>
      <c r="FI496" s="663"/>
      <c r="FJ496" s="663"/>
      <c r="FK496" s="663"/>
      <c r="FL496" s="663"/>
      <c r="FM496" s="663"/>
      <c r="FN496" s="663"/>
      <c r="FO496" s="663"/>
      <c r="FP496" s="663"/>
      <c r="FQ496" s="663"/>
      <c r="FR496" s="663"/>
      <c r="FS496" s="663"/>
      <c r="FT496" s="663"/>
      <c r="FU496" s="663"/>
      <c r="FV496" s="663"/>
      <c r="FW496" s="663"/>
      <c r="FX496" s="663"/>
      <c r="FY496" s="663"/>
      <c r="FZ496" s="663"/>
      <c r="GA496" s="663"/>
      <c r="GB496" s="663"/>
      <c r="GC496" s="663"/>
      <c r="GD496" s="663"/>
      <c r="GE496" s="663"/>
      <c r="GF496" s="663"/>
      <c r="GG496" s="663"/>
    </row>
    <row r="497" spans="1:189">
      <c r="A497" s="670"/>
      <c r="B497" s="670"/>
      <c r="C497" s="670"/>
      <c r="D497" s="670"/>
      <c r="E497" s="670"/>
      <c r="F497" s="670"/>
      <c r="G497" s="673"/>
      <c r="H497" s="627"/>
      <c r="I497" s="627"/>
      <c r="J497" s="672"/>
      <c r="K497" s="663"/>
      <c r="L497" s="663"/>
      <c r="M497" s="663"/>
      <c r="N497" s="663"/>
      <c r="O497" s="663"/>
      <c r="P497" s="663"/>
      <c r="Q497" s="663"/>
      <c r="R497" s="663"/>
      <c r="S497" s="663"/>
      <c r="T497" s="663"/>
      <c r="U497" s="663"/>
      <c r="V497" s="663"/>
      <c r="W497" s="663"/>
      <c r="X497" s="663"/>
      <c r="Y497" s="663"/>
      <c r="Z497" s="663"/>
      <c r="AA497" s="663"/>
      <c r="AB497" s="663"/>
      <c r="AC497" s="663"/>
      <c r="AD497" s="663"/>
      <c r="AE497" s="663"/>
      <c r="AF497" s="663"/>
      <c r="AG497" s="663"/>
      <c r="AH497" s="663"/>
      <c r="AI497" s="663"/>
      <c r="AJ497" s="663"/>
      <c r="AK497" s="663"/>
      <c r="AL497" s="663"/>
      <c r="AM497" s="663"/>
      <c r="AN497" s="663"/>
      <c r="AO497" s="663"/>
      <c r="AP497" s="663"/>
      <c r="AQ497" s="663"/>
      <c r="AR497" s="663"/>
      <c r="AS497" s="663"/>
      <c r="AT497" s="663"/>
      <c r="AU497" s="663"/>
      <c r="AV497" s="663"/>
      <c r="AW497" s="663"/>
      <c r="AX497" s="663"/>
      <c r="AY497" s="663"/>
      <c r="AZ497" s="663"/>
      <c r="BA497" s="663"/>
      <c r="BB497" s="663"/>
      <c r="BC497" s="663"/>
      <c r="BD497" s="663"/>
      <c r="BE497" s="663"/>
      <c r="BF497" s="663"/>
      <c r="BG497" s="663"/>
      <c r="BH497" s="663"/>
      <c r="BI497" s="663"/>
      <c r="BJ497" s="663"/>
      <c r="BK497" s="663"/>
      <c r="BL497" s="663"/>
      <c r="BM497" s="663"/>
      <c r="BN497" s="663"/>
      <c r="BO497" s="663"/>
      <c r="BP497" s="663"/>
      <c r="BQ497" s="663"/>
      <c r="BR497" s="663"/>
      <c r="BS497" s="663"/>
      <c r="BT497" s="663"/>
      <c r="BU497" s="663"/>
      <c r="BV497" s="663"/>
      <c r="BW497" s="663"/>
      <c r="BX497" s="663"/>
      <c r="BY497" s="663"/>
      <c r="BZ497" s="663"/>
      <c r="CA497" s="663"/>
      <c r="CB497" s="663"/>
      <c r="CC497" s="663"/>
      <c r="CD497" s="663"/>
      <c r="CE497" s="663"/>
      <c r="CF497" s="663"/>
      <c r="CG497" s="663"/>
      <c r="CH497" s="663"/>
      <c r="CI497" s="663"/>
      <c r="CJ497" s="663"/>
      <c r="CK497" s="663"/>
      <c r="CL497" s="663"/>
      <c r="CM497" s="663"/>
      <c r="CN497" s="663"/>
      <c r="CO497" s="663"/>
      <c r="CP497" s="663"/>
      <c r="CQ497" s="663"/>
      <c r="CR497" s="663"/>
      <c r="CS497" s="663"/>
      <c r="CT497" s="663"/>
      <c r="CU497" s="663"/>
      <c r="CV497" s="663"/>
      <c r="CW497" s="663"/>
      <c r="CX497" s="663"/>
      <c r="CY497" s="663"/>
      <c r="CZ497" s="663"/>
      <c r="DA497" s="663"/>
      <c r="DB497" s="663"/>
      <c r="DC497" s="663"/>
      <c r="DD497" s="663"/>
      <c r="DE497" s="663"/>
      <c r="DF497" s="663"/>
      <c r="DG497" s="663"/>
      <c r="DH497" s="663"/>
      <c r="DI497" s="663"/>
      <c r="DJ497" s="663"/>
      <c r="DK497" s="663"/>
      <c r="DL497" s="663"/>
      <c r="DM497" s="663"/>
      <c r="DN497" s="663"/>
      <c r="DO497" s="663"/>
      <c r="DP497" s="663"/>
      <c r="DQ497" s="663"/>
      <c r="DR497" s="663"/>
      <c r="DS497" s="663"/>
      <c r="DT497" s="663"/>
      <c r="DU497" s="663"/>
      <c r="DV497" s="663"/>
      <c r="DW497" s="663"/>
      <c r="DX497" s="663"/>
      <c r="DY497" s="663"/>
      <c r="DZ497" s="663"/>
      <c r="EA497" s="663"/>
      <c r="EB497" s="663"/>
      <c r="EC497" s="663"/>
      <c r="ED497" s="663"/>
      <c r="EE497" s="663"/>
      <c r="EF497" s="663"/>
      <c r="EG497" s="663"/>
      <c r="EH497" s="663"/>
      <c r="EI497" s="663"/>
      <c r="EJ497" s="663"/>
      <c r="EK497" s="663"/>
      <c r="EL497" s="663"/>
      <c r="EM497" s="663"/>
      <c r="EN497" s="663"/>
      <c r="EO497" s="663"/>
      <c r="EP497" s="663"/>
      <c r="EQ497" s="663"/>
      <c r="ER497" s="663"/>
      <c r="ES497" s="663"/>
      <c r="ET497" s="663"/>
      <c r="EU497" s="663"/>
      <c r="EV497" s="663"/>
      <c r="EW497" s="663"/>
      <c r="EX497" s="663"/>
      <c r="EY497" s="663"/>
      <c r="EZ497" s="663"/>
      <c r="FA497" s="663"/>
      <c r="FB497" s="663"/>
      <c r="FC497" s="663"/>
      <c r="FD497" s="663"/>
      <c r="FE497" s="663"/>
      <c r="FF497" s="663"/>
      <c r="FG497" s="663"/>
      <c r="FH497" s="663"/>
      <c r="FI497" s="663"/>
      <c r="FJ497" s="663"/>
      <c r="FK497" s="663"/>
      <c r="FL497" s="663"/>
      <c r="FM497" s="663"/>
      <c r="FN497" s="663"/>
      <c r="FO497" s="663"/>
      <c r="FP497" s="663"/>
      <c r="FQ497" s="663"/>
      <c r="FR497" s="663"/>
      <c r="FS497" s="663"/>
      <c r="FT497" s="663"/>
      <c r="FU497" s="663"/>
      <c r="FV497" s="663"/>
      <c r="FW497" s="663"/>
      <c r="FX497" s="663"/>
      <c r="FY497" s="663"/>
      <c r="FZ497" s="663"/>
      <c r="GA497" s="663"/>
      <c r="GB497" s="663"/>
      <c r="GC497" s="663"/>
      <c r="GD497" s="663"/>
      <c r="GE497" s="663"/>
      <c r="GF497" s="663"/>
      <c r="GG497" s="663"/>
    </row>
    <row r="498" spans="1:189">
      <c r="A498" s="670"/>
      <c r="B498" s="670"/>
      <c r="C498" s="670"/>
      <c r="D498" s="670"/>
      <c r="E498" s="670"/>
      <c r="F498" s="670"/>
      <c r="G498" s="673"/>
      <c r="H498" s="627"/>
      <c r="I498" s="627"/>
      <c r="J498" s="672"/>
      <c r="K498" s="663"/>
      <c r="L498" s="663"/>
      <c r="M498" s="663"/>
      <c r="N498" s="663"/>
      <c r="O498" s="663"/>
      <c r="P498" s="663"/>
      <c r="Q498" s="663"/>
      <c r="R498" s="663"/>
      <c r="S498" s="663"/>
      <c r="T498" s="663"/>
      <c r="U498" s="663"/>
      <c r="V498" s="663"/>
      <c r="W498" s="663"/>
      <c r="X498" s="663"/>
      <c r="Y498" s="663"/>
      <c r="Z498" s="663"/>
      <c r="AA498" s="663"/>
      <c r="AB498" s="663"/>
      <c r="AC498" s="663"/>
      <c r="AD498" s="663"/>
      <c r="AE498" s="663"/>
      <c r="AF498" s="663"/>
      <c r="AG498" s="663"/>
      <c r="AH498" s="663"/>
      <c r="AI498" s="663"/>
      <c r="AJ498" s="663"/>
      <c r="AK498" s="663"/>
      <c r="AL498" s="663"/>
      <c r="AM498" s="663"/>
      <c r="AN498" s="663"/>
      <c r="AO498" s="663"/>
      <c r="AP498" s="663"/>
      <c r="AQ498" s="663"/>
      <c r="AR498" s="663"/>
      <c r="AS498" s="663"/>
      <c r="AT498" s="663"/>
      <c r="AU498" s="663"/>
      <c r="AV498" s="663"/>
      <c r="AW498" s="663"/>
      <c r="AX498" s="663"/>
      <c r="AY498" s="663"/>
      <c r="AZ498" s="663"/>
      <c r="BA498" s="663"/>
      <c r="BB498" s="663"/>
      <c r="BC498" s="663"/>
      <c r="BD498" s="663"/>
      <c r="BE498" s="663"/>
      <c r="BF498" s="663"/>
      <c r="BG498" s="663"/>
      <c r="BH498" s="663"/>
      <c r="BI498" s="663"/>
      <c r="BJ498" s="663"/>
      <c r="BK498" s="663"/>
      <c r="BL498" s="663"/>
      <c r="BM498" s="663"/>
      <c r="BN498" s="663"/>
      <c r="BO498" s="663"/>
      <c r="BP498" s="663"/>
      <c r="BQ498" s="663"/>
      <c r="BR498" s="663"/>
      <c r="BS498" s="663"/>
      <c r="BT498" s="663"/>
      <c r="BU498" s="663"/>
      <c r="BV498" s="663"/>
      <c r="BW498" s="663"/>
      <c r="BX498" s="663"/>
      <c r="BY498" s="663"/>
      <c r="BZ498" s="663"/>
      <c r="CA498" s="663"/>
      <c r="CB498" s="663"/>
      <c r="CC498" s="663"/>
      <c r="CD498" s="663"/>
      <c r="CE498" s="663"/>
      <c r="CF498" s="663"/>
      <c r="CG498" s="663"/>
      <c r="CH498" s="663"/>
      <c r="CI498" s="663"/>
      <c r="CJ498" s="663"/>
      <c r="CK498" s="663"/>
      <c r="CL498" s="663"/>
      <c r="CM498" s="663"/>
      <c r="CN498" s="663"/>
      <c r="CO498" s="663"/>
      <c r="CP498" s="663"/>
      <c r="CQ498" s="663"/>
      <c r="CR498" s="663"/>
      <c r="CS498" s="663"/>
      <c r="CT498" s="663"/>
      <c r="CU498" s="663"/>
      <c r="CV498" s="663"/>
      <c r="CW498" s="663"/>
      <c r="CX498" s="663"/>
      <c r="CY498" s="663"/>
      <c r="CZ498" s="663"/>
      <c r="DA498" s="663"/>
      <c r="DB498" s="663"/>
      <c r="DC498" s="663"/>
      <c r="DD498" s="663"/>
      <c r="DE498" s="663"/>
      <c r="DF498" s="663"/>
      <c r="DG498" s="663"/>
      <c r="DH498" s="663"/>
      <c r="DI498" s="663"/>
      <c r="DJ498" s="663"/>
      <c r="DK498" s="663"/>
      <c r="DL498" s="663"/>
      <c r="DM498" s="663"/>
      <c r="DN498" s="663"/>
      <c r="DO498" s="663"/>
      <c r="DP498" s="663"/>
      <c r="DQ498" s="663"/>
      <c r="DR498" s="663"/>
      <c r="DS498" s="663"/>
      <c r="DT498" s="663"/>
      <c r="DU498" s="663"/>
      <c r="DV498" s="663"/>
      <c r="DW498" s="663"/>
      <c r="DX498" s="663"/>
      <c r="DY498" s="663"/>
      <c r="DZ498" s="663"/>
      <c r="EA498" s="663"/>
      <c r="EB498" s="663"/>
      <c r="EC498" s="663"/>
      <c r="ED498" s="663"/>
      <c r="EE498" s="663"/>
      <c r="EF498" s="663"/>
      <c r="EG498" s="663"/>
      <c r="EH498" s="663"/>
      <c r="EI498" s="663"/>
      <c r="EJ498" s="663"/>
      <c r="EK498" s="663"/>
      <c r="EL498" s="663"/>
      <c r="EM498" s="663"/>
      <c r="EN498" s="663"/>
      <c r="EO498" s="663"/>
      <c r="EP498" s="663"/>
      <c r="EQ498" s="663"/>
      <c r="ER498" s="663"/>
      <c r="ES498" s="663"/>
      <c r="ET498" s="663"/>
      <c r="EU498" s="663"/>
      <c r="EV498" s="663"/>
      <c r="EW498" s="663"/>
      <c r="EX498" s="663"/>
      <c r="EY498" s="663"/>
      <c r="EZ498" s="663"/>
      <c r="FA498" s="663"/>
      <c r="FB498" s="663"/>
      <c r="FC498" s="663"/>
      <c r="FD498" s="663"/>
      <c r="FE498" s="663"/>
      <c r="FF498" s="663"/>
      <c r="FG498" s="663"/>
      <c r="FH498" s="663"/>
      <c r="FI498" s="663"/>
      <c r="FJ498" s="663"/>
      <c r="FK498" s="663"/>
      <c r="FL498" s="663"/>
      <c r="FM498" s="663"/>
      <c r="FN498" s="663"/>
      <c r="FO498" s="663"/>
      <c r="FP498" s="663"/>
      <c r="FQ498" s="663"/>
      <c r="FR498" s="663"/>
      <c r="FS498" s="663"/>
      <c r="FT498" s="663"/>
      <c r="FU498" s="663"/>
      <c r="FV498" s="663"/>
      <c r="FW498" s="663"/>
      <c r="FX498" s="663"/>
      <c r="FY498" s="663"/>
      <c r="FZ498" s="663"/>
      <c r="GA498" s="663"/>
      <c r="GB498" s="663"/>
      <c r="GC498" s="663"/>
      <c r="GD498" s="663"/>
      <c r="GE498" s="663"/>
      <c r="GF498" s="663"/>
      <c r="GG498" s="663"/>
    </row>
    <row r="499" spans="1:189">
      <c r="A499" s="670"/>
      <c r="B499" s="670"/>
      <c r="C499" s="670"/>
      <c r="D499" s="670"/>
      <c r="E499" s="670"/>
      <c r="F499" s="670"/>
      <c r="G499" s="673"/>
      <c r="H499" s="627"/>
      <c r="I499" s="627"/>
      <c r="J499" s="672"/>
      <c r="K499" s="663"/>
      <c r="L499" s="663"/>
      <c r="M499" s="663"/>
      <c r="N499" s="663"/>
      <c r="O499" s="663"/>
      <c r="P499" s="663"/>
      <c r="Q499" s="663"/>
      <c r="R499" s="663"/>
      <c r="S499" s="663"/>
      <c r="T499" s="663"/>
      <c r="U499" s="663"/>
      <c r="V499" s="663"/>
      <c r="W499" s="663"/>
      <c r="X499" s="663"/>
      <c r="Y499" s="663"/>
      <c r="Z499" s="663"/>
      <c r="AA499" s="663"/>
      <c r="AB499" s="663"/>
      <c r="AC499" s="663"/>
      <c r="AD499" s="663"/>
      <c r="AE499" s="663"/>
      <c r="AF499" s="663"/>
      <c r="AG499" s="663"/>
      <c r="AH499" s="663"/>
      <c r="AI499" s="663"/>
      <c r="AJ499" s="663"/>
      <c r="AK499" s="663"/>
      <c r="AL499" s="663"/>
      <c r="AM499" s="663"/>
      <c r="AN499" s="663"/>
      <c r="AO499" s="663"/>
      <c r="AP499" s="663"/>
      <c r="AQ499" s="663"/>
      <c r="AR499" s="663"/>
      <c r="AS499" s="663"/>
      <c r="AT499" s="663"/>
      <c r="AU499" s="663"/>
      <c r="AV499" s="663"/>
      <c r="AW499" s="663"/>
      <c r="AX499" s="663"/>
      <c r="AY499" s="663"/>
      <c r="AZ499" s="663"/>
      <c r="BA499" s="663"/>
      <c r="BB499" s="663"/>
      <c r="BC499" s="663"/>
      <c r="BD499" s="663"/>
      <c r="BE499" s="663"/>
      <c r="BF499" s="663"/>
      <c r="BG499" s="663"/>
      <c r="BH499" s="663"/>
      <c r="BI499" s="663"/>
      <c r="BJ499" s="663"/>
      <c r="BK499" s="663"/>
      <c r="BL499" s="663"/>
      <c r="BM499" s="663"/>
      <c r="BN499" s="663"/>
      <c r="BO499" s="663"/>
      <c r="BP499" s="663"/>
      <c r="BQ499" s="663"/>
      <c r="BR499" s="663"/>
      <c r="BS499" s="663"/>
      <c r="BT499" s="663"/>
      <c r="BU499" s="663"/>
      <c r="BV499" s="663"/>
      <c r="BW499" s="663"/>
      <c r="BX499" s="663"/>
      <c r="BY499" s="663"/>
      <c r="BZ499" s="663"/>
      <c r="CA499" s="663"/>
      <c r="CB499" s="663"/>
      <c r="CC499" s="663"/>
      <c r="CD499" s="663"/>
      <c r="CE499" s="663"/>
      <c r="CF499" s="663"/>
      <c r="CG499" s="663"/>
      <c r="CH499" s="663"/>
      <c r="CI499" s="663"/>
      <c r="CJ499" s="663"/>
      <c r="CK499" s="663"/>
      <c r="CL499" s="663"/>
      <c r="CM499" s="663"/>
      <c r="CN499" s="663"/>
      <c r="CO499" s="663"/>
      <c r="CP499" s="663"/>
      <c r="CQ499" s="663"/>
      <c r="CR499" s="663"/>
      <c r="CS499" s="663"/>
      <c r="CT499" s="663"/>
      <c r="CU499" s="663"/>
      <c r="CV499" s="663"/>
      <c r="CW499" s="663"/>
      <c r="CX499" s="663"/>
      <c r="CY499" s="663"/>
      <c r="CZ499" s="663"/>
      <c r="DA499" s="663"/>
      <c r="DB499" s="663"/>
      <c r="DC499" s="663"/>
      <c r="DD499" s="663"/>
      <c r="DE499" s="663"/>
      <c r="DF499" s="663"/>
      <c r="DG499" s="663"/>
      <c r="DH499" s="663"/>
      <c r="DI499" s="663"/>
      <c r="DJ499" s="663"/>
      <c r="DK499" s="663"/>
      <c r="DL499" s="663"/>
      <c r="DM499" s="663"/>
      <c r="DN499" s="663"/>
      <c r="DO499" s="663"/>
      <c r="DP499" s="663"/>
      <c r="DQ499" s="663"/>
      <c r="DR499" s="663"/>
      <c r="DS499" s="663"/>
      <c r="DT499" s="663"/>
      <c r="DU499" s="663"/>
      <c r="DV499" s="663"/>
      <c r="DW499" s="663"/>
      <c r="DX499" s="663"/>
      <c r="DY499" s="663"/>
      <c r="DZ499" s="663"/>
      <c r="EA499" s="663"/>
      <c r="EB499" s="663"/>
      <c r="EC499" s="663"/>
      <c r="ED499" s="663"/>
      <c r="EE499" s="663"/>
      <c r="EF499" s="663"/>
      <c r="EG499" s="663"/>
      <c r="EH499" s="663"/>
      <c r="EI499" s="663"/>
      <c r="EJ499" s="663"/>
      <c r="EK499" s="663"/>
      <c r="EL499" s="663"/>
      <c r="EM499" s="663"/>
      <c r="EN499" s="663"/>
      <c r="EO499" s="663"/>
      <c r="EP499" s="663"/>
      <c r="EQ499" s="663"/>
      <c r="ER499" s="663"/>
      <c r="ES499" s="663"/>
      <c r="ET499" s="663"/>
      <c r="EU499" s="663"/>
      <c r="EV499" s="663"/>
      <c r="EW499" s="663"/>
      <c r="EX499" s="663"/>
      <c r="EY499" s="663"/>
      <c r="EZ499" s="663"/>
      <c r="FA499" s="663"/>
      <c r="FB499" s="663"/>
      <c r="FC499" s="663"/>
      <c r="FD499" s="663"/>
      <c r="FE499" s="663"/>
      <c r="FF499" s="663"/>
      <c r="FG499" s="663"/>
      <c r="FH499" s="663"/>
      <c r="FI499" s="663"/>
      <c r="FJ499" s="663"/>
      <c r="FK499" s="663"/>
      <c r="FL499" s="663"/>
      <c r="FM499" s="663"/>
      <c r="FN499" s="663"/>
      <c r="FO499" s="663"/>
      <c r="FP499" s="663"/>
      <c r="FQ499" s="663"/>
      <c r="FR499" s="663"/>
      <c r="FS499" s="663"/>
      <c r="FT499" s="663"/>
      <c r="FU499" s="663"/>
      <c r="FV499" s="663"/>
      <c r="FW499" s="663"/>
      <c r="FX499" s="663"/>
      <c r="FY499" s="663"/>
      <c r="FZ499" s="663"/>
      <c r="GA499" s="663"/>
      <c r="GB499" s="663"/>
      <c r="GC499" s="663"/>
      <c r="GD499" s="663"/>
      <c r="GE499" s="663"/>
      <c r="GF499" s="663"/>
      <c r="GG499" s="663"/>
    </row>
    <row r="500" spans="1:189">
      <c r="A500" s="670"/>
      <c r="B500" s="670"/>
      <c r="C500" s="670"/>
      <c r="D500" s="670"/>
      <c r="E500" s="670"/>
      <c r="F500" s="670"/>
      <c r="G500" s="673"/>
      <c r="H500" s="627"/>
      <c r="I500" s="627"/>
      <c r="J500" s="672"/>
      <c r="K500" s="663"/>
      <c r="L500" s="663"/>
      <c r="M500" s="663"/>
      <c r="N500" s="663"/>
      <c r="O500" s="663"/>
      <c r="P500" s="663"/>
      <c r="Q500" s="663"/>
      <c r="R500" s="663"/>
      <c r="S500" s="663"/>
      <c r="T500" s="663"/>
      <c r="U500" s="663"/>
      <c r="V500" s="663"/>
      <c r="W500" s="663"/>
      <c r="X500" s="663"/>
      <c r="Y500" s="663"/>
      <c r="Z500" s="663"/>
      <c r="AA500" s="663"/>
      <c r="AB500" s="663"/>
      <c r="AC500" s="663"/>
      <c r="AD500" s="663"/>
      <c r="AE500" s="663"/>
      <c r="AF500" s="663"/>
      <c r="AG500" s="663"/>
      <c r="AH500" s="663"/>
      <c r="AI500" s="663"/>
      <c r="AJ500" s="663"/>
      <c r="AK500" s="663"/>
      <c r="AL500" s="663"/>
      <c r="AM500" s="663"/>
      <c r="AN500" s="663"/>
      <c r="AO500" s="663"/>
      <c r="AP500" s="663"/>
      <c r="AQ500" s="663"/>
      <c r="AR500" s="663"/>
      <c r="AS500" s="663"/>
      <c r="AT500" s="663"/>
      <c r="AU500" s="663"/>
      <c r="AV500" s="663"/>
      <c r="AW500" s="663"/>
      <c r="AX500" s="663"/>
      <c r="AY500" s="663"/>
      <c r="AZ500" s="663"/>
      <c r="BA500" s="663"/>
      <c r="BB500" s="663"/>
      <c r="BC500" s="663"/>
      <c r="BD500" s="663"/>
      <c r="BE500" s="663"/>
      <c r="BF500" s="663"/>
      <c r="BG500" s="663"/>
      <c r="BH500" s="663"/>
      <c r="BI500" s="663"/>
      <c r="BJ500" s="663"/>
      <c r="BK500" s="663"/>
      <c r="BL500" s="663"/>
      <c r="BM500" s="663"/>
      <c r="BN500" s="663"/>
      <c r="BO500" s="663"/>
      <c r="BP500" s="663"/>
      <c r="BQ500" s="663"/>
      <c r="BR500" s="663"/>
      <c r="BS500" s="663"/>
      <c r="BT500" s="663"/>
      <c r="BU500" s="663"/>
      <c r="BV500" s="663"/>
      <c r="BW500" s="663"/>
      <c r="BX500" s="663"/>
      <c r="BY500" s="663"/>
      <c r="BZ500" s="663"/>
      <c r="CA500" s="663"/>
      <c r="CB500" s="663"/>
      <c r="CC500" s="663"/>
      <c r="CD500" s="663"/>
      <c r="CE500" s="663"/>
      <c r="CF500" s="663"/>
      <c r="CG500" s="663"/>
      <c r="CH500" s="663"/>
      <c r="CI500" s="663"/>
      <c r="CJ500" s="663"/>
      <c r="CK500" s="663"/>
      <c r="CL500" s="663"/>
      <c r="CM500" s="663"/>
      <c r="CN500" s="663"/>
      <c r="CO500" s="663"/>
      <c r="CP500" s="663"/>
      <c r="CQ500" s="663"/>
      <c r="CR500" s="663"/>
      <c r="CS500" s="663"/>
      <c r="CT500" s="663"/>
      <c r="CU500" s="663"/>
      <c r="CV500" s="663"/>
      <c r="CW500" s="663"/>
      <c r="CX500" s="663"/>
      <c r="CY500" s="663"/>
      <c r="CZ500" s="663"/>
      <c r="DA500" s="663"/>
      <c r="DB500" s="663"/>
      <c r="DC500" s="663"/>
      <c r="DD500" s="663"/>
      <c r="DE500" s="663"/>
      <c r="DF500" s="663"/>
      <c r="DG500" s="663"/>
      <c r="DH500" s="663"/>
      <c r="DI500" s="663"/>
      <c r="DJ500" s="663"/>
      <c r="DK500" s="663"/>
      <c r="DL500" s="663"/>
      <c r="DM500" s="663"/>
      <c r="DN500" s="663"/>
      <c r="DO500" s="663"/>
      <c r="DP500" s="663"/>
      <c r="DQ500" s="663"/>
      <c r="DR500" s="663"/>
      <c r="DS500" s="663"/>
      <c r="DT500" s="663"/>
      <c r="DU500" s="663"/>
      <c r="DV500" s="663"/>
      <c r="DW500" s="663"/>
      <c r="DX500" s="663"/>
      <c r="DY500" s="663"/>
      <c r="DZ500" s="663"/>
      <c r="EA500" s="663"/>
      <c r="EB500" s="663"/>
      <c r="EC500" s="663"/>
      <c r="ED500" s="663"/>
      <c r="EE500" s="663"/>
      <c r="EF500" s="663"/>
      <c r="EG500" s="663"/>
      <c r="EH500" s="663"/>
      <c r="EI500" s="663"/>
      <c r="EJ500" s="663"/>
      <c r="EK500" s="663"/>
      <c r="EL500" s="663"/>
      <c r="EM500" s="663"/>
      <c r="EN500" s="663"/>
      <c r="EO500" s="663"/>
      <c r="EP500" s="663"/>
      <c r="EQ500" s="663"/>
      <c r="ER500" s="663"/>
      <c r="ES500" s="663"/>
      <c r="ET500" s="663"/>
      <c r="EU500" s="663"/>
      <c r="EV500" s="663"/>
      <c r="EW500" s="663"/>
      <c r="EX500" s="663"/>
      <c r="EY500" s="663"/>
      <c r="EZ500" s="663"/>
      <c r="FA500" s="663"/>
      <c r="FB500" s="663"/>
      <c r="FC500" s="663"/>
      <c r="FD500" s="663"/>
      <c r="FE500" s="663"/>
      <c r="FF500" s="663"/>
      <c r="FG500" s="663"/>
      <c r="FH500" s="663"/>
      <c r="FI500" s="663"/>
      <c r="FJ500" s="663"/>
      <c r="FK500" s="663"/>
      <c r="FL500" s="663"/>
      <c r="FM500" s="663"/>
      <c r="FN500" s="663"/>
      <c r="FO500" s="663"/>
      <c r="FP500" s="663"/>
      <c r="FQ500" s="663"/>
      <c r="FR500" s="663"/>
      <c r="FS500" s="663"/>
      <c r="FT500" s="663"/>
      <c r="FU500" s="663"/>
      <c r="FV500" s="663"/>
      <c r="FW500" s="663"/>
      <c r="FX500" s="663"/>
      <c r="FY500" s="663"/>
      <c r="FZ500" s="663"/>
      <c r="GA500" s="663"/>
      <c r="GB500" s="663"/>
      <c r="GC500" s="663"/>
      <c r="GD500" s="663"/>
      <c r="GE500" s="663"/>
      <c r="GF500" s="663"/>
      <c r="GG500" s="663"/>
    </row>
    <row r="501" spans="1:189">
      <c r="A501" s="670"/>
      <c r="B501" s="670"/>
      <c r="C501" s="670"/>
      <c r="D501" s="670"/>
      <c r="E501" s="670"/>
      <c r="F501" s="670"/>
      <c r="G501" s="673"/>
      <c r="H501" s="627"/>
      <c r="I501" s="627"/>
      <c r="J501" s="672"/>
      <c r="K501" s="663"/>
      <c r="L501" s="663"/>
      <c r="M501" s="663"/>
      <c r="N501" s="663"/>
      <c r="O501" s="663"/>
      <c r="P501" s="663"/>
      <c r="Q501" s="663"/>
      <c r="R501" s="663"/>
      <c r="S501" s="663"/>
      <c r="T501" s="663"/>
      <c r="U501" s="663"/>
      <c r="V501" s="663"/>
      <c r="W501" s="663"/>
      <c r="X501" s="663"/>
      <c r="Y501" s="663"/>
      <c r="Z501" s="663"/>
      <c r="AA501" s="663"/>
      <c r="AB501" s="663"/>
      <c r="AC501" s="663"/>
      <c r="AD501" s="663"/>
      <c r="AE501" s="663"/>
      <c r="AF501" s="663"/>
      <c r="AG501" s="663"/>
      <c r="AH501" s="663"/>
      <c r="AI501" s="663"/>
      <c r="AJ501" s="663"/>
      <c r="AK501" s="663"/>
      <c r="AL501" s="663"/>
      <c r="AM501" s="663"/>
      <c r="AN501" s="663"/>
      <c r="AO501" s="663"/>
      <c r="AP501" s="663"/>
      <c r="AQ501" s="663"/>
      <c r="AR501" s="663"/>
      <c r="AS501" s="663"/>
      <c r="AT501" s="663"/>
      <c r="AU501" s="663"/>
      <c r="AV501" s="663"/>
      <c r="AW501" s="663"/>
      <c r="AX501" s="663"/>
      <c r="AY501" s="663"/>
      <c r="AZ501" s="663"/>
      <c r="BA501" s="663"/>
      <c r="BB501" s="663"/>
      <c r="BC501" s="663"/>
      <c r="BD501" s="663"/>
      <c r="BE501" s="663"/>
      <c r="BF501" s="663"/>
      <c r="BG501" s="663"/>
      <c r="BH501" s="663"/>
      <c r="BI501" s="663"/>
      <c r="BJ501" s="663"/>
      <c r="BK501" s="663"/>
      <c r="BL501" s="663"/>
      <c r="BM501" s="663"/>
      <c r="BN501" s="663"/>
      <c r="BO501" s="663"/>
      <c r="BP501" s="663"/>
      <c r="BQ501" s="663"/>
      <c r="BR501" s="663"/>
      <c r="BS501" s="663"/>
      <c r="BT501" s="663"/>
      <c r="BU501" s="663"/>
      <c r="BV501" s="663"/>
      <c r="BW501" s="663"/>
      <c r="BX501" s="663"/>
      <c r="BY501" s="663"/>
      <c r="BZ501" s="663"/>
      <c r="CA501" s="663"/>
      <c r="CB501" s="663"/>
      <c r="CC501" s="663"/>
      <c r="CD501" s="663"/>
      <c r="CE501" s="663"/>
      <c r="CF501" s="663"/>
      <c r="CG501" s="663"/>
      <c r="CH501" s="663"/>
      <c r="CI501" s="663"/>
      <c r="CJ501" s="663"/>
      <c r="CK501" s="663"/>
      <c r="CL501" s="663"/>
      <c r="CM501" s="663"/>
      <c r="CN501" s="663"/>
      <c r="CO501" s="663"/>
      <c r="CP501" s="663"/>
      <c r="CQ501" s="663"/>
      <c r="CR501" s="663"/>
      <c r="CS501" s="663"/>
      <c r="CT501" s="663"/>
      <c r="CU501" s="663"/>
      <c r="CV501" s="663"/>
      <c r="CW501" s="663"/>
      <c r="CX501" s="663"/>
      <c r="CY501" s="663"/>
      <c r="CZ501" s="663"/>
      <c r="DA501" s="663"/>
      <c r="DB501" s="663"/>
      <c r="DC501" s="663"/>
      <c r="DD501" s="663"/>
      <c r="DE501" s="663"/>
      <c r="DF501" s="663"/>
      <c r="DG501" s="663"/>
      <c r="DH501" s="663"/>
      <c r="DI501" s="663"/>
      <c r="DJ501" s="663"/>
      <c r="DK501" s="663"/>
      <c r="DL501" s="663"/>
      <c r="DM501" s="663"/>
      <c r="DN501" s="663"/>
      <c r="DO501" s="663"/>
      <c r="DP501" s="663"/>
      <c r="DQ501" s="663"/>
      <c r="DR501" s="663"/>
      <c r="DS501" s="663"/>
      <c r="DT501" s="663"/>
      <c r="DU501" s="663"/>
      <c r="DV501" s="663"/>
      <c r="DW501" s="663"/>
      <c r="DX501" s="663"/>
      <c r="DY501" s="663"/>
      <c r="DZ501" s="663"/>
      <c r="EA501" s="663"/>
      <c r="EB501" s="663"/>
      <c r="EC501" s="663"/>
      <c r="ED501" s="663"/>
      <c r="EE501" s="663"/>
      <c r="EF501" s="663"/>
      <c r="EG501" s="663"/>
      <c r="EH501" s="663"/>
      <c r="EI501" s="663"/>
      <c r="EJ501" s="663"/>
      <c r="EK501" s="663"/>
      <c r="EL501" s="663"/>
      <c r="EM501" s="663"/>
      <c r="EN501" s="663"/>
      <c r="EO501" s="663"/>
      <c r="EP501" s="663"/>
      <c r="EQ501" s="663"/>
      <c r="ER501" s="663"/>
      <c r="ES501" s="663"/>
      <c r="ET501" s="663"/>
      <c r="EU501" s="663"/>
      <c r="EV501" s="663"/>
      <c r="EW501" s="663"/>
      <c r="EX501" s="663"/>
      <c r="EY501" s="663"/>
      <c r="EZ501" s="663"/>
      <c r="FA501" s="663"/>
      <c r="FB501" s="663"/>
      <c r="FC501" s="663"/>
      <c r="FD501" s="663"/>
      <c r="FE501" s="663"/>
      <c r="FF501" s="663"/>
      <c r="FG501" s="663"/>
      <c r="FH501" s="663"/>
      <c r="FI501" s="663"/>
      <c r="FJ501" s="663"/>
      <c r="FK501" s="663"/>
      <c r="FL501" s="663"/>
      <c r="FM501" s="663"/>
      <c r="FN501" s="663"/>
      <c r="FO501" s="663"/>
      <c r="FP501" s="663"/>
      <c r="FQ501" s="663"/>
      <c r="FR501" s="663"/>
      <c r="FS501" s="663"/>
      <c r="FT501" s="663"/>
      <c r="FU501" s="663"/>
      <c r="FV501" s="663"/>
      <c r="FW501" s="663"/>
      <c r="FX501" s="663"/>
      <c r="FY501" s="663"/>
      <c r="FZ501" s="663"/>
      <c r="GA501" s="663"/>
      <c r="GB501" s="663"/>
      <c r="GC501" s="663"/>
      <c r="GD501" s="663"/>
      <c r="GE501" s="663"/>
      <c r="GF501" s="663"/>
      <c r="GG501" s="663"/>
    </row>
    <row r="502" spans="1:189">
      <c r="A502" s="670"/>
      <c r="B502" s="670"/>
      <c r="C502" s="670"/>
      <c r="D502" s="670"/>
      <c r="E502" s="670"/>
      <c r="F502" s="670"/>
      <c r="G502" s="673"/>
      <c r="H502" s="627"/>
      <c r="I502" s="627"/>
      <c r="J502" s="672"/>
      <c r="K502" s="663"/>
      <c r="L502" s="663"/>
      <c r="M502" s="663"/>
      <c r="N502" s="663"/>
      <c r="O502" s="663"/>
      <c r="P502" s="663"/>
      <c r="Q502" s="663"/>
      <c r="R502" s="663"/>
      <c r="S502" s="663"/>
      <c r="T502" s="663"/>
      <c r="U502" s="663"/>
      <c r="V502" s="663"/>
      <c r="W502" s="663"/>
      <c r="X502" s="663"/>
      <c r="Y502" s="663"/>
      <c r="Z502" s="663"/>
      <c r="AA502" s="663"/>
      <c r="AB502" s="663"/>
      <c r="AC502" s="663"/>
      <c r="AD502" s="663"/>
      <c r="AE502" s="663"/>
      <c r="AF502" s="663"/>
      <c r="AG502" s="663"/>
      <c r="AH502" s="663"/>
      <c r="AI502" s="663"/>
      <c r="AJ502" s="663"/>
      <c r="AK502" s="663"/>
      <c r="AL502" s="663"/>
      <c r="AM502" s="663"/>
      <c r="AN502" s="663"/>
      <c r="AO502" s="663"/>
      <c r="AP502" s="663"/>
      <c r="AQ502" s="663"/>
      <c r="AR502" s="663"/>
      <c r="AS502" s="663"/>
      <c r="AT502" s="663"/>
      <c r="AU502" s="663"/>
      <c r="AV502" s="663"/>
      <c r="AW502" s="663"/>
      <c r="AX502" s="663"/>
      <c r="AY502" s="663"/>
      <c r="AZ502" s="663"/>
      <c r="BA502" s="663"/>
      <c r="BB502" s="663"/>
      <c r="BC502" s="663"/>
      <c r="BD502" s="663"/>
      <c r="BE502" s="663"/>
      <c r="BF502" s="663"/>
      <c r="BG502" s="663"/>
      <c r="BH502" s="663"/>
      <c r="BI502" s="663"/>
      <c r="BJ502" s="663"/>
      <c r="BK502" s="663"/>
      <c r="BL502" s="663"/>
      <c r="BM502" s="663"/>
      <c r="BN502" s="663"/>
      <c r="BO502" s="663"/>
      <c r="BP502" s="663"/>
      <c r="BQ502" s="663"/>
      <c r="BR502" s="663"/>
      <c r="BS502" s="663"/>
      <c r="BT502" s="663"/>
      <c r="BU502" s="663"/>
      <c r="BV502" s="663"/>
      <c r="BW502" s="663"/>
      <c r="BX502" s="663"/>
      <c r="BY502" s="663"/>
      <c r="BZ502" s="663"/>
      <c r="CA502" s="663"/>
      <c r="CB502" s="663"/>
      <c r="CC502" s="663"/>
      <c r="CD502" s="663"/>
      <c r="CE502" s="663"/>
      <c r="CF502" s="663"/>
      <c r="CG502" s="663"/>
      <c r="CH502" s="663"/>
      <c r="CI502" s="663"/>
      <c r="CJ502" s="663"/>
      <c r="CK502" s="663"/>
      <c r="CL502" s="663"/>
      <c r="CM502" s="663"/>
      <c r="CN502" s="663"/>
      <c r="CO502" s="663"/>
      <c r="CP502" s="663"/>
      <c r="CQ502" s="663"/>
      <c r="CR502" s="663"/>
      <c r="CS502" s="663"/>
      <c r="CT502" s="663"/>
      <c r="CU502" s="663"/>
      <c r="CV502" s="663"/>
      <c r="CW502" s="663"/>
      <c r="CX502" s="663"/>
      <c r="CY502" s="663"/>
      <c r="CZ502" s="663"/>
      <c r="DA502" s="663"/>
      <c r="DB502" s="663"/>
      <c r="DC502" s="663"/>
      <c r="DD502" s="663"/>
      <c r="DE502" s="663"/>
      <c r="DF502" s="663"/>
      <c r="DG502" s="663"/>
      <c r="DH502" s="663"/>
      <c r="DI502" s="663"/>
      <c r="DJ502" s="663"/>
      <c r="DK502" s="663"/>
      <c r="DL502" s="663"/>
      <c r="DM502" s="663"/>
      <c r="DN502" s="663"/>
      <c r="DO502" s="663"/>
      <c r="DP502" s="663"/>
      <c r="DQ502" s="663"/>
      <c r="DR502" s="663"/>
      <c r="DS502" s="663"/>
      <c r="DT502" s="663"/>
      <c r="DU502" s="663"/>
      <c r="DV502" s="663"/>
      <c r="DW502" s="663"/>
      <c r="DX502" s="663"/>
      <c r="DY502" s="663"/>
      <c r="DZ502" s="663"/>
      <c r="EA502" s="663"/>
      <c r="EB502" s="663"/>
      <c r="EC502" s="663"/>
      <c r="ED502" s="663"/>
      <c r="EE502" s="663"/>
      <c r="EF502" s="663"/>
      <c r="EG502" s="663"/>
      <c r="EH502" s="663"/>
      <c r="EI502" s="663"/>
      <c r="EJ502" s="663"/>
      <c r="EK502" s="663"/>
      <c r="EL502" s="663"/>
      <c r="EM502" s="663"/>
      <c r="EN502" s="663"/>
      <c r="EO502" s="663"/>
      <c r="EP502" s="663"/>
      <c r="EQ502" s="663"/>
      <c r="ER502" s="663"/>
      <c r="ES502" s="663"/>
      <c r="ET502" s="663"/>
      <c r="EU502" s="663"/>
      <c r="EV502" s="663"/>
      <c r="EW502" s="663"/>
      <c r="EX502" s="663"/>
      <c r="EY502" s="663"/>
      <c r="EZ502" s="663"/>
      <c r="FA502" s="663"/>
      <c r="FB502" s="663"/>
      <c r="FC502" s="663"/>
      <c r="FD502" s="663"/>
      <c r="FE502" s="663"/>
      <c r="FF502" s="663"/>
      <c r="FG502" s="663"/>
      <c r="FH502" s="663"/>
      <c r="FI502" s="663"/>
      <c r="FJ502" s="663"/>
      <c r="FK502" s="663"/>
      <c r="FL502" s="663"/>
      <c r="FM502" s="663"/>
      <c r="FN502" s="663"/>
      <c r="FO502" s="663"/>
      <c r="FP502" s="663"/>
      <c r="FQ502" s="663"/>
      <c r="FR502" s="663"/>
      <c r="FS502" s="663"/>
      <c r="FT502" s="663"/>
      <c r="FU502" s="663"/>
      <c r="FV502" s="663"/>
      <c r="FW502" s="663"/>
      <c r="FX502" s="663"/>
      <c r="FY502" s="663"/>
      <c r="FZ502" s="663"/>
      <c r="GA502" s="663"/>
      <c r="GB502" s="663"/>
      <c r="GC502" s="663"/>
      <c r="GD502" s="663"/>
      <c r="GE502" s="663"/>
      <c r="GF502" s="663"/>
      <c r="GG502" s="663"/>
    </row>
    <row r="503" spans="1:189">
      <c r="A503" s="670"/>
      <c r="B503" s="670"/>
      <c r="C503" s="670"/>
      <c r="D503" s="670"/>
      <c r="E503" s="670"/>
      <c r="F503" s="670"/>
      <c r="G503" s="673"/>
      <c r="H503" s="627"/>
      <c r="I503" s="627"/>
      <c r="J503" s="672"/>
      <c r="K503" s="663"/>
      <c r="L503" s="663"/>
      <c r="M503" s="663"/>
      <c r="N503" s="663"/>
      <c r="O503" s="663"/>
      <c r="P503" s="663"/>
      <c r="Q503" s="663"/>
      <c r="R503" s="663"/>
      <c r="S503" s="663"/>
      <c r="T503" s="663"/>
      <c r="U503" s="663"/>
      <c r="V503" s="663"/>
      <c r="W503" s="663"/>
      <c r="X503" s="663"/>
      <c r="Y503" s="663"/>
      <c r="Z503" s="663"/>
      <c r="AA503" s="663"/>
      <c r="AB503" s="663"/>
      <c r="AC503" s="663"/>
      <c r="AD503" s="663"/>
      <c r="AE503" s="663"/>
      <c r="AF503" s="663"/>
      <c r="AG503" s="663"/>
      <c r="AH503" s="663"/>
      <c r="AI503" s="663"/>
      <c r="AJ503" s="663"/>
      <c r="AK503" s="663"/>
      <c r="AL503" s="663"/>
      <c r="AM503" s="663"/>
      <c r="AN503" s="663"/>
      <c r="AO503" s="663"/>
      <c r="AP503" s="663"/>
      <c r="AQ503" s="663"/>
      <c r="AR503" s="663"/>
      <c r="AS503" s="663"/>
      <c r="AT503" s="663"/>
      <c r="AU503" s="663"/>
      <c r="AV503" s="663"/>
      <c r="AW503" s="663"/>
      <c r="AX503" s="663"/>
      <c r="AY503" s="663"/>
      <c r="AZ503" s="663"/>
      <c r="BA503" s="663"/>
      <c r="BB503" s="663"/>
      <c r="BC503" s="663"/>
      <c r="BD503" s="663"/>
      <c r="BE503" s="663"/>
      <c r="BF503" s="663"/>
      <c r="BG503" s="663"/>
      <c r="BH503" s="663"/>
      <c r="BI503" s="663"/>
      <c r="BJ503" s="663"/>
      <c r="BK503" s="663"/>
      <c r="BL503" s="663"/>
      <c r="BM503" s="663"/>
      <c r="BN503" s="663"/>
      <c r="BO503" s="663"/>
      <c r="BP503" s="663"/>
      <c r="BQ503" s="663"/>
      <c r="BR503" s="663"/>
      <c r="BS503" s="663"/>
      <c r="BT503" s="663"/>
      <c r="BU503" s="663"/>
      <c r="BV503" s="663"/>
      <c r="BW503" s="663"/>
      <c r="BX503" s="663"/>
      <c r="BY503" s="663"/>
      <c r="BZ503" s="663"/>
      <c r="CA503" s="663"/>
      <c r="CB503" s="663"/>
      <c r="CC503" s="663"/>
      <c r="CD503" s="663"/>
      <c r="CE503" s="663"/>
      <c r="CF503" s="663"/>
      <c r="CG503" s="663"/>
      <c r="CH503" s="663"/>
      <c r="CI503" s="663"/>
      <c r="CJ503" s="663"/>
      <c r="CK503" s="663"/>
      <c r="CL503" s="663"/>
      <c r="CM503" s="663"/>
      <c r="CN503" s="663"/>
      <c r="CO503" s="663"/>
      <c r="CP503" s="663"/>
      <c r="CQ503" s="663"/>
      <c r="CR503" s="663"/>
      <c r="CS503" s="663"/>
      <c r="CT503" s="663"/>
      <c r="CU503" s="663"/>
      <c r="CV503" s="663"/>
      <c r="CW503" s="663"/>
      <c r="CX503" s="663"/>
      <c r="CY503" s="663"/>
      <c r="CZ503" s="663"/>
      <c r="DA503" s="663"/>
      <c r="DB503" s="663"/>
      <c r="DC503" s="663"/>
      <c r="DD503" s="663"/>
      <c r="DE503" s="663"/>
      <c r="DF503" s="663"/>
      <c r="DG503" s="663"/>
      <c r="DH503" s="663"/>
      <c r="DI503" s="663"/>
      <c r="DJ503" s="663"/>
      <c r="DK503" s="663"/>
      <c r="DL503" s="663"/>
      <c r="DM503" s="663"/>
      <c r="DN503" s="663"/>
      <c r="DO503" s="663"/>
      <c r="DP503" s="663"/>
      <c r="DQ503" s="663"/>
      <c r="DR503" s="663"/>
      <c r="DS503" s="663"/>
      <c r="DT503" s="663"/>
      <c r="DU503" s="663"/>
      <c r="DV503" s="663"/>
      <c r="DW503" s="663"/>
      <c r="DX503" s="663"/>
      <c r="DY503" s="663"/>
      <c r="DZ503" s="663"/>
      <c r="EA503" s="663"/>
      <c r="EB503" s="663"/>
      <c r="EC503" s="663"/>
      <c r="ED503" s="663"/>
      <c r="EE503" s="663"/>
      <c r="EF503" s="663"/>
      <c r="EG503" s="663"/>
      <c r="EH503" s="663"/>
      <c r="EI503" s="663"/>
      <c r="EJ503" s="663"/>
      <c r="EK503" s="663"/>
      <c r="EL503" s="663"/>
      <c r="EM503" s="663"/>
      <c r="EN503" s="663"/>
      <c r="EO503" s="663"/>
      <c r="EP503" s="663"/>
      <c r="EQ503" s="663"/>
      <c r="ER503" s="663"/>
      <c r="ES503" s="663"/>
      <c r="ET503" s="663"/>
      <c r="EU503" s="663"/>
      <c r="EV503" s="663"/>
      <c r="EW503" s="663"/>
      <c r="EX503" s="663"/>
      <c r="EY503" s="663"/>
      <c r="EZ503" s="663"/>
      <c r="FA503" s="663"/>
      <c r="FB503" s="663"/>
      <c r="FC503" s="663"/>
      <c r="FD503" s="663"/>
      <c r="FE503" s="663"/>
      <c r="FF503" s="663"/>
      <c r="FG503" s="663"/>
      <c r="FH503" s="663"/>
      <c r="FI503" s="663"/>
      <c r="FJ503" s="663"/>
      <c r="FK503" s="663"/>
      <c r="FL503" s="663"/>
      <c r="FM503" s="663"/>
      <c r="FN503" s="663"/>
      <c r="FO503" s="663"/>
      <c r="FP503" s="663"/>
      <c r="FQ503" s="663"/>
      <c r="FR503" s="663"/>
      <c r="FS503" s="663"/>
      <c r="FT503" s="663"/>
      <c r="FU503" s="663"/>
      <c r="FV503" s="663"/>
      <c r="FW503" s="663"/>
      <c r="FX503" s="663"/>
      <c r="FY503" s="663"/>
      <c r="FZ503" s="663"/>
      <c r="GA503" s="663"/>
      <c r="GB503" s="663"/>
      <c r="GC503" s="663"/>
      <c r="GD503" s="663"/>
      <c r="GE503" s="663"/>
      <c r="GF503" s="663"/>
      <c r="GG503" s="663"/>
    </row>
    <row r="504" spans="1:189">
      <c r="A504" s="670"/>
      <c r="B504" s="670"/>
      <c r="C504" s="670"/>
      <c r="D504" s="670"/>
      <c r="E504" s="670"/>
      <c r="F504" s="670"/>
      <c r="G504" s="673"/>
      <c r="H504" s="627"/>
      <c r="I504" s="627"/>
      <c r="J504" s="672"/>
      <c r="K504" s="663"/>
      <c r="L504" s="663"/>
      <c r="M504" s="663"/>
      <c r="N504" s="663"/>
      <c r="O504" s="663"/>
      <c r="P504" s="663"/>
      <c r="Q504" s="663"/>
      <c r="R504" s="663"/>
      <c r="S504" s="663"/>
      <c r="T504" s="663"/>
      <c r="U504" s="663"/>
      <c r="V504" s="663"/>
      <c r="W504" s="663"/>
      <c r="X504" s="663"/>
      <c r="Y504" s="663"/>
      <c r="Z504" s="663"/>
      <c r="AA504" s="663"/>
      <c r="AB504" s="663"/>
      <c r="AC504" s="663"/>
      <c r="AD504" s="663"/>
      <c r="AE504" s="663"/>
      <c r="AF504" s="663"/>
      <c r="AG504" s="663"/>
      <c r="AH504" s="663"/>
      <c r="AI504" s="663"/>
      <c r="AJ504" s="663"/>
      <c r="AK504" s="663"/>
      <c r="AL504" s="663"/>
      <c r="AM504" s="663"/>
      <c r="AN504" s="663"/>
      <c r="AO504" s="663"/>
      <c r="AP504" s="663"/>
      <c r="AQ504" s="663"/>
      <c r="AR504" s="663"/>
      <c r="AS504" s="663"/>
      <c r="AT504" s="663"/>
      <c r="AU504" s="663"/>
      <c r="AV504" s="663"/>
      <c r="AW504" s="663"/>
      <c r="AX504" s="663"/>
      <c r="AY504" s="663"/>
      <c r="AZ504" s="663"/>
      <c r="BA504" s="663"/>
      <c r="BB504" s="663"/>
      <c r="BC504" s="663"/>
      <c r="BD504" s="663"/>
      <c r="BE504" s="663"/>
      <c r="BF504" s="663"/>
      <c r="BG504" s="663"/>
      <c r="BH504" s="663"/>
      <c r="BI504" s="663"/>
      <c r="BJ504" s="663"/>
      <c r="BK504" s="663"/>
      <c r="BL504" s="663"/>
      <c r="BM504" s="663"/>
      <c r="BN504" s="663"/>
      <c r="BO504" s="663"/>
      <c r="BP504" s="663"/>
      <c r="BQ504" s="663"/>
      <c r="BR504" s="663"/>
      <c r="BS504" s="663"/>
      <c r="BT504" s="663"/>
      <c r="BU504" s="663"/>
      <c r="BV504" s="663"/>
      <c r="BW504" s="663"/>
      <c r="BX504" s="663"/>
      <c r="BY504" s="663"/>
      <c r="BZ504" s="663"/>
      <c r="CA504" s="663"/>
      <c r="CB504" s="663"/>
      <c r="CC504" s="663"/>
      <c r="CD504" s="663"/>
      <c r="CE504" s="663"/>
      <c r="CF504" s="663"/>
      <c r="CG504" s="663"/>
      <c r="CH504" s="663"/>
      <c r="CI504" s="663"/>
      <c r="CJ504" s="663"/>
      <c r="CK504" s="663"/>
      <c r="CL504" s="663"/>
      <c r="CM504" s="663"/>
      <c r="CN504" s="663"/>
      <c r="CO504" s="663"/>
      <c r="CP504" s="663"/>
      <c r="CQ504" s="663"/>
      <c r="CR504" s="663"/>
      <c r="CS504" s="663"/>
      <c r="CT504" s="663"/>
      <c r="CU504" s="663"/>
      <c r="CV504" s="663"/>
      <c r="CW504" s="663"/>
      <c r="CX504" s="663"/>
      <c r="CY504" s="663"/>
      <c r="CZ504" s="663"/>
      <c r="DA504" s="663"/>
      <c r="DB504" s="663"/>
      <c r="DC504" s="663"/>
      <c r="DD504" s="663"/>
      <c r="DE504" s="663"/>
      <c r="DF504" s="663"/>
      <c r="DG504" s="663"/>
      <c r="DH504" s="663"/>
      <c r="DI504" s="663"/>
      <c r="DJ504" s="663"/>
      <c r="DK504" s="663"/>
      <c r="DL504" s="663"/>
      <c r="DM504" s="663"/>
      <c r="DN504" s="663"/>
      <c r="DO504" s="663"/>
      <c r="DP504" s="663"/>
      <c r="DQ504" s="663"/>
      <c r="DR504" s="663"/>
      <c r="DS504" s="663"/>
      <c r="DT504" s="663"/>
      <c r="DU504" s="663"/>
      <c r="DV504" s="663"/>
      <c r="DW504" s="663"/>
      <c r="DX504" s="663"/>
      <c r="DY504" s="663"/>
      <c r="DZ504" s="663"/>
      <c r="EA504" s="663"/>
      <c r="EB504" s="663"/>
      <c r="EC504" s="663"/>
      <c r="ED504" s="663"/>
      <c r="EE504" s="663"/>
      <c r="EF504" s="663"/>
      <c r="EG504" s="663"/>
      <c r="EH504" s="663"/>
      <c r="EI504" s="663"/>
      <c r="EJ504" s="663"/>
      <c r="EK504" s="663"/>
      <c r="EL504" s="663"/>
      <c r="EM504" s="663"/>
      <c r="EN504" s="663"/>
      <c r="EO504" s="663"/>
      <c r="EP504" s="663"/>
      <c r="EQ504" s="663"/>
      <c r="ER504" s="663"/>
      <c r="ES504" s="663"/>
      <c r="ET504" s="663"/>
      <c r="EU504" s="663"/>
      <c r="EV504" s="663"/>
      <c r="EW504" s="663"/>
      <c r="EX504" s="663"/>
      <c r="EY504" s="663"/>
      <c r="EZ504" s="663"/>
      <c r="FA504" s="663"/>
      <c r="FB504" s="663"/>
      <c r="FC504" s="663"/>
      <c r="FD504" s="663"/>
      <c r="FE504" s="663"/>
      <c r="FF504" s="663"/>
      <c r="FG504" s="663"/>
      <c r="FH504" s="663"/>
      <c r="FI504" s="663"/>
      <c r="FJ504" s="663"/>
      <c r="FK504" s="663"/>
      <c r="FL504" s="663"/>
      <c r="FM504" s="663"/>
      <c r="FN504" s="663"/>
      <c r="FO504" s="663"/>
      <c r="FP504" s="663"/>
      <c r="FQ504" s="663"/>
      <c r="FR504" s="663"/>
      <c r="FS504" s="663"/>
      <c r="FT504" s="663"/>
      <c r="FU504" s="663"/>
      <c r="FV504" s="663"/>
      <c r="FW504" s="663"/>
      <c r="FX504" s="663"/>
      <c r="FY504" s="663"/>
      <c r="FZ504" s="663"/>
      <c r="GA504" s="663"/>
      <c r="GB504" s="663"/>
      <c r="GC504" s="663"/>
      <c r="GD504" s="663"/>
      <c r="GE504" s="663"/>
      <c r="GF504" s="663"/>
      <c r="GG504" s="663"/>
    </row>
    <row r="505" spans="1:189">
      <c r="A505" s="670"/>
      <c r="B505" s="670"/>
      <c r="C505" s="670"/>
      <c r="D505" s="670"/>
      <c r="E505" s="670"/>
      <c r="F505" s="670"/>
      <c r="G505" s="673"/>
      <c r="H505" s="627"/>
      <c r="I505" s="627"/>
      <c r="J505" s="672"/>
      <c r="K505" s="663"/>
      <c r="L505" s="663"/>
      <c r="M505" s="663"/>
      <c r="N505" s="663"/>
      <c r="O505" s="663"/>
      <c r="P505" s="663"/>
      <c r="Q505" s="663"/>
      <c r="R505" s="663"/>
      <c r="S505" s="663"/>
      <c r="T505" s="663"/>
      <c r="U505" s="663"/>
      <c r="V505" s="663"/>
      <c r="W505" s="663"/>
      <c r="X505" s="663"/>
      <c r="Y505" s="663"/>
      <c r="Z505" s="663"/>
      <c r="AA505" s="663"/>
      <c r="AB505" s="663"/>
      <c r="AC505" s="663"/>
      <c r="AD505" s="663"/>
      <c r="AE505" s="663"/>
      <c r="AF505" s="663"/>
      <c r="AG505" s="663"/>
      <c r="AH505" s="663"/>
      <c r="AI505" s="663"/>
      <c r="AJ505" s="663"/>
      <c r="AK505" s="663"/>
      <c r="AL505" s="663"/>
      <c r="AM505" s="663"/>
      <c r="AN505" s="663"/>
      <c r="AO505" s="663"/>
      <c r="AP505" s="663"/>
      <c r="AQ505" s="663"/>
      <c r="AR505" s="663"/>
      <c r="AS505" s="663"/>
      <c r="AT505" s="663"/>
      <c r="AU505" s="663"/>
      <c r="AV505" s="663"/>
      <c r="AW505" s="663"/>
      <c r="AX505" s="663"/>
      <c r="AY505" s="663"/>
      <c r="AZ505" s="663"/>
      <c r="BA505" s="663"/>
      <c r="BB505" s="663"/>
      <c r="BC505" s="663"/>
      <c r="BD505" s="663"/>
      <c r="BE505" s="663"/>
      <c r="BF505" s="663"/>
      <c r="BG505" s="663"/>
      <c r="BH505" s="663"/>
      <c r="BI505" s="663"/>
      <c r="BJ505" s="663"/>
      <c r="BK505" s="663"/>
      <c r="BL505" s="663"/>
      <c r="BM505" s="663"/>
      <c r="BN505" s="663"/>
      <c r="BO505" s="663"/>
      <c r="BP505" s="663"/>
      <c r="BQ505" s="663"/>
      <c r="BR505" s="663"/>
      <c r="BS505" s="663"/>
      <c r="BT505" s="663"/>
      <c r="BU505" s="663"/>
      <c r="BV505" s="663"/>
      <c r="BW505" s="663"/>
      <c r="BX505" s="663"/>
      <c r="BY505" s="663"/>
      <c r="BZ505" s="663"/>
      <c r="CA505" s="663"/>
      <c r="CB505" s="663"/>
      <c r="CC505" s="663"/>
      <c r="CD505" s="663"/>
      <c r="CE505" s="663"/>
      <c r="CF505" s="663"/>
      <c r="CG505" s="663"/>
      <c r="CH505" s="663"/>
      <c r="CI505" s="663"/>
      <c r="CJ505" s="663"/>
      <c r="CK505" s="663"/>
      <c r="CL505" s="663"/>
      <c r="CM505" s="663"/>
      <c r="CN505" s="663"/>
      <c r="CO505" s="663"/>
      <c r="CP505" s="663"/>
      <c r="CQ505" s="663"/>
      <c r="CR505" s="663"/>
      <c r="CS505" s="663"/>
      <c r="CT505" s="663"/>
      <c r="CU505" s="663"/>
      <c r="CV505" s="663"/>
      <c r="CW505" s="663"/>
      <c r="CX505" s="663"/>
      <c r="CY505" s="663"/>
      <c r="CZ505" s="663"/>
      <c r="DA505" s="663"/>
      <c r="DB505" s="663"/>
      <c r="DC505" s="663"/>
      <c r="DD505" s="663"/>
      <c r="DE505" s="663"/>
      <c r="DF505" s="663"/>
      <c r="DG505" s="663"/>
      <c r="DH505" s="663"/>
      <c r="DI505" s="663"/>
      <c r="DJ505" s="663"/>
      <c r="DK505" s="663"/>
      <c r="DL505" s="663"/>
      <c r="DM505" s="663"/>
      <c r="DN505" s="663"/>
      <c r="DO505" s="663"/>
      <c r="DP505" s="663"/>
      <c r="DQ505" s="663"/>
      <c r="DR505" s="663"/>
      <c r="DS505" s="663"/>
      <c r="DT505" s="663"/>
      <c r="DU505" s="663"/>
      <c r="DV505" s="663"/>
      <c r="DW505" s="663"/>
      <c r="DX505" s="663"/>
      <c r="DY505" s="663"/>
      <c r="DZ505" s="663"/>
      <c r="EA505" s="663"/>
      <c r="EB505" s="663"/>
      <c r="EC505" s="663"/>
      <c r="ED505" s="663"/>
      <c r="EE505" s="663"/>
      <c r="EF505" s="663"/>
      <c r="EG505" s="663"/>
      <c r="EH505" s="663"/>
      <c r="EI505" s="663"/>
      <c r="EJ505" s="663"/>
      <c r="EK505" s="663"/>
      <c r="EL505" s="663"/>
      <c r="EM505" s="663"/>
      <c r="EN505" s="663"/>
      <c r="EO505" s="663"/>
      <c r="EP505" s="663"/>
      <c r="EQ505" s="663"/>
      <c r="ER505" s="663"/>
      <c r="ES505" s="663"/>
      <c r="ET505" s="663"/>
      <c r="EU505" s="663"/>
      <c r="EV505" s="663"/>
      <c r="EW505" s="663"/>
      <c r="EX505" s="663"/>
      <c r="EY505" s="663"/>
      <c r="EZ505" s="663"/>
      <c r="FA505" s="663"/>
      <c r="FB505" s="663"/>
      <c r="FC505" s="663"/>
      <c r="FD505" s="663"/>
      <c r="FE505" s="663"/>
      <c r="FF505" s="663"/>
      <c r="FG505" s="663"/>
      <c r="FH505" s="663"/>
      <c r="FI505" s="663"/>
      <c r="FJ505" s="663"/>
      <c r="FK505" s="663"/>
      <c r="FL505" s="663"/>
      <c r="FM505" s="663"/>
      <c r="FN505" s="663"/>
      <c r="FO505" s="663"/>
      <c r="FP505" s="663"/>
      <c r="FQ505" s="663"/>
      <c r="FR505" s="663"/>
      <c r="FS505" s="663"/>
      <c r="FT505" s="663"/>
      <c r="FU505" s="663"/>
      <c r="FV505" s="663"/>
      <c r="FW505" s="663"/>
      <c r="FX505" s="663"/>
      <c r="FY505" s="663"/>
      <c r="FZ505" s="663"/>
      <c r="GA505" s="663"/>
      <c r="GB505" s="663"/>
      <c r="GC505" s="663"/>
      <c r="GD505" s="663"/>
      <c r="GE505" s="663"/>
      <c r="GF505" s="663"/>
      <c r="GG505" s="663"/>
    </row>
    <row r="506" spans="1:189">
      <c r="A506" s="670"/>
      <c r="B506" s="670"/>
      <c r="C506" s="670"/>
      <c r="D506" s="670"/>
      <c r="E506" s="670"/>
      <c r="F506" s="670"/>
      <c r="G506" s="673"/>
      <c r="H506" s="627"/>
      <c r="I506" s="627"/>
      <c r="J506" s="672"/>
      <c r="K506" s="663"/>
      <c r="L506" s="663"/>
      <c r="M506" s="663"/>
      <c r="N506" s="663"/>
      <c r="O506" s="663"/>
      <c r="P506" s="663"/>
      <c r="Q506" s="663"/>
      <c r="R506" s="663"/>
      <c r="S506" s="663"/>
      <c r="T506" s="663"/>
      <c r="U506" s="663"/>
      <c r="V506" s="663"/>
      <c r="W506" s="663"/>
      <c r="X506" s="663"/>
      <c r="Y506" s="663"/>
      <c r="Z506" s="663"/>
      <c r="AA506" s="663"/>
      <c r="AB506" s="663"/>
      <c r="AC506" s="663"/>
      <c r="AD506" s="663"/>
      <c r="AE506" s="663"/>
      <c r="AF506" s="663"/>
      <c r="AG506" s="663"/>
      <c r="AH506" s="663"/>
      <c r="AI506" s="663"/>
      <c r="AJ506" s="663"/>
      <c r="AK506" s="663"/>
      <c r="AL506" s="663"/>
      <c r="AM506" s="663"/>
      <c r="AN506" s="663"/>
      <c r="AO506" s="663"/>
      <c r="AP506" s="663"/>
      <c r="AQ506" s="663"/>
      <c r="AR506" s="663"/>
      <c r="AS506" s="663"/>
      <c r="AT506" s="663"/>
      <c r="AU506" s="663"/>
      <c r="AV506" s="663"/>
      <c r="AW506" s="663"/>
      <c r="AX506" s="663"/>
      <c r="AY506" s="663"/>
      <c r="AZ506" s="663"/>
      <c r="BA506" s="663"/>
      <c r="BB506" s="663"/>
      <c r="BC506" s="663"/>
      <c r="BD506" s="663"/>
      <c r="BE506" s="663"/>
      <c r="BF506" s="663"/>
      <c r="BG506" s="663"/>
      <c r="BH506" s="663"/>
      <c r="BI506" s="663"/>
      <c r="BJ506" s="663"/>
      <c r="BK506" s="663"/>
      <c r="BL506" s="663"/>
      <c r="BM506" s="663"/>
      <c r="BN506" s="663"/>
      <c r="BO506" s="663"/>
      <c r="BP506" s="663"/>
      <c r="BQ506" s="663"/>
      <c r="BR506" s="663"/>
      <c r="BS506" s="663"/>
      <c r="BT506" s="663"/>
      <c r="BU506" s="663"/>
      <c r="BV506" s="663"/>
      <c r="BW506" s="663"/>
      <c r="BX506" s="663"/>
      <c r="BY506" s="663"/>
      <c r="BZ506" s="663"/>
      <c r="CA506" s="663"/>
      <c r="CB506" s="663"/>
      <c r="CC506" s="663"/>
      <c r="CD506" s="663"/>
      <c r="CE506" s="663"/>
      <c r="CF506" s="663"/>
      <c r="CG506" s="663"/>
      <c r="CH506" s="663"/>
      <c r="CI506" s="663"/>
      <c r="CJ506" s="663"/>
      <c r="CK506" s="663"/>
      <c r="CL506" s="663"/>
      <c r="CM506" s="663"/>
      <c r="CN506" s="663"/>
      <c r="CO506" s="663"/>
      <c r="CP506" s="663"/>
      <c r="CQ506" s="663"/>
      <c r="CR506" s="663"/>
      <c r="CS506" s="663"/>
      <c r="CT506" s="663"/>
      <c r="CU506" s="663"/>
      <c r="CV506" s="663"/>
      <c r="CW506" s="663"/>
      <c r="CX506" s="663"/>
      <c r="CY506" s="663"/>
      <c r="CZ506" s="663"/>
      <c r="DA506" s="663"/>
      <c r="DB506" s="663"/>
      <c r="DC506" s="663"/>
      <c r="DD506" s="663"/>
      <c r="DE506" s="663"/>
      <c r="DF506" s="663"/>
      <c r="DG506" s="663"/>
      <c r="DH506" s="663"/>
      <c r="DI506" s="663"/>
      <c r="DJ506" s="663"/>
      <c r="DK506" s="663"/>
      <c r="DL506" s="663"/>
      <c r="DM506" s="663"/>
      <c r="DN506" s="663"/>
      <c r="DO506" s="663"/>
      <c r="DP506" s="663"/>
      <c r="DQ506" s="663"/>
      <c r="DR506" s="663"/>
      <c r="DS506" s="663"/>
      <c r="DT506" s="663"/>
      <c r="DU506" s="663"/>
      <c r="DV506" s="663"/>
      <c r="DW506" s="663"/>
      <c r="DX506" s="663"/>
      <c r="DY506" s="663"/>
      <c r="DZ506" s="663"/>
      <c r="EA506" s="663"/>
      <c r="EB506" s="663"/>
      <c r="EC506" s="663"/>
      <c r="ED506" s="663"/>
      <c r="EE506" s="663"/>
      <c r="EF506" s="663"/>
      <c r="EG506" s="663"/>
      <c r="EH506" s="663"/>
      <c r="EI506" s="663"/>
      <c r="EJ506" s="663"/>
      <c r="EK506" s="663"/>
      <c r="EL506" s="663"/>
      <c r="EM506" s="663"/>
      <c r="EN506" s="663"/>
      <c r="EO506" s="663"/>
      <c r="EP506" s="663"/>
      <c r="EQ506" s="663"/>
      <c r="ER506" s="663"/>
      <c r="ES506" s="663"/>
      <c r="ET506" s="663"/>
      <c r="EU506" s="663"/>
      <c r="EV506" s="663"/>
      <c r="EW506" s="663"/>
      <c r="EX506" s="663"/>
      <c r="EY506" s="663"/>
      <c r="EZ506" s="663"/>
      <c r="FA506" s="663"/>
      <c r="FB506" s="663"/>
      <c r="FC506" s="663"/>
      <c r="FD506" s="663"/>
      <c r="FE506" s="663"/>
      <c r="FF506" s="663"/>
      <c r="FG506" s="663"/>
      <c r="FH506" s="663"/>
      <c r="FI506" s="663"/>
      <c r="FJ506" s="663"/>
      <c r="FK506" s="663"/>
      <c r="FL506" s="663"/>
      <c r="FM506" s="663"/>
      <c r="FN506" s="663"/>
      <c r="FO506" s="663"/>
      <c r="FP506" s="663"/>
      <c r="FQ506" s="663"/>
      <c r="FR506" s="663"/>
      <c r="FS506" s="663"/>
      <c r="FT506" s="663"/>
      <c r="FU506" s="663"/>
      <c r="FV506" s="663"/>
      <c r="FW506" s="663"/>
      <c r="FX506" s="663"/>
      <c r="FY506" s="663"/>
      <c r="FZ506" s="663"/>
      <c r="GA506" s="663"/>
      <c r="GB506" s="663"/>
      <c r="GC506" s="663"/>
      <c r="GD506" s="663"/>
      <c r="GE506" s="663"/>
      <c r="GF506" s="663"/>
      <c r="GG506" s="663"/>
    </row>
    <row r="507" spans="1:189">
      <c r="A507" s="670"/>
      <c r="B507" s="670"/>
      <c r="C507" s="670"/>
      <c r="D507" s="670"/>
      <c r="E507" s="670"/>
      <c r="F507" s="670"/>
      <c r="G507" s="673"/>
      <c r="H507" s="627"/>
      <c r="I507" s="627"/>
      <c r="J507" s="672"/>
      <c r="K507" s="663"/>
      <c r="L507" s="663"/>
      <c r="M507" s="663"/>
      <c r="N507" s="663"/>
      <c r="O507" s="663"/>
      <c r="P507" s="663"/>
      <c r="Q507" s="663"/>
      <c r="R507" s="663"/>
      <c r="S507" s="663"/>
      <c r="T507" s="663"/>
      <c r="U507" s="663"/>
      <c r="V507" s="663"/>
      <c r="W507" s="663"/>
      <c r="X507" s="663"/>
      <c r="Y507" s="663"/>
      <c r="Z507" s="663"/>
      <c r="AA507" s="663"/>
      <c r="AB507" s="663"/>
      <c r="AC507" s="663"/>
      <c r="AD507" s="663"/>
      <c r="AE507" s="663"/>
      <c r="AF507" s="663"/>
      <c r="AG507" s="663"/>
      <c r="AH507" s="663"/>
      <c r="AI507" s="663"/>
      <c r="AJ507" s="663"/>
      <c r="AK507" s="663"/>
      <c r="AL507" s="663"/>
      <c r="AM507" s="663"/>
      <c r="AN507" s="663"/>
      <c r="AO507" s="663"/>
      <c r="AP507" s="663"/>
      <c r="AQ507" s="663"/>
      <c r="AR507" s="663"/>
      <c r="AS507" s="663"/>
      <c r="AT507" s="663"/>
      <c r="AU507" s="663"/>
      <c r="AV507" s="663"/>
      <c r="AW507" s="663"/>
      <c r="AX507" s="663"/>
      <c r="AY507" s="663"/>
      <c r="AZ507" s="663"/>
      <c r="BA507" s="663"/>
      <c r="BB507" s="663"/>
      <c r="BC507" s="663"/>
      <c r="BD507" s="663"/>
      <c r="BE507" s="663"/>
      <c r="BF507" s="663"/>
      <c r="BG507" s="663"/>
      <c r="BH507" s="663"/>
      <c r="BI507" s="663"/>
      <c r="BJ507" s="663"/>
      <c r="BK507" s="663"/>
      <c r="BL507" s="663"/>
      <c r="BM507" s="663"/>
      <c r="BN507" s="663"/>
      <c r="BO507" s="663"/>
      <c r="BP507" s="663"/>
      <c r="BQ507" s="663"/>
      <c r="BR507" s="663"/>
      <c r="BS507" s="663"/>
      <c r="BT507" s="663"/>
      <c r="BU507" s="663"/>
      <c r="BV507" s="663"/>
      <c r="BW507" s="663"/>
      <c r="BX507" s="663"/>
      <c r="BY507" s="663"/>
      <c r="BZ507" s="663"/>
      <c r="CA507" s="663"/>
      <c r="CB507" s="663"/>
      <c r="CC507" s="663"/>
      <c r="CD507" s="663"/>
      <c r="CE507" s="663"/>
      <c r="CF507" s="663"/>
      <c r="CG507" s="663"/>
      <c r="CH507" s="663"/>
      <c r="CI507" s="663"/>
      <c r="CJ507" s="663"/>
      <c r="CK507" s="663"/>
      <c r="CL507" s="663"/>
      <c r="CM507" s="663"/>
      <c r="CN507" s="663"/>
      <c r="CO507" s="663"/>
      <c r="CP507" s="663"/>
      <c r="CQ507" s="663"/>
      <c r="CR507" s="663"/>
      <c r="CS507" s="663"/>
      <c r="CT507" s="663"/>
      <c r="CU507" s="663"/>
      <c r="CV507" s="663"/>
      <c r="CW507" s="663"/>
      <c r="CX507" s="663"/>
      <c r="CY507" s="663"/>
      <c r="CZ507" s="663"/>
      <c r="DA507" s="663"/>
      <c r="DB507" s="663"/>
      <c r="DC507" s="663"/>
      <c r="DD507" s="663"/>
      <c r="DE507" s="663"/>
      <c r="DF507" s="663"/>
      <c r="DG507" s="663"/>
      <c r="DH507" s="663"/>
      <c r="DI507" s="663"/>
      <c r="DJ507" s="663"/>
      <c r="DK507" s="663"/>
      <c r="DL507" s="663"/>
      <c r="DM507" s="663"/>
      <c r="DN507" s="663"/>
      <c r="DO507" s="663"/>
      <c r="DP507" s="663"/>
      <c r="DQ507" s="663"/>
      <c r="DR507" s="663"/>
      <c r="DS507" s="663"/>
      <c r="DT507" s="663"/>
      <c r="DU507" s="663"/>
      <c r="DV507" s="663"/>
      <c r="DW507" s="663"/>
      <c r="DX507" s="663"/>
      <c r="DY507" s="663"/>
      <c r="DZ507" s="663"/>
      <c r="EA507" s="663"/>
      <c r="EB507" s="663"/>
      <c r="EC507" s="663"/>
      <c r="ED507" s="663"/>
      <c r="EE507" s="663"/>
      <c r="EF507" s="663"/>
      <c r="EG507" s="663"/>
      <c r="EH507" s="663"/>
      <c r="EI507" s="663"/>
      <c r="EJ507" s="663"/>
      <c r="EK507" s="663"/>
      <c r="EL507" s="663"/>
      <c r="EM507" s="663"/>
      <c r="EN507" s="663"/>
      <c r="EO507" s="663"/>
      <c r="EP507" s="663"/>
      <c r="EQ507" s="663"/>
      <c r="ER507" s="663"/>
      <c r="ES507" s="663"/>
      <c r="ET507" s="663"/>
      <c r="EU507" s="663"/>
      <c r="EV507" s="663"/>
      <c r="EW507" s="663"/>
      <c r="EX507" s="663"/>
      <c r="EY507" s="663"/>
      <c r="EZ507" s="663"/>
      <c r="FA507" s="663"/>
      <c r="FB507" s="663"/>
      <c r="FC507" s="663"/>
      <c r="FD507" s="663"/>
      <c r="FE507" s="663"/>
      <c r="FF507" s="663"/>
      <c r="FG507" s="663"/>
      <c r="FH507" s="663"/>
      <c r="FI507" s="663"/>
      <c r="FJ507" s="663"/>
      <c r="FK507" s="663"/>
      <c r="FL507" s="663"/>
      <c r="FM507" s="663"/>
      <c r="FN507" s="663"/>
      <c r="FO507" s="663"/>
      <c r="FP507" s="663"/>
      <c r="FQ507" s="663"/>
      <c r="FR507" s="663"/>
      <c r="FS507" s="663"/>
      <c r="FT507" s="663"/>
      <c r="FU507" s="663"/>
      <c r="FV507" s="663"/>
      <c r="FW507" s="663"/>
      <c r="FX507" s="663"/>
      <c r="FY507" s="663"/>
      <c r="FZ507" s="663"/>
      <c r="GA507" s="663"/>
      <c r="GB507" s="663"/>
      <c r="GC507" s="663"/>
      <c r="GD507" s="663"/>
      <c r="GE507" s="663"/>
      <c r="GF507" s="663"/>
      <c r="GG507" s="663"/>
    </row>
    <row r="508" spans="1:189">
      <c r="A508" s="670"/>
      <c r="B508" s="670"/>
      <c r="C508" s="670"/>
      <c r="D508" s="670"/>
      <c r="E508" s="670"/>
      <c r="F508" s="670"/>
      <c r="G508" s="673"/>
      <c r="H508" s="627"/>
      <c r="I508" s="627"/>
      <c r="J508" s="672"/>
      <c r="K508" s="663"/>
      <c r="L508" s="663"/>
      <c r="M508" s="663"/>
      <c r="N508" s="663"/>
      <c r="O508" s="663"/>
      <c r="P508" s="663"/>
      <c r="Q508" s="663"/>
      <c r="R508" s="663"/>
      <c r="S508" s="663"/>
      <c r="T508" s="663"/>
      <c r="U508" s="663"/>
      <c r="V508" s="663"/>
      <c r="W508" s="663"/>
      <c r="X508" s="663"/>
      <c r="Y508" s="663"/>
      <c r="Z508" s="663"/>
      <c r="AA508" s="663"/>
      <c r="AB508" s="663"/>
      <c r="AC508" s="663"/>
      <c r="AD508" s="663"/>
      <c r="AE508" s="663"/>
      <c r="AF508" s="663"/>
      <c r="AG508" s="663"/>
      <c r="AH508" s="663"/>
      <c r="AI508" s="663"/>
      <c r="AJ508" s="663"/>
      <c r="AK508" s="663"/>
      <c r="AL508" s="663"/>
      <c r="AM508" s="663"/>
      <c r="AN508" s="663"/>
      <c r="AO508" s="663"/>
      <c r="AP508" s="663"/>
      <c r="AQ508" s="663"/>
      <c r="AR508" s="663"/>
      <c r="AS508" s="663"/>
      <c r="AT508" s="663"/>
      <c r="AU508" s="663"/>
      <c r="AV508" s="663"/>
      <c r="AW508" s="663"/>
      <c r="AX508" s="663"/>
      <c r="AY508" s="663"/>
      <c r="AZ508" s="663"/>
      <c r="BA508" s="663"/>
      <c r="BB508" s="663"/>
      <c r="BC508" s="663"/>
      <c r="BD508" s="663"/>
      <c r="BE508" s="663"/>
      <c r="BF508" s="663"/>
      <c r="BG508" s="663"/>
      <c r="BH508" s="663"/>
      <c r="BI508" s="663"/>
      <c r="BJ508" s="663"/>
      <c r="BK508" s="663"/>
      <c r="BL508" s="663"/>
      <c r="BM508" s="663"/>
      <c r="BN508" s="663"/>
      <c r="BO508" s="663"/>
      <c r="BP508" s="663"/>
      <c r="BQ508" s="663"/>
      <c r="BR508" s="663"/>
      <c r="BS508" s="663"/>
      <c r="BT508" s="663"/>
      <c r="BU508" s="663"/>
      <c r="BV508" s="663"/>
      <c r="BW508" s="663"/>
      <c r="BX508" s="663"/>
      <c r="BY508" s="663"/>
      <c r="BZ508" s="663"/>
      <c r="CA508" s="663"/>
      <c r="CB508" s="663"/>
      <c r="CC508" s="663"/>
      <c r="CD508" s="663"/>
      <c r="CE508" s="663"/>
      <c r="CF508" s="663"/>
      <c r="CG508" s="663"/>
      <c r="CH508" s="663"/>
      <c r="CI508" s="663"/>
      <c r="CJ508" s="663"/>
      <c r="CK508" s="663"/>
      <c r="CL508" s="663"/>
      <c r="CM508" s="663"/>
      <c r="CN508" s="663"/>
      <c r="CO508" s="663"/>
      <c r="CP508" s="663"/>
      <c r="CQ508" s="663"/>
      <c r="CR508" s="663"/>
      <c r="CS508" s="663"/>
      <c r="CT508" s="663"/>
      <c r="CU508" s="663"/>
      <c r="CV508" s="663"/>
      <c r="CW508" s="663"/>
      <c r="CX508" s="663"/>
      <c r="CY508" s="663"/>
      <c r="CZ508" s="663"/>
      <c r="DA508" s="663"/>
      <c r="DB508" s="663"/>
      <c r="DC508" s="663"/>
      <c r="DD508" s="663"/>
      <c r="DE508" s="663"/>
      <c r="DF508" s="663"/>
      <c r="DG508" s="663"/>
      <c r="DH508" s="663"/>
      <c r="DI508" s="663"/>
      <c r="DJ508" s="663"/>
      <c r="DK508" s="663"/>
      <c r="DL508" s="663"/>
      <c r="DM508" s="663"/>
      <c r="DN508" s="663"/>
      <c r="DO508" s="663"/>
      <c r="DP508" s="663"/>
      <c r="DQ508" s="663"/>
      <c r="DR508" s="663"/>
      <c r="DS508" s="663"/>
      <c r="DT508" s="663"/>
      <c r="DU508" s="663"/>
      <c r="DV508" s="663"/>
      <c r="DW508" s="663"/>
      <c r="DX508" s="663"/>
      <c r="DY508" s="663"/>
      <c r="DZ508" s="663"/>
      <c r="EA508" s="663"/>
      <c r="EB508" s="663"/>
      <c r="EC508" s="663"/>
      <c r="ED508" s="663"/>
      <c r="EE508" s="663"/>
      <c r="EF508" s="663"/>
      <c r="EG508" s="663"/>
      <c r="EH508" s="663"/>
      <c r="EI508" s="663"/>
      <c r="EJ508" s="663"/>
      <c r="EK508" s="663"/>
      <c r="EL508" s="663"/>
      <c r="EM508" s="663"/>
      <c r="EN508" s="663"/>
      <c r="EO508" s="663"/>
      <c r="EP508" s="663"/>
      <c r="EQ508" s="663"/>
      <c r="ER508" s="663"/>
      <c r="ES508" s="663"/>
      <c r="ET508" s="663"/>
      <c r="EU508" s="663"/>
      <c r="EV508" s="663"/>
      <c r="EW508" s="663"/>
      <c r="EX508" s="663"/>
      <c r="EY508" s="663"/>
      <c r="EZ508" s="663"/>
      <c r="FA508" s="663"/>
      <c r="FB508" s="663"/>
      <c r="FC508" s="663"/>
      <c r="FD508" s="663"/>
      <c r="FE508" s="663"/>
      <c r="FF508" s="663"/>
      <c r="FG508" s="663"/>
      <c r="FH508" s="663"/>
      <c r="FI508" s="663"/>
      <c r="FJ508" s="663"/>
      <c r="FK508" s="663"/>
      <c r="FL508" s="663"/>
      <c r="FM508" s="663"/>
      <c r="FN508" s="663"/>
      <c r="FO508" s="663"/>
      <c r="FP508" s="663"/>
      <c r="FQ508" s="663"/>
      <c r="FR508" s="663"/>
      <c r="FS508" s="663"/>
      <c r="FT508" s="663"/>
      <c r="FU508" s="663"/>
      <c r="FV508" s="663"/>
      <c r="FW508" s="663"/>
      <c r="FX508" s="663"/>
      <c r="FY508" s="663"/>
      <c r="FZ508" s="663"/>
      <c r="GA508" s="663"/>
      <c r="GB508" s="663"/>
      <c r="GC508" s="663"/>
      <c r="GD508" s="663"/>
      <c r="GE508" s="663"/>
      <c r="GF508" s="663"/>
      <c r="GG508" s="663"/>
    </row>
    <row r="509" spans="1:189">
      <c r="A509" s="670"/>
      <c r="B509" s="670"/>
      <c r="C509" s="670"/>
      <c r="D509" s="670"/>
      <c r="E509" s="670"/>
      <c r="F509" s="670"/>
      <c r="G509" s="673"/>
      <c r="H509" s="627"/>
      <c r="I509" s="627"/>
      <c r="J509" s="672"/>
      <c r="K509" s="663"/>
      <c r="L509" s="663"/>
      <c r="M509" s="663"/>
      <c r="N509" s="663"/>
      <c r="O509" s="663"/>
      <c r="P509" s="663"/>
      <c r="Q509" s="663"/>
      <c r="R509" s="663"/>
      <c r="S509" s="663"/>
      <c r="T509" s="663"/>
      <c r="U509" s="663"/>
      <c r="V509" s="663"/>
      <c r="W509" s="663"/>
      <c r="X509" s="663"/>
      <c r="Y509" s="663"/>
      <c r="Z509" s="663"/>
      <c r="AA509" s="663"/>
      <c r="AB509" s="663"/>
      <c r="AC509" s="663"/>
      <c r="AD509" s="663"/>
      <c r="AE509" s="663"/>
      <c r="AF509" s="663"/>
      <c r="AG509" s="663"/>
      <c r="AH509" s="663"/>
      <c r="AI509" s="663"/>
      <c r="AJ509" s="663"/>
      <c r="AK509" s="663"/>
      <c r="AL509" s="663"/>
      <c r="AM509" s="663"/>
      <c r="AN509" s="663"/>
      <c r="AO509" s="663"/>
      <c r="AP509" s="663"/>
      <c r="AQ509" s="663"/>
      <c r="AR509" s="663"/>
      <c r="AS509" s="663"/>
      <c r="AT509" s="663"/>
      <c r="AU509" s="663"/>
      <c r="AV509" s="663"/>
      <c r="AW509" s="663"/>
      <c r="AX509" s="663"/>
      <c r="AY509" s="663"/>
      <c r="AZ509" s="663"/>
      <c r="BA509" s="663"/>
      <c r="BB509" s="663"/>
      <c r="BC509" s="663"/>
      <c r="BD509" s="663"/>
      <c r="BE509" s="663"/>
      <c r="BF509" s="663"/>
      <c r="BG509" s="663"/>
      <c r="BH509" s="663"/>
      <c r="BI509" s="663"/>
      <c r="BJ509" s="663"/>
      <c r="BK509" s="663"/>
      <c r="BL509" s="663"/>
      <c r="BM509" s="663"/>
      <c r="BN509" s="663"/>
      <c r="BO509" s="663"/>
      <c r="BP509" s="663"/>
      <c r="BQ509" s="663"/>
      <c r="BR509" s="663"/>
      <c r="BS509" s="663"/>
      <c r="BT509" s="663"/>
      <c r="BU509" s="663"/>
      <c r="BV509" s="663"/>
      <c r="BW509" s="663"/>
      <c r="BX509" s="663"/>
      <c r="BY509" s="663"/>
      <c r="BZ509" s="663"/>
      <c r="CA509" s="663"/>
      <c r="CB509" s="663"/>
      <c r="CC509" s="663"/>
      <c r="CD509" s="663"/>
      <c r="CE509" s="663"/>
      <c r="CF509" s="663"/>
      <c r="CG509" s="663"/>
      <c r="CH509" s="663"/>
      <c r="CI509" s="663"/>
      <c r="CJ509" s="663"/>
      <c r="CK509" s="663"/>
      <c r="CL509" s="663"/>
      <c r="CM509" s="663"/>
      <c r="CN509" s="663"/>
      <c r="CO509" s="663"/>
      <c r="CP509" s="663"/>
      <c r="CQ509" s="663"/>
      <c r="CR509" s="663"/>
      <c r="CS509" s="663"/>
      <c r="CT509" s="663"/>
      <c r="CU509" s="663"/>
      <c r="CV509" s="663"/>
      <c r="CW509" s="663"/>
      <c r="CX509" s="663"/>
      <c r="CY509" s="663"/>
      <c r="CZ509" s="663"/>
      <c r="DA509" s="663"/>
      <c r="DB509" s="663"/>
      <c r="DC509" s="663"/>
      <c r="DD509" s="663"/>
      <c r="DE509" s="663"/>
      <c r="DF509" s="663"/>
      <c r="DG509" s="663"/>
      <c r="DH509" s="663"/>
      <c r="DI509" s="663"/>
      <c r="DJ509" s="663"/>
      <c r="DK509" s="663"/>
      <c r="DL509" s="663"/>
      <c r="DM509" s="663"/>
      <c r="DN509" s="663"/>
      <c r="DO509" s="663"/>
      <c r="DP509" s="663"/>
      <c r="DQ509" s="663"/>
      <c r="DR509" s="663"/>
      <c r="DS509" s="663"/>
      <c r="DT509" s="663"/>
      <c r="DU509" s="663"/>
      <c r="DV509" s="663"/>
      <c r="DW509" s="663"/>
      <c r="DX509" s="663"/>
      <c r="DY509" s="663"/>
      <c r="DZ509" s="663"/>
      <c r="EA509" s="663"/>
      <c r="EB509" s="663"/>
      <c r="EC509" s="663"/>
      <c r="ED509" s="663"/>
      <c r="EE509" s="663"/>
      <c r="EF509" s="663"/>
      <c r="EG509" s="663"/>
      <c r="EH509" s="663"/>
      <c r="EI509" s="663"/>
      <c r="EJ509" s="663"/>
      <c r="EK509" s="663"/>
      <c r="EL509" s="663"/>
      <c r="EM509" s="663"/>
      <c r="EN509" s="663"/>
      <c r="EO509" s="663"/>
      <c r="EP509" s="663"/>
      <c r="EQ509" s="663"/>
      <c r="ER509" s="663"/>
      <c r="ES509" s="663"/>
      <c r="ET509" s="663"/>
      <c r="EU509" s="663"/>
      <c r="EV509" s="663"/>
      <c r="EW509" s="663"/>
      <c r="EX509" s="663"/>
      <c r="EY509" s="663"/>
      <c r="EZ509" s="663"/>
      <c r="FA509" s="663"/>
      <c r="FB509" s="663"/>
      <c r="FC509" s="663"/>
      <c r="FD509" s="663"/>
      <c r="FE509" s="663"/>
      <c r="FF509" s="663"/>
      <c r="FG509" s="663"/>
      <c r="FH509" s="663"/>
      <c r="FI509" s="663"/>
      <c r="FJ509" s="663"/>
      <c r="FK509" s="663"/>
      <c r="FL509" s="663"/>
      <c r="FM509" s="663"/>
      <c r="FN509" s="663"/>
      <c r="FO509" s="663"/>
      <c r="FP509" s="663"/>
      <c r="FQ509" s="663"/>
      <c r="FR509" s="663"/>
      <c r="FS509" s="663"/>
      <c r="FT509" s="663"/>
      <c r="FU509" s="663"/>
      <c r="FV509" s="663"/>
      <c r="FW509" s="663"/>
      <c r="FX509" s="663"/>
      <c r="FY509" s="663"/>
      <c r="FZ509" s="663"/>
      <c r="GA509" s="663"/>
      <c r="GB509" s="663"/>
      <c r="GC509" s="663"/>
      <c r="GD509" s="663"/>
      <c r="GE509" s="663"/>
      <c r="GF509" s="663"/>
      <c r="GG509" s="663"/>
    </row>
    <row r="510" spans="1:189">
      <c r="A510" s="670"/>
      <c r="B510" s="670"/>
      <c r="C510" s="670"/>
      <c r="D510" s="670"/>
      <c r="E510" s="670"/>
      <c r="F510" s="670"/>
      <c r="G510" s="673"/>
      <c r="H510" s="627"/>
      <c r="I510" s="627"/>
      <c r="J510" s="672"/>
      <c r="K510" s="663"/>
      <c r="L510" s="663"/>
      <c r="M510" s="663"/>
      <c r="N510" s="663"/>
      <c r="O510" s="663"/>
      <c r="P510" s="663"/>
      <c r="Q510" s="663"/>
      <c r="R510" s="663"/>
      <c r="S510" s="663"/>
      <c r="T510" s="663"/>
      <c r="U510" s="663"/>
      <c r="V510" s="663"/>
      <c r="W510" s="663"/>
      <c r="X510" s="663"/>
      <c r="Y510" s="663"/>
      <c r="Z510" s="663"/>
      <c r="AA510" s="663"/>
      <c r="AB510" s="663"/>
      <c r="AC510" s="663"/>
      <c r="AD510" s="663"/>
      <c r="AE510" s="663"/>
      <c r="AF510" s="663"/>
      <c r="AG510" s="663"/>
      <c r="AH510" s="663"/>
      <c r="AI510" s="663"/>
      <c r="AJ510" s="663"/>
      <c r="AK510" s="663"/>
      <c r="AL510" s="663"/>
      <c r="AM510" s="663"/>
      <c r="AN510" s="663"/>
      <c r="AO510" s="663"/>
      <c r="AP510" s="663"/>
      <c r="AQ510" s="663"/>
      <c r="AR510" s="663"/>
      <c r="AS510" s="663"/>
      <c r="AT510" s="663"/>
      <c r="AU510" s="663"/>
      <c r="AV510" s="663"/>
      <c r="AW510" s="663"/>
      <c r="AX510" s="663"/>
      <c r="AY510" s="663"/>
      <c r="AZ510" s="663"/>
      <c r="BA510" s="663"/>
      <c r="BB510" s="663"/>
      <c r="BC510" s="663"/>
      <c r="BD510" s="663"/>
      <c r="BE510" s="663"/>
      <c r="BF510" s="663"/>
      <c r="BG510" s="663"/>
      <c r="BH510" s="663"/>
      <c r="BI510" s="663"/>
      <c r="BJ510" s="663"/>
      <c r="BK510" s="663"/>
      <c r="BL510" s="663"/>
      <c r="BM510" s="663"/>
      <c r="BN510" s="663"/>
      <c r="BO510" s="663"/>
      <c r="BP510" s="663"/>
      <c r="BQ510" s="663"/>
      <c r="BR510" s="663"/>
      <c r="BS510" s="663"/>
      <c r="BT510" s="663"/>
      <c r="BU510" s="663"/>
      <c r="BV510" s="663"/>
      <c r="BW510" s="663"/>
      <c r="BX510" s="663"/>
      <c r="BY510" s="663"/>
      <c r="BZ510" s="663"/>
      <c r="CA510" s="663"/>
      <c r="CB510" s="663"/>
      <c r="CC510" s="663"/>
      <c r="CD510" s="663"/>
      <c r="CE510" s="663"/>
      <c r="CF510" s="663"/>
      <c r="CG510" s="663"/>
      <c r="CH510" s="663"/>
      <c r="CI510" s="663"/>
      <c r="CJ510" s="663"/>
      <c r="CK510" s="663"/>
      <c r="CL510" s="663"/>
      <c r="CM510" s="663"/>
      <c r="CN510" s="663"/>
      <c r="CO510" s="663"/>
      <c r="CP510" s="663"/>
      <c r="CQ510" s="663"/>
      <c r="CR510" s="663"/>
      <c r="CS510" s="663"/>
      <c r="CT510" s="663"/>
      <c r="CU510" s="663"/>
      <c r="CV510" s="663"/>
      <c r="CW510" s="663"/>
      <c r="CX510" s="663"/>
      <c r="CY510" s="663"/>
      <c r="CZ510" s="663"/>
      <c r="DA510" s="663"/>
      <c r="DB510" s="663"/>
      <c r="DC510" s="663"/>
      <c r="DD510" s="663"/>
      <c r="DE510" s="663"/>
      <c r="DF510" s="663"/>
      <c r="DG510" s="663"/>
      <c r="DH510" s="663"/>
      <c r="DI510" s="663"/>
      <c r="DJ510" s="663"/>
      <c r="DK510" s="663"/>
      <c r="DL510" s="663"/>
      <c r="DM510" s="663"/>
      <c r="DN510" s="663"/>
      <c r="DO510" s="663"/>
      <c r="DP510" s="663"/>
      <c r="DQ510" s="663"/>
      <c r="DR510" s="663"/>
      <c r="DS510" s="663"/>
      <c r="DT510" s="663"/>
      <c r="DU510" s="663"/>
      <c r="DV510" s="663"/>
      <c r="DW510" s="663"/>
      <c r="DX510" s="663"/>
      <c r="DY510" s="663"/>
      <c r="DZ510" s="663"/>
      <c r="EA510" s="663"/>
      <c r="EB510" s="663"/>
      <c r="EC510" s="663"/>
      <c r="ED510" s="663"/>
      <c r="EE510" s="663"/>
      <c r="EF510" s="663"/>
      <c r="EG510" s="663"/>
      <c r="EH510" s="663"/>
      <c r="EI510" s="663"/>
      <c r="EJ510" s="663"/>
      <c r="EK510" s="663"/>
      <c r="EL510" s="663"/>
      <c r="EM510" s="663"/>
      <c r="EN510" s="663"/>
      <c r="EO510" s="663"/>
      <c r="EP510" s="663"/>
      <c r="EQ510" s="663"/>
      <c r="ER510" s="663"/>
      <c r="ES510" s="663"/>
      <c r="ET510" s="663"/>
      <c r="EU510" s="663"/>
      <c r="EV510" s="663"/>
      <c r="EW510" s="663"/>
      <c r="EX510" s="663"/>
      <c r="EY510" s="663"/>
      <c r="EZ510" s="663"/>
      <c r="FA510" s="663"/>
      <c r="FB510" s="663"/>
      <c r="FC510" s="663"/>
      <c r="FD510" s="663"/>
      <c r="FE510" s="663"/>
      <c r="FF510" s="663"/>
      <c r="FG510" s="663"/>
      <c r="FH510" s="663"/>
      <c r="FI510" s="663"/>
      <c r="FJ510" s="663"/>
      <c r="FK510" s="663"/>
      <c r="FL510" s="663"/>
      <c r="FM510" s="663"/>
      <c r="FN510" s="663"/>
      <c r="FO510" s="663"/>
      <c r="FP510" s="663"/>
      <c r="FQ510" s="663"/>
      <c r="FR510" s="663"/>
      <c r="FS510" s="663"/>
      <c r="FT510" s="663"/>
      <c r="FU510" s="663"/>
      <c r="FV510" s="663"/>
      <c r="FW510" s="663"/>
      <c r="FX510" s="663"/>
      <c r="FY510" s="663"/>
      <c r="FZ510" s="663"/>
      <c r="GA510" s="663"/>
      <c r="GB510" s="663"/>
      <c r="GC510" s="663"/>
      <c r="GD510" s="663"/>
      <c r="GE510" s="663"/>
      <c r="GF510" s="663"/>
      <c r="GG510" s="663"/>
    </row>
    <row r="511" spans="1:189">
      <c r="A511" s="670"/>
      <c r="B511" s="670"/>
      <c r="C511" s="670"/>
      <c r="D511" s="670"/>
      <c r="E511" s="670"/>
      <c r="F511" s="670"/>
      <c r="G511" s="673"/>
      <c r="H511" s="627"/>
      <c r="I511" s="627"/>
      <c r="J511" s="672"/>
      <c r="K511" s="663"/>
      <c r="L511" s="663"/>
      <c r="M511" s="663"/>
      <c r="N511" s="663"/>
      <c r="O511" s="663"/>
      <c r="P511" s="663"/>
      <c r="Q511" s="663"/>
      <c r="R511" s="663"/>
      <c r="S511" s="663"/>
      <c r="T511" s="663"/>
      <c r="U511" s="663"/>
      <c r="V511" s="663"/>
      <c r="W511" s="663"/>
      <c r="X511" s="663"/>
      <c r="Y511" s="663"/>
      <c r="Z511" s="663"/>
      <c r="AA511" s="663"/>
      <c r="AB511" s="663"/>
      <c r="AC511" s="663"/>
      <c r="AD511" s="663"/>
      <c r="AE511" s="663"/>
      <c r="AF511" s="663"/>
      <c r="AG511" s="663"/>
      <c r="AH511" s="663"/>
      <c r="AI511" s="663"/>
      <c r="AJ511" s="663"/>
      <c r="AK511" s="663"/>
      <c r="AL511" s="663"/>
      <c r="AM511" s="663"/>
      <c r="AN511" s="663"/>
      <c r="AO511" s="663"/>
      <c r="AP511" s="663"/>
      <c r="AQ511" s="663"/>
      <c r="AR511" s="663"/>
      <c r="AS511" s="663"/>
      <c r="AT511" s="663"/>
      <c r="AU511" s="663"/>
      <c r="AV511" s="663"/>
      <c r="AW511" s="663"/>
      <c r="AX511" s="663"/>
      <c r="AY511" s="663"/>
      <c r="AZ511" s="663"/>
      <c r="BA511" s="663"/>
      <c r="BB511" s="663"/>
      <c r="BC511" s="663"/>
      <c r="BD511" s="663"/>
      <c r="BE511" s="663"/>
      <c r="BF511" s="663"/>
      <c r="BG511" s="663"/>
      <c r="BH511" s="663"/>
      <c r="BI511" s="663"/>
      <c r="BJ511" s="663"/>
      <c r="BK511" s="663"/>
      <c r="BL511" s="663"/>
      <c r="BM511" s="663"/>
      <c r="BN511" s="663"/>
      <c r="BO511" s="663"/>
      <c r="BP511" s="663"/>
      <c r="BQ511" s="663"/>
      <c r="BR511" s="663"/>
      <c r="BS511" s="663"/>
      <c r="BT511" s="663"/>
      <c r="BU511" s="663"/>
      <c r="BV511" s="663"/>
      <c r="BW511" s="663"/>
      <c r="BX511" s="663"/>
      <c r="BY511" s="663"/>
      <c r="BZ511" s="663"/>
      <c r="CA511" s="663"/>
      <c r="CB511" s="663"/>
      <c r="CC511" s="663"/>
      <c r="CD511" s="663"/>
      <c r="CE511" s="663"/>
      <c r="CF511" s="663"/>
      <c r="CG511" s="663"/>
      <c r="CH511" s="663"/>
      <c r="CI511" s="663"/>
      <c r="CJ511" s="663"/>
      <c r="CK511" s="663"/>
      <c r="CL511" s="663"/>
      <c r="CM511" s="663"/>
      <c r="CN511" s="663"/>
      <c r="CO511" s="663"/>
      <c r="CP511" s="663"/>
      <c r="CQ511" s="663"/>
      <c r="CR511" s="663"/>
      <c r="CS511" s="663"/>
      <c r="CT511" s="663"/>
      <c r="CU511" s="663"/>
      <c r="CV511" s="663"/>
      <c r="CW511" s="663"/>
      <c r="CX511" s="663"/>
      <c r="CY511" s="663"/>
      <c r="CZ511" s="663"/>
      <c r="DA511" s="663"/>
      <c r="DB511" s="663"/>
      <c r="DC511" s="663"/>
      <c r="DD511" s="663"/>
      <c r="DE511" s="663"/>
      <c r="DF511" s="663"/>
      <c r="DG511" s="663"/>
      <c r="DH511" s="663"/>
      <c r="DI511" s="663"/>
      <c r="DJ511" s="663"/>
      <c r="DK511" s="663"/>
      <c r="DL511" s="663"/>
      <c r="DM511" s="663"/>
      <c r="DN511" s="663"/>
      <c r="DO511" s="663"/>
      <c r="DP511" s="663"/>
      <c r="DQ511" s="663"/>
      <c r="DR511" s="663"/>
      <c r="DS511" s="663"/>
      <c r="DT511" s="663"/>
      <c r="DU511" s="663"/>
      <c r="DV511" s="663"/>
      <c r="DW511" s="663"/>
      <c r="DX511" s="663"/>
      <c r="DY511" s="663"/>
      <c r="DZ511" s="663"/>
      <c r="EA511" s="663"/>
      <c r="EB511" s="663"/>
      <c r="EC511" s="663"/>
      <c r="ED511" s="663"/>
      <c r="EE511" s="663"/>
      <c r="EF511" s="663"/>
      <c r="EG511" s="663"/>
      <c r="EH511" s="663"/>
      <c r="EI511" s="663"/>
      <c r="EJ511" s="663"/>
      <c r="EK511" s="663"/>
      <c r="EL511" s="663"/>
      <c r="EM511" s="663"/>
      <c r="EN511" s="663"/>
      <c r="EO511" s="663"/>
      <c r="EP511" s="663"/>
      <c r="EQ511" s="663"/>
      <c r="ER511" s="663"/>
      <c r="ES511" s="663"/>
      <c r="ET511" s="663"/>
      <c r="EU511" s="663"/>
      <c r="EV511" s="663"/>
      <c r="EW511" s="663"/>
      <c r="EX511" s="663"/>
      <c r="EY511" s="663"/>
      <c r="EZ511" s="663"/>
      <c r="FA511" s="663"/>
      <c r="FB511" s="663"/>
      <c r="FC511" s="663"/>
      <c r="FD511" s="663"/>
      <c r="FE511" s="663"/>
      <c r="FF511" s="663"/>
      <c r="FG511" s="663"/>
      <c r="FH511" s="663"/>
      <c r="FI511" s="663"/>
      <c r="FJ511" s="663"/>
      <c r="FK511" s="663"/>
      <c r="FL511" s="663"/>
      <c r="FM511" s="663"/>
      <c r="FN511" s="663"/>
      <c r="FO511" s="663"/>
      <c r="FP511" s="663"/>
      <c r="FQ511" s="663"/>
      <c r="FR511" s="663"/>
      <c r="FS511" s="663"/>
      <c r="FT511" s="663"/>
      <c r="FU511" s="663"/>
      <c r="FV511" s="663"/>
      <c r="FW511" s="663"/>
      <c r="FX511" s="663"/>
      <c r="FY511" s="663"/>
      <c r="FZ511" s="663"/>
      <c r="GA511" s="663"/>
      <c r="GB511" s="663"/>
      <c r="GC511" s="663"/>
      <c r="GD511" s="663"/>
      <c r="GE511" s="663"/>
      <c r="GF511" s="663"/>
      <c r="GG511" s="663"/>
    </row>
    <row r="512" spans="1:189">
      <c r="A512" s="670"/>
      <c r="B512" s="670"/>
      <c r="C512" s="670"/>
      <c r="D512" s="670"/>
      <c r="E512" s="670"/>
      <c r="F512" s="670"/>
      <c r="G512" s="673"/>
      <c r="H512" s="627"/>
      <c r="I512" s="627"/>
      <c r="J512" s="672"/>
      <c r="K512" s="663"/>
      <c r="L512" s="663"/>
      <c r="M512" s="663"/>
      <c r="N512" s="663"/>
      <c r="O512" s="663"/>
      <c r="P512" s="663"/>
      <c r="Q512" s="663"/>
      <c r="R512" s="663"/>
      <c r="S512" s="663"/>
      <c r="T512" s="663"/>
      <c r="U512" s="663"/>
      <c r="V512" s="663"/>
      <c r="W512" s="663"/>
      <c r="X512" s="663"/>
      <c r="Y512" s="663"/>
      <c r="Z512" s="663"/>
      <c r="AA512" s="663"/>
      <c r="AB512" s="663"/>
      <c r="AC512" s="663"/>
      <c r="AD512" s="663"/>
      <c r="AE512" s="663"/>
      <c r="AF512" s="663"/>
      <c r="AG512" s="663"/>
      <c r="AH512" s="663"/>
      <c r="AI512" s="663"/>
      <c r="AJ512" s="663"/>
      <c r="AK512" s="663"/>
      <c r="AL512" s="663"/>
      <c r="AM512" s="663"/>
      <c r="AN512" s="663"/>
      <c r="AO512" s="663"/>
      <c r="AP512" s="663"/>
      <c r="AQ512" s="663"/>
      <c r="AR512" s="663"/>
      <c r="AS512" s="663"/>
      <c r="AT512" s="663"/>
      <c r="AU512" s="663"/>
      <c r="AV512" s="663"/>
      <c r="AW512" s="663"/>
      <c r="AX512" s="663"/>
      <c r="AY512" s="663"/>
      <c r="AZ512" s="663"/>
      <c r="BA512" s="663"/>
      <c r="BB512" s="663"/>
      <c r="BC512" s="663"/>
      <c r="BD512" s="663"/>
      <c r="BE512" s="663"/>
      <c r="BF512" s="663"/>
      <c r="BG512" s="663"/>
      <c r="BH512" s="663"/>
      <c r="BI512" s="663"/>
      <c r="BJ512" s="663"/>
      <c r="BK512" s="663"/>
      <c r="BL512" s="663"/>
      <c r="BM512" s="663"/>
      <c r="BN512" s="663"/>
      <c r="BO512" s="663"/>
      <c r="BP512" s="663"/>
      <c r="BQ512" s="663"/>
      <c r="BR512" s="663"/>
      <c r="BS512" s="663"/>
      <c r="BT512" s="663"/>
      <c r="BU512" s="663"/>
      <c r="BV512" s="663"/>
      <c r="BW512" s="663"/>
      <c r="BX512" s="663"/>
      <c r="BY512" s="663"/>
      <c r="BZ512" s="663"/>
      <c r="CA512" s="663"/>
      <c r="CB512" s="663"/>
      <c r="CC512" s="663"/>
      <c r="CD512" s="663"/>
      <c r="CE512" s="663"/>
      <c r="CF512" s="663"/>
      <c r="CG512" s="663"/>
      <c r="CH512" s="663"/>
      <c r="CI512" s="663"/>
      <c r="CJ512" s="663"/>
      <c r="CK512" s="663"/>
      <c r="CL512" s="663"/>
      <c r="CM512" s="663"/>
      <c r="CN512" s="663"/>
      <c r="CO512" s="663"/>
      <c r="CP512" s="663"/>
      <c r="CQ512" s="663"/>
      <c r="CR512" s="663"/>
      <c r="CS512" s="663"/>
      <c r="CT512" s="663"/>
      <c r="CU512" s="663"/>
      <c r="CV512" s="663"/>
      <c r="CW512" s="663"/>
      <c r="CX512" s="663"/>
      <c r="CY512" s="663"/>
      <c r="CZ512" s="663"/>
      <c r="DA512" s="663"/>
      <c r="DB512" s="663"/>
      <c r="DC512" s="663"/>
      <c r="DD512" s="663"/>
      <c r="DE512" s="663"/>
      <c r="DF512" s="663"/>
      <c r="DG512" s="663"/>
      <c r="DH512" s="663"/>
      <c r="DI512" s="663"/>
      <c r="DJ512" s="663"/>
      <c r="DK512" s="663"/>
      <c r="DL512" s="663"/>
      <c r="DM512" s="663"/>
      <c r="DN512" s="663"/>
      <c r="DO512" s="663"/>
      <c r="DP512" s="663"/>
      <c r="DQ512" s="663"/>
      <c r="DR512" s="663"/>
      <c r="DS512" s="663"/>
      <c r="DT512" s="663"/>
      <c r="DU512" s="663"/>
      <c r="DV512" s="663"/>
      <c r="DW512" s="663"/>
      <c r="DX512" s="663"/>
      <c r="DY512" s="663"/>
      <c r="DZ512" s="663"/>
      <c r="EA512" s="663"/>
      <c r="EB512" s="663"/>
      <c r="EC512" s="663"/>
      <c r="ED512" s="663"/>
      <c r="EE512" s="663"/>
      <c r="EF512" s="663"/>
      <c r="EG512" s="663"/>
      <c r="EH512" s="663"/>
      <c r="EI512" s="663"/>
      <c r="EJ512" s="663"/>
      <c r="EK512" s="663"/>
      <c r="EL512" s="663"/>
      <c r="EM512" s="663"/>
      <c r="EN512" s="663"/>
      <c r="EO512" s="663"/>
      <c r="EP512" s="663"/>
      <c r="EQ512" s="663"/>
      <c r="ER512" s="663"/>
      <c r="ES512" s="663"/>
      <c r="ET512" s="663"/>
      <c r="EU512" s="663"/>
      <c r="EV512" s="663"/>
      <c r="EW512" s="663"/>
      <c r="EX512" s="663"/>
      <c r="EY512" s="663"/>
      <c r="EZ512" s="663"/>
      <c r="FA512" s="663"/>
      <c r="FB512" s="663"/>
      <c r="FC512" s="663"/>
      <c r="FD512" s="663"/>
      <c r="FE512" s="663"/>
      <c r="FF512" s="663"/>
      <c r="FG512" s="663"/>
      <c r="FH512" s="663"/>
      <c r="FI512" s="663"/>
      <c r="FJ512" s="663"/>
      <c r="FK512" s="663"/>
      <c r="FL512" s="663"/>
      <c r="FM512" s="663"/>
      <c r="FN512" s="663"/>
      <c r="FO512" s="663"/>
      <c r="FP512" s="663"/>
      <c r="FQ512" s="663"/>
      <c r="FR512" s="663"/>
      <c r="FS512" s="663"/>
      <c r="FT512" s="663"/>
      <c r="FU512" s="663"/>
      <c r="FV512" s="663"/>
      <c r="FW512" s="663"/>
      <c r="FX512" s="663"/>
      <c r="FY512" s="663"/>
      <c r="FZ512" s="663"/>
      <c r="GA512" s="663"/>
      <c r="GB512" s="663"/>
      <c r="GC512" s="663"/>
      <c r="GD512" s="663"/>
      <c r="GE512" s="663"/>
      <c r="GF512" s="663"/>
      <c r="GG512" s="663"/>
    </row>
    <row r="513" spans="1:189">
      <c r="A513" s="670"/>
      <c r="B513" s="670"/>
      <c r="C513" s="670"/>
      <c r="D513" s="670"/>
      <c r="E513" s="670"/>
      <c r="F513" s="670"/>
      <c r="G513" s="673"/>
      <c r="H513" s="627"/>
      <c r="I513" s="627"/>
      <c r="J513" s="672"/>
      <c r="K513" s="663"/>
      <c r="L513" s="663"/>
      <c r="M513" s="663"/>
      <c r="N513" s="663"/>
      <c r="O513" s="663"/>
      <c r="P513" s="663"/>
      <c r="Q513" s="663"/>
      <c r="R513" s="663"/>
      <c r="S513" s="663"/>
      <c r="T513" s="663"/>
      <c r="U513" s="663"/>
      <c r="V513" s="663"/>
      <c r="W513" s="663"/>
      <c r="X513" s="663"/>
      <c r="Y513" s="663"/>
      <c r="Z513" s="663"/>
      <c r="AA513" s="663"/>
      <c r="AB513" s="663"/>
      <c r="AC513" s="663"/>
      <c r="AD513" s="663"/>
      <c r="AE513" s="663"/>
      <c r="AF513" s="663"/>
      <c r="AG513" s="663"/>
      <c r="AH513" s="663"/>
      <c r="AI513" s="663"/>
      <c r="AJ513" s="663"/>
      <c r="AK513" s="663"/>
      <c r="AL513" s="663"/>
      <c r="AM513" s="663"/>
      <c r="AN513" s="663"/>
      <c r="AO513" s="663"/>
      <c r="AP513" s="663"/>
      <c r="AQ513" s="663"/>
      <c r="AR513" s="663"/>
      <c r="AS513" s="663"/>
      <c r="AT513" s="663"/>
      <c r="AU513" s="663"/>
      <c r="AV513" s="663"/>
      <c r="AW513" s="663"/>
      <c r="AX513" s="663"/>
      <c r="AY513" s="663"/>
      <c r="AZ513" s="663"/>
      <c r="BA513" s="663"/>
      <c r="BB513" s="663"/>
      <c r="BC513" s="663"/>
      <c r="BD513" s="663"/>
      <c r="BE513" s="663"/>
      <c r="BF513" s="663"/>
      <c r="BG513" s="663"/>
      <c r="BH513" s="663"/>
      <c r="BI513" s="663"/>
      <c r="BJ513" s="663"/>
      <c r="BK513" s="663"/>
      <c r="BL513" s="663"/>
      <c r="BM513" s="663"/>
      <c r="BN513" s="663"/>
      <c r="BO513" s="663"/>
      <c r="BP513" s="663"/>
      <c r="BQ513" s="663"/>
      <c r="BR513" s="663"/>
      <c r="BS513" s="663"/>
      <c r="BT513" s="663"/>
      <c r="BU513" s="663"/>
      <c r="BV513" s="663"/>
      <c r="BW513" s="663"/>
      <c r="BX513" s="663"/>
      <c r="BY513" s="663"/>
      <c r="BZ513" s="663"/>
      <c r="CA513" s="663"/>
      <c r="CB513" s="663"/>
      <c r="CC513" s="663"/>
      <c r="CD513" s="663"/>
      <c r="CE513" s="663"/>
      <c r="CF513" s="663"/>
      <c r="CG513" s="663"/>
      <c r="CH513" s="663"/>
      <c r="CI513" s="663"/>
      <c r="CJ513" s="663"/>
      <c r="CK513" s="663"/>
      <c r="CL513" s="663"/>
      <c r="CM513" s="663"/>
      <c r="CN513" s="663"/>
      <c r="CO513" s="663"/>
      <c r="CP513" s="663"/>
      <c r="CQ513" s="663"/>
      <c r="CR513" s="663"/>
      <c r="CS513" s="663"/>
      <c r="CT513" s="663"/>
      <c r="CU513" s="663"/>
      <c r="CV513" s="663"/>
      <c r="CW513" s="663"/>
      <c r="CX513" s="663"/>
      <c r="CY513" s="663"/>
      <c r="CZ513" s="663"/>
      <c r="DA513" s="663"/>
      <c r="DB513" s="663"/>
      <c r="DC513" s="663"/>
      <c r="DD513" s="663"/>
      <c r="DE513" s="663"/>
      <c r="DF513" s="663"/>
      <c r="DG513" s="663"/>
      <c r="DH513" s="663"/>
      <c r="DI513" s="663"/>
      <c r="DJ513" s="663"/>
      <c r="DK513" s="663"/>
      <c r="DL513" s="663"/>
      <c r="DM513" s="663"/>
      <c r="DN513" s="663"/>
      <c r="DO513" s="663"/>
      <c r="DP513" s="663"/>
      <c r="DQ513" s="663"/>
      <c r="DR513" s="663"/>
      <c r="DS513" s="663"/>
      <c r="DT513" s="663"/>
      <c r="DU513" s="663"/>
      <c r="DV513" s="663"/>
      <c r="DW513" s="663"/>
      <c r="DX513" s="663"/>
      <c r="DY513" s="663"/>
      <c r="DZ513" s="663"/>
      <c r="EA513" s="663"/>
      <c r="EB513" s="663"/>
      <c r="EC513" s="663"/>
      <c r="ED513" s="663"/>
      <c r="EE513" s="663"/>
      <c r="EF513" s="663"/>
      <c r="EG513" s="663"/>
      <c r="EH513" s="663"/>
      <c r="EI513" s="663"/>
      <c r="EJ513" s="663"/>
      <c r="EK513" s="663"/>
      <c r="EL513" s="663"/>
      <c r="EM513" s="663"/>
      <c r="EN513" s="663"/>
      <c r="EO513" s="663"/>
      <c r="EP513" s="663"/>
      <c r="EQ513" s="663"/>
      <c r="ER513" s="663"/>
      <c r="ES513" s="663"/>
      <c r="ET513" s="663"/>
      <c r="EU513" s="663"/>
      <c r="EV513" s="663"/>
      <c r="EW513" s="663"/>
      <c r="EX513" s="663"/>
      <c r="EY513" s="663"/>
      <c r="EZ513" s="663"/>
      <c r="FA513" s="663"/>
      <c r="FB513" s="663"/>
      <c r="FC513" s="663"/>
      <c r="FD513" s="663"/>
      <c r="FE513" s="663"/>
      <c r="FF513" s="663"/>
      <c r="FG513" s="663"/>
      <c r="FH513" s="663"/>
      <c r="FI513" s="663"/>
      <c r="FJ513" s="663"/>
      <c r="FK513" s="663"/>
      <c r="FL513" s="663"/>
      <c r="FM513" s="663"/>
      <c r="FN513" s="663"/>
      <c r="FO513" s="663"/>
      <c r="FP513" s="663"/>
      <c r="FQ513" s="663"/>
      <c r="FR513" s="663"/>
      <c r="FS513" s="663"/>
      <c r="FT513" s="663"/>
      <c r="FU513" s="663"/>
      <c r="FV513" s="663"/>
      <c r="FW513" s="663"/>
      <c r="FX513" s="663"/>
      <c r="FY513" s="663"/>
      <c r="FZ513" s="663"/>
      <c r="GA513" s="663"/>
      <c r="GB513" s="663"/>
      <c r="GC513" s="663"/>
      <c r="GD513" s="663"/>
      <c r="GE513" s="663"/>
      <c r="GF513" s="663"/>
      <c r="GG513" s="663"/>
    </row>
    <row r="514" spans="1:189">
      <c r="A514" s="670"/>
      <c r="B514" s="670"/>
      <c r="C514" s="670"/>
      <c r="D514" s="670"/>
      <c r="E514" s="670"/>
      <c r="F514" s="670"/>
      <c r="G514" s="673"/>
      <c r="H514" s="627"/>
      <c r="I514" s="627"/>
      <c r="J514" s="672"/>
      <c r="K514" s="663"/>
      <c r="L514" s="663"/>
      <c r="M514" s="663"/>
      <c r="N514" s="663"/>
      <c r="O514" s="663"/>
      <c r="P514" s="663"/>
      <c r="Q514" s="663"/>
      <c r="R514" s="663"/>
      <c r="S514" s="663"/>
      <c r="T514" s="663"/>
      <c r="U514" s="663"/>
      <c r="V514" s="663"/>
      <c r="W514" s="663"/>
      <c r="X514" s="663"/>
      <c r="Y514" s="663"/>
      <c r="Z514" s="663"/>
      <c r="AA514" s="663"/>
      <c r="AB514" s="663"/>
      <c r="AC514" s="663"/>
      <c r="AD514" s="663"/>
      <c r="AE514" s="663"/>
      <c r="AF514" s="663"/>
      <c r="AG514" s="663"/>
      <c r="AH514" s="663"/>
      <c r="AI514" s="663"/>
      <c r="AJ514" s="663"/>
      <c r="AK514" s="663"/>
      <c r="AL514" s="663"/>
      <c r="AM514" s="663"/>
      <c r="AN514" s="663"/>
      <c r="AO514" s="663"/>
      <c r="AP514" s="663"/>
      <c r="AQ514" s="663"/>
      <c r="AR514" s="663"/>
      <c r="AS514" s="663"/>
      <c r="AT514" s="663"/>
      <c r="AU514" s="663"/>
      <c r="AV514" s="663"/>
      <c r="AW514" s="663"/>
      <c r="AX514" s="663"/>
      <c r="AY514" s="663"/>
      <c r="AZ514" s="663"/>
      <c r="BA514" s="663"/>
      <c r="BB514" s="663"/>
      <c r="BC514" s="663"/>
      <c r="BD514" s="663"/>
      <c r="BE514" s="663"/>
      <c r="BF514" s="663"/>
      <c r="BG514" s="663"/>
      <c r="BH514" s="663"/>
      <c r="BI514" s="663"/>
      <c r="BJ514" s="663"/>
      <c r="BK514" s="663"/>
      <c r="BL514" s="663"/>
      <c r="BM514" s="663"/>
      <c r="BN514" s="663"/>
      <c r="BO514" s="663"/>
      <c r="BP514" s="663"/>
      <c r="BQ514" s="663"/>
      <c r="BR514" s="663"/>
      <c r="BS514" s="663"/>
      <c r="BT514" s="663"/>
      <c r="BU514" s="663"/>
      <c r="BV514" s="663"/>
      <c r="BW514" s="663"/>
      <c r="BX514" s="663"/>
      <c r="BY514" s="663"/>
      <c r="BZ514" s="663"/>
      <c r="CA514" s="663"/>
      <c r="CB514" s="663"/>
      <c r="CC514" s="663"/>
      <c r="CD514" s="663"/>
      <c r="CE514" s="663"/>
      <c r="CF514" s="663"/>
      <c r="CG514" s="663"/>
      <c r="CH514" s="663"/>
      <c r="CI514" s="663"/>
      <c r="CJ514" s="663"/>
      <c r="CK514" s="663"/>
      <c r="CL514" s="663"/>
      <c r="CM514" s="663"/>
      <c r="CN514" s="663"/>
      <c r="CO514" s="663"/>
      <c r="CP514" s="663"/>
      <c r="CQ514" s="663"/>
      <c r="CR514" s="663"/>
      <c r="CS514" s="663"/>
      <c r="CT514" s="663"/>
      <c r="CU514" s="663"/>
      <c r="CV514" s="663"/>
      <c r="CW514" s="663"/>
      <c r="CX514" s="663"/>
      <c r="CY514" s="663"/>
      <c r="CZ514" s="663"/>
      <c r="DA514" s="663"/>
      <c r="DB514" s="663"/>
      <c r="DC514" s="663"/>
      <c r="DD514" s="663"/>
      <c r="DE514" s="663"/>
      <c r="DF514" s="663"/>
      <c r="DG514" s="663"/>
      <c r="DH514" s="663"/>
      <c r="DI514" s="663"/>
      <c r="DJ514" s="663"/>
      <c r="DK514" s="663"/>
      <c r="DL514" s="663"/>
      <c r="DM514" s="663"/>
      <c r="DN514" s="663"/>
      <c r="DO514" s="663"/>
      <c r="DP514" s="663"/>
      <c r="DQ514" s="663"/>
      <c r="DR514" s="663"/>
      <c r="DS514" s="663"/>
      <c r="DT514" s="663"/>
      <c r="DU514" s="663"/>
      <c r="DV514" s="663"/>
      <c r="DW514" s="663"/>
      <c r="DX514" s="663"/>
      <c r="DY514" s="663"/>
      <c r="DZ514" s="663"/>
      <c r="EA514" s="663"/>
      <c r="EB514" s="663"/>
      <c r="EC514" s="663"/>
      <c r="ED514" s="663"/>
      <c r="EE514" s="663"/>
      <c r="EF514" s="663"/>
      <c r="EG514" s="663"/>
      <c r="EH514" s="663"/>
      <c r="EI514" s="663"/>
      <c r="EJ514" s="663"/>
      <c r="EK514" s="663"/>
      <c r="EL514" s="663"/>
      <c r="EM514" s="663"/>
      <c r="EN514" s="663"/>
      <c r="EO514" s="663"/>
      <c r="EP514" s="663"/>
      <c r="EQ514" s="663"/>
      <c r="ER514" s="663"/>
      <c r="ES514" s="663"/>
      <c r="ET514" s="663"/>
      <c r="EU514" s="663"/>
      <c r="EV514" s="663"/>
      <c r="EW514" s="663"/>
      <c r="EX514" s="663"/>
      <c r="EY514" s="663"/>
      <c r="EZ514" s="663"/>
      <c r="FA514" s="663"/>
      <c r="FB514" s="663"/>
      <c r="FC514" s="663"/>
      <c r="FD514" s="663"/>
      <c r="FE514" s="663"/>
      <c r="FF514" s="663"/>
      <c r="FG514" s="663"/>
      <c r="FH514" s="663"/>
      <c r="FI514" s="663"/>
      <c r="FJ514" s="663"/>
      <c r="FK514" s="663"/>
      <c r="FL514" s="663"/>
      <c r="FM514" s="663"/>
      <c r="FN514" s="663"/>
      <c r="FO514" s="663"/>
      <c r="FP514" s="663"/>
      <c r="FQ514" s="663"/>
      <c r="FR514" s="663"/>
      <c r="FS514" s="663"/>
      <c r="FT514" s="663"/>
      <c r="FU514" s="663"/>
      <c r="FV514" s="663"/>
      <c r="FW514" s="663"/>
      <c r="FX514" s="663"/>
      <c r="FY514" s="663"/>
      <c r="FZ514" s="663"/>
      <c r="GA514" s="663"/>
      <c r="GB514" s="663"/>
      <c r="GC514" s="663"/>
      <c r="GD514" s="663"/>
      <c r="GE514" s="663"/>
      <c r="GF514" s="663"/>
      <c r="GG514" s="663"/>
    </row>
    <row r="515" spans="1:189">
      <c r="A515" s="670"/>
      <c r="B515" s="670"/>
      <c r="C515" s="670"/>
      <c r="D515" s="670"/>
      <c r="E515" s="670"/>
      <c r="F515" s="670"/>
      <c r="G515" s="673"/>
      <c r="H515" s="627"/>
      <c r="I515" s="627"/>
      <c r="J515" s="672"/>
      <c r="K515" s="663"/>
      <c r="L515" s="663"/>
      <c r="M515" s="663"/>
      <c r="N515" s="663"/>
      <c r="O515" s="663"/>
      <c r="P515" s="663"/>
      <c r="Q515" s="663"/>
      <c r="R515" s="663"/>
      <c r="S515" s="663"/>
      <c r="T515" s="663"/>
      <c r="U515" s="663"/>
      <c r="V515" s="663"/>
      <c r="W515" s="663"/>
      <c r="X515" s="663"/>
      <c r="Y515" s="663"/>
      <c r="Z515" s="663"/>
      <c r="AA515" s="663"/>
      <c r="AB515" s="663"/>
      <c r="AC515" s="663"/>
      <c r="AD515" s="663"/>
      <c r="AE515" s="663"/>
      <c r="AF515" s="663"/>
      <c r="AG515" s="663"/>
      <c r="AH515" s="663"/>
      <c r="AI515" s="663"/>
      <c r="AJ515" s="663"/>
      <c r="AK515" s="663"/>
      <c r="AL515" s="663"/>
      <c r="AM515" s="663"/>
      <c r="AN515" s="663"/>
      <c r="AO515" s="663"/>
      <c r="AP515" s="663"/>
      <c r="AQ515" s="663"/>
      <c r="AR515" s="663"/>
      <c r="AS515" s="663"/>
      <c r="AT515" s="663"/>
      <c r="AU515" s="663"/>
      <c r="AV515" s="663"/>
      <c r="AW515" s="663"/>
      <c r="AX515" s="663"/>
      <c r="AY515" s="663"/>
      <c r="AZ515" s="663"/>
      <c r="BA515" s="663"/>
      <c r="BB515" s="663"/>
      <c r="BC515" s="663"/>
      <c r="BD515" s="663"/>
      <c r="BE515" s="663"/>
      <c r="BF515" s="663"/>
      <c r="BG515" s="663"/>
      <c r="BH515" s="663"/>
      <c r="BI515" s="663"/>
      <c r="BJ515" s="663"/>
      <c r="BK515" s="663"/>
      <c r="BL515" s="663"/>
      <c r="BM515" s="663"/>
      <c r="BN515" s="663"/>
      <c r="BO515" s="663"/>
      <c r="BP515" s="663"/>
      <c r="BQ515" s="663"/>
      <c r="BR515" s="663"/>
      <c r="BS515" s="663"/>
      <c r="BT515" s="663"/>
      <c r="BU515" s="663"/>
      <c r="BV515" s="663"/>
      <c r="BW515" s="663"/>
      <c r="BX515" s="663"/>
      <c r="BY515" s="663"/>
      <c r="BZ515" s="663"/>
      <c r="CA515" s="663"/>
      <c r="CB515" s="663"/>
      <c r="CC515" s="663"/>
      <c r="CD515" s="663"/>
      <c r="CE515" s="663"/>
      <c r="CF515" s="663"/>
      <c r="CG515" s="663"/>
      <c r="CH515" s="663"/>
      <c r="CI515" s="663"/>
      <c r="CJ515" s="663"/>
      <c r="CK515" s="663"/>
      <c r="CL515" s="663"/>
      <c r="CM515" s="663"/>
      <c r="CN515" s="663"/>
      <c r="CO515" s="663"/>
      <c r="CP515" s="663"/>
      <c r="CQ515" s="663"/>
      <c r="CR515" s="663"/>
      <c r="CS515" s="663"/>
      <c r="CT515" s="663"/>
      <c r="CU515" s="663"/>
      <c r="CV515" s="663"/>
      <c r="CW515" s="663"/>
      <c r="CX515" s="663"/>
      <c r="CY515" s="663"/>
      <c r="CZ515" s="663"/>
      <c r="DA515" s="663"/>
      <c r="DB515" s="663"/>
      <c r="DC515" s="663"/>
      <c r="DD515" s="663"/>
      <c r="DE515" s="663"/>
      <c r="DF515" s="663"/>
      <c r="DG515" s="663"/>
      <c r="DH515" s="663"/>
      <c r="DI515" s="663"/>
      <c r="DJ515" s="663"/>
      <c r="DK515" s="663"/>
      <c r="DL515" s="663"/>
      <c r="DM515" s="663"/>
      <c r="DN515" s="663"/>
      <c r="DO515" s="663"/>
      <c r="DP515" s="663"/>
      <c r="DQ515" s="663"/>
      <c r="DR515" s="663"/>
      <c r="DS515" s="663"/>
      <c r="DT515" s="663"/>
      <c r="DU515" s="663"/>
      <c r="DV515" s="663"/>
      <c r="DW515" s="663"/>
      <c r="DX515" s="663"/>
      <c r="DY515" s="663"/>
      <c r="DZ515" s="663"/>
      <c r="EA515" s="663"/>
      <c r="EB515" s="663"/>
      <c r="EC515" s="663"/>
      <c r="ED515" s="663"/>
      <c r="EE515" s="663"/>
      <c r="EF515" s="663"/>
      <c r="EG515" s="663"/>
      <c r="EH515" s="663"/>
      <c r="EI515" s="663"/>
      <c r="EJ515" s="663"/>
      <c r="EK515" s="663"/>
      <c r="EL515" s="663"/>
      <c r="EM515" s="663"/>
      <c r="EN515" s="663"/>
      <c r="EO515" s="663"/>
      <c r="EP515" s="663"/>
      <c r="EQ515" s="663"/>
      <c r="ER515" s="663"/>
      <c r="ES515" s="663"/>
      <c r="ET515" s="663"/>
      <c r="EU515" s="663"/>
      <c r="EV515" s="663"/>
      <c r="EW515" s="663"/>
      <c r="EX515" s="663"/>
      <c r="EY515" s="663"/>
      <c r="EZ515" s="663"/>
      <c r="FA515" s="663"/>
      <c r="FB515" s="663"/>
      <c r="FC515" s="663"/>
      <c r="FD515" s="663"/>
      <c r="FE515" s="663"/>
      <c r="FF515" s="663"/>
      <c r="FG515" s="663"/>
      <c r="FH515" s="663"/>
      <c r="FI515" s="663"/>
      <c r="FJ515" s="663"/>
      <c r="FK515" s="663"/>
      <c r="FL515" s="663"/>
      <c r="FM515" s="663"/>
      <c r="FN515" s="663"/>
      <c r="FO515" s="663"/>
      <c r="FP515" s="663"/>
      <c r="FQ515" s="663"/>
      <c r="FR515" s="663"/>
      <c r="FS515" s="663"/>
      <c r="FT515" s="663"/>
      <c r="FU515" s="663"/>
      <c r="FV515" s="663"/>
      <c r="FW515" s="663"/>
      <c r="FX515" s="663"/>
      <c r="FY515" s="663"/>
      <c r="FZ515" s="663"/>
      <c r="GA515" s="663"/>
      <c r="GB515" s="663"/>
      <c r="GC515" s="663"/>
      <c r="GD515" s="663"/>
      <c r="GE515" s="663"/>
      <c r="GF515" s="663"/>
      <c r="GG515" s="663"/>
    </row>
    <row r="516" spans="1:189">
      <c r="A516" s="670"/>
      <c r="B516" s="670"/>
      <c r="C516" s="670"/>
      <c r="D516" s="670"/>
      <c r="E516" s="670"/>
      <c r="F516" s="670"/>
      <c r="G516" s="673"/>
      <c r="H516" s="627"/>
      <c r="I516" s="627"/>
      <c r="J516" s="672"/>
      <c r="K516" s="663"/>
      <c r="L516" s="663"/>
      <c r="M516" s="663"/>
      <c r="N516" s="663"/>
      <c r="O516" s="663"/>
      <c r="P516" s="663"/>
      <c r="Q516" s="663"/>
      <c r="R516" s="663"/>
      <c r="S516" s="663"/>
      <c r="T516" s="663"/>
      <c r="U516" s="663"/>
      <c r="V516" s="663"/>
      <c r="W516" s="663"/>
      <c r="X516" s="663"/>
      <c r="Y516" s="663"/>
      <c r="Z516" s="663"/>
      <c r="AA516" s="663"/>
      <c r="AB516" s="663"/>
      <c r="AC516" s="663"/>
      <c r="AD516" s="663"/>
      <c r="AE516" s="663"/>
      <c r="AF516" s="663"/>
      <c r="AG516" s="663"/>
      <c r="AH516" s="663"/>
      <c r="AI516" s="663"/>
      <c r="AJ516" s="663"/>
      <c r="AK516" s="663"/>
      <c r="AL516" s="663"/>
      <c r="AM516" s="663"/>
      <c r="AN516" s="663"/>
      <c r="AO516" s="663"/>
      <c r="AP516" s="663"/>
      <c r="AQ516" s="663"/>
      <c r="AR516" s="663"/>
      <c r="AS516" s="663"/>
      <c r="AT516" s="663"/>
      <c r="AU516" s="663"/>
      <c r="AV516" s="663"/>
      <c r="AW516" s="663"/>
      <c r="AX516" s="663"/>
      <c r="AY516" s="663"/>
      <c r="AZ516" s="663"/>
      <c r="BA516" s="663"/>
      <c r="BB516" s="663"/>
      <c r="BC516" s="663"/>
      <c r="BD516" s="663"/>
      <c r="BE516" s="663"/>
      <c r="BF516" s="663"/>
      <c r="BG516" s="663"/>
      <c r="BH516" s="663"/>
      <c r="BI516" s="663"/>
      <c r="BJ516" s="663"/>
      <c r="BK516" s="663"/>
      <c r="BL516" s="663"/>
      <c r="BM516" s="663"/>
      <c r="BN516" s="663"/>
      <c r="BO516" s="663"/>
      <c r="BP516" s="663"/>
      <c r="BQ516" s="663"/>
      <c r="BR516" s="663"/>
      <c r="BS516" s="663"/>
      <c r="BT516" s="663"/>
      <c r="BU516" s="663"/>
      <c r="BV516" s="663"/>
      <c r="BW516" s="663"/>
      <c r="BX516" s="663"/>
      <c r="BY516" s="663"/>
      <c r="BZ516" s="663"/>
      <c r="CA516" s="663"/>
      <c r="CB516" s="663"/>
      <c r="CC516" s="663"/>
      <c r="CD516" s="663"/>
      <c r="CE516" s="663"/>
      <c r="CF516" s="663"/>
      <c r="CG516" s="663"/>
      <c r="CH516" s="663"/>
      <c r="CI516" s="663"/>
      <c r="CJ516" s="663"/>
      <c r="CK516" s="663"/>
      <c r="CL516" s="663"/>
      <c r="CM516" s="663"/>
      <c r="CN516" s="663"/>
      <c r="CO516" s="663"/>
      <c r="CP516" s="663"/>
      <c r="CQ516" s="663"/>
      <c r="CR516" s="663"/>
      <c r="CS516" s="663"/>
      <c r="CT516" s="663"/>
      <c r="CU516" s="663"/>
      <c r="CV516" s="663"/>
      <c r="CW516" s="663"/>
      <c r="CX516" s="663"/>
      <c r="CY516" s="663"/>
      <c r="CZ516" s="663"/>
      <c r="DA516" s="663"/>
      <c r="DB516" s="663"/>
      <c r="DC516" s="663"/>
      <c r="DD516" s="663"/>
      <c r="DE516" s="663"/>
      <c r="DF516" s="663"/>
      <c r="DG516" s="663"/>
      <c r="DH516" s="663"/>
      <c r="DI516" s="663"/>
      <c r="DJ516" s="663"/>
      <c r="DK516" s="663"/>
      <c r="DL516" s="663"/>
      <c r="DM516" s="663"/>
      <c r="DN516" s="663"/>
      <c r="DO516" s="663"/>
      <c r="DP516" s="663"/>
      <c r="DQ516" s="663"/>
      <c r="DR516" s="663"/>
      <c r="DS516" s="663"/>
      <c r="DT516" s="663"/>
      <c r="DU516" s="663"/>
      <c r="DV516" s="663"/>
      <c r="DW516" s="663"/>
      <c r="DX516" s="663"/>
      <c r="DY516" s="663"/>
      <c r="DZ516" s="663"/>
      <c r="EA516" s="663"/>
      <c r="EB516" s="663"/>
      <c r="EC516" s="663"/>
      <c r="ED516" s="663"/>
      <c r="EE516" s="663"/>
      <c r="EF516" s="663"/>
      <c r="EG516" s="663"/>
      <c r="EH516" s="663"/>
      <c r="EI516" s="663"/>
      <c r="EJ516" s="663"/>
      <c r="EK516" s="663"/>
      <c r="EL516" s="663"/>
      <c r="EM516" s="663"/>
      <c r="EN516" s="663"/>
      <c r="EO516" s="663"/>
      <c r="EP516" s="663"/>
      <c r="EQ516" s="663"/>
      <c r="ER516" s="663"/>
      <c r="ES516" s="663"/>
      <c r="ET516" s="663"/>
      <c r="EU516" s="663"/>
      <c r="EV516" s="663"/>
      <c r="EW516" s="663"/>
      <c r="EX516" s="663"/>
      <c r="EY516" s="663"/>
      <c r="EZ516" s="663"/>
      <c r="FA516" s="663"/>
      <c r="FB516" s="663"/>
      <c r="FC516" s="663"/>
      <c r="FD516" s="663"/>
      <c r="FE516" s="663"/>
      <c r="FF516" s="663"/>
      <c r="FG516" s="663"/>
      <c r="FH516" s="663"/>
      <c r="FI516" s="663"/>
      <c r="FJ516" s="663"/>
      <c r="FK516" s="663"/>
      <c r="FL516" s="663"/>
      <c r="FM516" s="663"/>
      <c r="FN516" s="663"/>
      <c r="FO516" s="663"/>
      <c r="FP516" s="663"/>
      <c r="FQ516" s="663"/>
      <c r="FR516" s="663"/>
      <c r="FS516" s="663"/>
      <c r="FT516" s="663"/>
      <c r="FU516" s="663"/>
      <c r="FV516" s="663"/>
      <c r="FW516" s="663"/>
      <c r="FX516" s="663"/>
      <c r="FY516" s="663"/>
      <c r="FZ516" s="663"/>
      <c r="GA516" s="663"/>
      <c r="GB516" s="663"/>
      <c r="GC516" s="663"/>
      <c r="GD516" s="663"/>
      <c r="GE516" s="663"/>
      <c r="GF516" s="663"/>
      <c r="GG516" s="663"/>
    </row>
    <row r="517" spans="1:189">
      <c r="A517" s="670"/>
      <c r="B517" s="670"/>
      <c r="C517" s="670"/>
      <c r="D517" s="670"/>
      <c r="E517" s="670"/>
      <c r="F517" s="670"/>
      <c r="G517" s="673"/>
      <c r="H517" s="627"/>
      <c r="I517" s="627"/>
      <c r="J517" s="672"/>
      <c r="K517" s="663"/>
      <c r="L517" s="663"/>
      <c r="M517" s="663"/>
      <c r="N517" s="663"/>
      <c r="O517" s="663"/>
      <c r="P517" s="663"/>
      <c r="Q517" s="663"/>
      <c r="R517" s="663"/>
      <c r="S517" s="663"/>
      <c r="T517" s="663"/>
      <c r="U517" s="663"/>
      <c r="V517" s="663"/>
      <c r="W517" s="663"/>
      <c r="X517" s="663"/>
      <c r="Y517" s="663"/>
      <c r="Z517" s="663"/>
      <c r="AA517" s="663"/>
      <c r="AB517" s="663"/>
      <c r="AC517" s="663"/>
      <c r="AD517" s="663"/>
      <c r="AE517" s="663"/>
      <c r="AF517" s="663"/>
      <c r="AG517" s="663"/>
      <c r="AH517" s="663"/>
      <c r="AI517" s="663"/>
      <c r="AJ517" s="663"/>
      <c r="AK517" s="663"/>
      <c r="AL517" s="663"/>
      <c r="AM517" s="663"/>
      <c r="AN517" s="663"/>
      <c r="AO517" s="663"/>
      <c r="AP517" s="663"/>
      <c r="AQ517" s="663"/>
      <c r="AR517" s="663"/>
      <c r="AS517" s="663"/>
      <c r="AT517" s="663"/>
      <c r="AU517" s="663"/>
      <c r="AV517" s="663"/>
      <c r="AW517" s="663"/>
      <c r="AX517" s="663"/>
      <c r="AY517" s="663"/>
      <c r="AZ517" s="663"/>
      <c r="BA517" s="663"/>
      <c r="BB517" s="663"/>
      <c r="BC517" s="663"/>
      <c r="BD517" s="663"/>
      <c r="BE517" s="663"/>
      <c r="BF517" s="663"/>
      <c r="BG517" s="663"/>
      <c r="BH517" s="663"/>
      <c r="BI517" s="663"/>
      <c r="BJ517" s="663"/>
      <c r="BK517" s="663"/>
      <c r="BL517" s="663"/>
      <c r="BM517" s="663"/>
      <c r="BN517" s="663"/>
      <c r="BO517" s="663"/>
      <c r="BP517" s="663"/>
      <c r="BQ517" s="663"/>
      <c r="BR517" s="663"/>
      <c r="BS517" s="663"/>
      <c r="BT517" s="663"/>
      <c r="BU517" s="663"/>
      <c r="BV517" s="663"/>
      <c r="BW517" s="663"/>
      <c r="BX517" s="663"/>
      <c r="BY517" s="663"/>
      <c r="BZ517" s="663"/>
      <c r="CA517" s="663"/>
      <c r="CB517" s="663"/>
      <c r="CC517" s="663"/>
      <c r="CD517" s="663"/>
      <c r="CE517" s="663"/>
      <c r="CF517" s="663"/>
      <c r="CG517" s="663"/>
      <c r="CH517" s="663"/>
      <c r="CI517" s="663"/>
      <c r="CJ517" s="663"/>
      <c r="CK517" s="663"/>
      <c r="CL517" s="663"/>
      <c r="CM517" s="663"/>
      <c r="CN517" s="663"/>
      <c r="CO517" s="663"/>
      <c r="CP517" s="663"/>
      <c r="CQ517" s="663"/>
      <c r="CR517" s="663"/>
      <c r="CS517" s="663"/>
      <c r="CT517" s="663"/>
      <c r="CU517" s="663"/>
      <c r="CV517" s="663"/>
      <c r="CW517" s="663"/>
      <c r="CX517" s="663"/>
      <c r="CY517" s="663"/>
      <c r="CZ517" s="663"/>
      <c r="DA517" s="663"/>
      <c r="DB517" s="663"/>
      <c r="DC517" s="663"/>
      <c r="DD517" s="663"/>
      <c r="DE517" s="663"/>
      <c r="DF517" s="663"/>
      <c r="DG517" s="663"/>
      <c r="DH517" s="663"/>
      <c r="DI517" s="663"/>
      <c r="DJ517" s="663"/>
      <c r="DK517" s="663"/>
      <c r="DL517" s="663"/>
      <c r="DM517" s="663"/>
      <c r="DN517" s="663"/>
      <c r="DO517" s="663"/>
      <c r="DP517" s="663"/>
      <c r="DQ517" s="663"/>
      <c r="DR517" s="663"/>
      <c r="DS517" s="663"/>
      <c r="DT517" s="663"/>
      <c r="DU517" s="663"/>
      <c r="DV517" s="663"/>
      <c r="DW517" s="663"/>
      <c r="DX517" s="663"/>
      <c r="DY517" s="663"/>
      <c r="DZ517" s="663"/>
      <c r="EA517" s="663"/>
      <c r="EB517" s="663"/>
      <c r="EC517" s="663"/>
      <c r="ED517" s="663"/>
      <c r="EE517" s="663"/>
      <c r="EF517" s="663"/>
      <c r="EG517" s="663"/>
      <c r="EH517" s="663"/>
      <c r="EI517" s="663"/>
      <c r="EJ517" s="663"/>
      <c r="EK517" s="663"/>
      <c r="EL517" s="663"/>
      <c r="EM517" s="663"/>
      <c r="EN517" s="663"/>
      <c r="EO517" s="663"/>
      <c r="EP517" s="663"/>
      <c r="EQ517" s="663"/>
      <c r="ER517" s="663"/>
      <c r="ES517" s="663"/>
      <c r="ET517" s="663"/>
      <c r="EU517" s="663"/>
      <c r="EV517" s="663"/>
      <c r="EW517" s="663"/>
      <c r="EX517" s="663"/>
      <c r="EY517" s="663"/>
      <c r="EZ517" s="663"/>
      <c r="FA517" s="663"/>
      <c r="FB517" s="663"/>
      <c r="FC517" s="663"/>
      <c r="FD517" s="663"/>
      <c r="FE517" s="663"/>
      <c r="FF517" s="663"/>
      <c r="FG517" s="663"/>
      <c r="FH517" s="663"/>
      <c r="FI517" s="663"/>
      <c r="FJ517" s="663"/>
      <c r="FK517" s="663"/>
      <c r="FL517" s="663"/>
      <c r="FM517" s="663"/>
      <c r="FN517" s="663"/>
      <c r="FO517" s="663"/>
      <c r="FP517" s="663"/>
      <c r="FQ517" s="663"/>
      <c r="FR517" s="663"/>
      <c r="FS517" s="663"/>
      <c r="FT517" s="663"/>
      <c r="FU517" s="663"/>
      <c r="FV517" s="663"/>
      <c r="FW517" s="663"/>
      <c r="FX517" s="663"/>
      <c r="FY517" s="663"/>
      <c r="FZ517" s="663"/>
      <c r="GA517" s="663"/>
      <c r="GB517" s="663"/>
      <c r="GC517" s="663"/>
      <c r="GD517" s="663"/>
      <c r="GE517" s="663"/>
      <c r="GF517" s="663"/>
      <c r="GG517" s="663"/>
    </row>
    <row r="518" spans="1:189">
      <c r="A518" s="670"/>
      <c r="B518" s="670"/>
      <c r="C518" s="670"/>
      <c r="D518" s="670"/>
      <c r="E518" s="670"/>
      <c r="F518" s="670"/>
      <c r="G518" s="673"/>
      <c r="H518" s="627"/>
      <c r="I518" s="627"/>
      <c r="J518" s="672"/>
      <c r="K518" s="663"/>
      <c r="L518" s="663"/>
      <c r="M518" s="663"/>
      <c r="N518" s="663"/>
      <c r="O518" s="663"/>
      <c r="P518" s="663"/>
      <c r="Q518" s="663"/>
      <c r="R518" s="663"/>
      <c r="S518" s="663"/>
      <c r="T518" s="663"/>
      <c r="U518" s="663"/>
      <c r="V518" s="663"/>
      <c r="W518" s="663"/>
      <c r="X518" s="663"/>
      <c r="Y518" s="663"/>
      <c r="Z518" s="663"/>
      <c r="AA518" s="663"/>
      <c r="AB518" s="663"/>
      <c r="AC518" s="663"/>
      <c r="AD518" s="663"/>
      <c r="AE518" s="663"/>
      <c r="AF518" s="663"/>
      <c r="AG518" s="663"/>
      <c r="AH518" s="663"/>
      <c r="AI518" s="663"/>
      <c r="AJ518" s="663"/>
      <c r="AK518" s="663"/>
      <c r="AL518" s="663"/>
      <c r="AM518" s="663"/>
      <c r="AN518" s="663"/>
      <c r="AO518" s="663"/>
      <c r="AP518" s="663"/>
      <c r="AQ518" s="663"/>
      <c r="AR518" s="663"/>
      <c r="AS518" s="663"/>
      <c r="AT518" s="663"/>
      <c r="AU518" s="663"/>
      <c r="AV518" s="663"/>
      <c r="AW518" s="663"/>
      <c r="AX518" s="663"/>
      <c r="AY518" s="663"/>
      <c r="AZ518" s="663"/>
      <c r="BA518" s="663"/>
      <c r="BB518" s="663"/>
      <c r="BC518" s="663"/>
      <c r="BD518" s="663"/>
      <c r="BE518" s="663"/>
      <c r="BF518" s="663"/>
      <c r="BG518" s="663"/>
      <c r="BH518" s="663"/>
      <c r="BI518" s="663"/>
      <c r="BJ518" s="663"/>
      <c r="BK518" s="663"/>
      <c r="BL518" s="663"/>
      <c r="BM518" s="663"/>
      <c r="BN518" s="663"/>
      <c r="BO518" s="663"/>
      <c r="BP518" s="663"/>
      <c r="BQ518" s="663"/>
      <c r="BR518" s="663"/>
      <c r="BS518" s="663"/>
      <c r="BT518" s="663"/>
      <c r="BU518" s="663"/>
      <c r="BV518" s="663"/>
      <c r="BW518" s="663"/>
      <c r="BX518" s="663"/>
      <c r="BY518" s="663"/>
      <c r="BZ518" s="663"/>
      <c r="CA518" s="663"/>
      <c r="CB518" s="663"/>
      <c r="CC518" s="663"/>
      <c r="CD518" s="663"/>
      <c r="CE518" s="663"/>
      <c r="CF518" s="663"/>
      <c r="CG518" s="663"/>
      <c r="CH518" s="663"/>
      <c r="CI518" s="663"/>
      <c r="CJ518" s="663"/>
      <c r="CK518" s="663"/>
      <c r="CL518" s="663"/>
      <c r="CM518" s="663"/>
      <c r="CN518" s="663"/>
      <c r="CO518" s="663"/>
      <c r="CP518" s="663"/>
      <c r="CQ518" s="663"/>
      <c r="CR518" s="663"/>
      <c r="CS518" s="663"/>
      <c r="CT518" s="663"/>
      <c r="CU518" s="663"/>
      <c r="CV518" s="663"/>
      <c r="CW518" s="663"/>
      <c r="CX518" s="663"/>
      <c r="CY518" s="663"/>
      <c r="CZ518" s="663"/>
      <c r="DA518" s="663"/>
      <c r="DB518" s="663"/>
      <c r="DC518" s="663"/>
      <c r="DD518" s="663"/>
      <c r="DE518" s="663"/>
      <c r="DF518" s="663"/>
      <c r="DG518" s="663"/>
      <c r="DH518" s="663"/>
      <c r="DI518" s="663"/>
      <c r="DJ518" s="663"/>
      <c r="DK518" s="663"/>
      <c r="DL518" s="663"/>
      <c r="DM518" s="663"/>
      <c r="DN518" s="663"/>
      <c r="DO518" s="663"/>
      <c r="DP518" s="663"/>
      <c r="DQ518" s="663"/>
      <c r="DR518" s="663"/>
      <c r="DS518" s="663"/>
      <c r="DT518" s="663"/>
      <c r="DU518" s="663"/>
      <c r="DV518" s="663"/>
      <c r="DW518" s="663"/>
      <c r="DX518" s="663"/>
      <c r="DY518" s="663"/>
      <c r="DZ518" s="663"/>
      <c r="EA518" s="663"/>
      <c r="EB518" s="663"/>
      <c r="EC518" s="663"/>
      <c r="ED518" s="663"/>
      <c r="EE518" s="663"/>
      <c r="EF518" s="663"/>
      <c r="EG518" s="663"/>
      <c r="EH518" s="663"/>
      <c r="EI518" s="663"/>
      <c r="EJ518" s="663"/>
      <c r="EK518" s="663"/>
      <c r="EL518" s="663"/>
      <c r="EM518" s="663"/>
      <c r="EN518" s="663"/>
      <c r="EO518" s="663"/>
      <c r="EP518" s="663"/>
      <c r="EQ518" s="663"/>
      <c r="ER518" s="663"/>
      <c r="ES518" s="663"/>
      <c r="ET518" s="663"/>
      <c r="EU518" s="663"/>
      <c r="EV518" s="663"/>
      <c r="EW518" s="663"/>
      <c r="EX518" s="663"/>
      <c r="EY518" s="663"/>
      <c r="EZ518" s="663"/>
      <c r="FA518" s="663"/>
      <c r="FB518" s="663"/>
      <c r="FC518" s="663"/>
      <c r="FD518" s="663"/>
      <c r="FE518" s="663"/>
      <c r="FF518" s="663"/>
      <c r="FG518" s="663"/>
      <c r="FH518" s="663"/>
      <c r="FI518" s="663"/>
      <c r="FJ518" s="663"/>
      <c r="FK518" s="663"/>
      <c r="FL518" s="663"/>
      <c r="FM518" s="663"/>
      <c r="FN518" s="663"/>
      <c r="FO518" s="663"/>
      <c r="FP518" s="663"/>
      <c r="FQ518" s="663"/>
      <c r="FR518" s="663"/>
      <c r="FS518" s="663"/>
      <c r="FT518" s="663"/>
      <c r="FU518" s="663"/>
      <c r="FV518" s="663"/>
      <c r="FW518" s="663"/>
      <c r="FX518" s="663"/>
      <c r="FY518" s="663"/>
      <c r="FZ518" s="663"/>
      <c r="GA518" s="663"/>
      <c r="GB518" s="663"/>
      <c r="GC518" s="663"/>
      <c r="GD518" s="663"/>
      <c r="GE518" s="663"/>
      <c r="GF518" s="663"/>
      <c r="GG518" s="663"/>
    </row>
    <row r="519" spans="1:189">
      <c r="A519" s="670"/>
      <c r="B519" s="670"/>
      <c r="C519" s="670"/>
      <c r="D519" s="670"/>
      <c r="E519" s="670"/>
      <c r="F519" s="670"/>
      <c r="G519" s="673"/>
      <c r="H519" s="627"/>
      <c r="I519" s="627"/>
      <c r="J519" s="672"/>
      <c r="K519" s="663"/>
      <c r="L519" s="663"/>
      <c r="M519" s="663"/>
      <c r="N519" s="663"/>
      <c r="O519" s="663"/>
      <c r="P519" s="663"/>
      <c r="Q519" s="663"/>
      <c r="R519" s="663"/>
      <c r="S519" s="663"/>
      <c r="T519" s="663"/>
      <c r="U519" s="663"/>
      <c r="V519" s="663"/>
      <c r="W519" s="663"/>
      <c r="X519" s="663"/>
      <c r="Y519" s="663"/>
      <c r="Z519" s="663"/>
      <c r="AA519" s="663"/>
      <c r="AB519" s="663"/>
      <c r="AC519" s="663"/>
      <c r="AD519" s="663"/>
      <c r="AE519" s="663"/>
      <c r="AF519" s="663"/>
      <c r="AG519" s="663"/>
      <c r="AH519" s="663"/>
      <c r="AI519" s="663"/>
      <c r="AJ519" s="663"/>
      <c r="AK519" s="663"/>
      <c r="AL519" s="663"/>
      <c r="AM519" s="663"/>
      <c r="AN519" s="663"/>
      <c r="AO519" s="663"/>
      <c r="AP519" s="663"/>
      <c r="AQ519" s="663"/>
      <c r="AR519" s="663"/>
      <c r="AS519" s="663"/>
      <c r="AT519" s="663"/>
      <c r="AU519" s="663"/>
      <c r="AV519" s="663"/>
      <c r="AW519" s="663"/>
      <c r="AX519" s="663"/>
      <c r="AY519" s="663"/>
      <c r="AZ519" s="663"/>
      <c r="BA519" s="663"/>
      <c r="BB519" s="663"/>
      <c r="BC519" s="663"/>
      <c r="BD519" s="663"/>
      <c r="BE519" s="663"/>
      <c r="BF519" s="663"/>
      <c r="BG519" s="663"/>
      <c r="BH519" s="663"/>
      <c r="BI519" s="663"/>
      <c r="BJ519" s="663"/>
      <c r="BK519" s="663"/>
      <c r="BL519" s="663"/>
      <c r="BM519" s="663"/>
      <c r="BN519" s="663"/>
      <c r="BO519" s="663"/>
      <c r="BP519" s="663"/>
      <c r="BQ519" s="663"/>
      <c r="BR519" s="663"/>
      <c r="BS519" s="663"/>
      <c r="BT519" s="663"/>
      <c r="BU519" s="663"/>
      <c r="BV519" s="663"/>
      <c r="BW519" s="663"/>
      <c r="BX519" s="663"/>
      <c r="BY519" s="663"/>
      <c r="BZ519" s="663"/>
      <c r="CA519" s="663"/>
      <c r="CB519" s="663"/>
      <c r="CC519" s="663"/>
      <c r="CD519" s="663"/>
      <c r="CE519" s="663"/>
      <c r="CF519" s="663"/>
      <c r="CG519" s="663"/>
      <c r="CH519" s="663"/>
      <c r="CI519" s="663"/>
      <c r="CJ519" s="663"/>
      <c r="CK519" s="663"/>
      <c r="CL519" s="663"/>
      <c r="CM519" s="663"/>
      <c r="CN519" s="663"/>
      <c r="CO519" s="663"/>
      <c r="CP519" s="663"/>
      <c r="CQ519" s="663"/>
      <c r="CR519" s="663"/>
      <c r="CS519" s="663"/>
      <c r="CT519" s="663"/>
      <c r="CU519" s="663"/>
      <c r="CV519" s="663"/>
      <c r="CW519" s="663"/>
      <c r="CX519" s="663"/>
      <c r="CY519" s="663"/>
      <c r="CZ519" s="663"/>
      <c r="DA519" s="663"/>
      <c r="DB519" s="663"/>
      <c r="DC519" s="663"/>
      <c r="DD519" s="663"/>
      <c r="DE519" s="663"/>
      <c r="DF519" s="663"/>
      <c r="DG519" s="663"/>
      <c r="DH519" s="663"/>
      <c r="DI519" s="663"/>
      <c r="DJ519" s="663"/>
      <c r="DK519" s="663"/>
      <c r="DL519" s="663"/>
      <c r="DM519" s="663"/>
      <c r="DN519" s="663"/>
      <c r="DO519" s="663"/>
      <c r="DP519" s="663"/>
      <c r="DQ519" s="663"/>
      <c r="DR519" s="663"/>
      <c r="DS519" s="663"/>
      <c r="DT519" s="663"/>
      <c r="DU519" s="663"/>
      <c r="DV519" s="663"/>
      <c r="DW519" s="663"/>
      <c r="DX519" s="663"/>
      <c r="DY519" s="663"/>
      <c r="DZ519" s="663"/>
      <c r="EA519" s="663"/>
      <c r="EB519" s="663"/>
      <c r="EC519" s="663"/>
      <c r="ED519" s="663"/>
      <c r="EE519" s="663"/>
      <c r="EF519" s="663"/>
      <c r="EG519" s="663"/>
      <c r="EH519" s="663"/>
      <c r="EI519" s="663"/>
      <c r="EJ519" s="663"/>
      <c r="EK519" s="663"/>
      <c r="EL519" s="663"/>
      <c r="EM519" s="663"/>
      <c r="EN519" s="663"/>
      <c r="EO519" s="663"/>
      <c r="EP519" s="663"/>
      <c r="EQ519" s="663"/>
      <c r="ER519" s="663"/>
      <c r="ES519" s="663"/>
      <c r="ET519" s="663"/>
      <c r="EU519" s="663"/>
      <c r="EV519" s="663"/>
      <c r="EW519" s="663"/>
      <c r="EX519" s="663"/>
      <c r="EY519" s="663"/>
      <c r="EZ519" s="663"/>
      <c r="FA519" s="663"/>
      <c r="FB519" s="663"/>
      <c r="FC519" s="663"/>
      <c r="FD519" s="663"/>
      <c r="FE519" s="663"/>
      <c r="FF519" s="663"/>
      <c r="FG519" s="663"/>
      <c r="FH519" s="663"/>
      <c r="FI519" s="663"/>
      <c r="FJ519" s="663"/>
      <c r="FK519" s="663"/>
      <c r="FL519" s="663"/>
      <c r="FM519" s="663"/>
      <c r="FN519" s="663"/>
      <c r="FO519" s="663"/>
      <c r="FP519" s="663"/>
      <c r="FQ519" s="663"/>
      <c r="FR519" s="663"/>
      <c r="FS519" s="663"/>
      <c r="FT519" s="663"/>
      <c r="FU519" s="663"/>
      <c r="FV519" s="663"/>
      <c r="FW519" s="663"/>
      <c r="FX519" s="663"/>
      <c r="FY519" s="663"/>
      <c r="FZ519" s="663"/>
      <c r="GA519" s="663"/>
      <c r="GB519" s="663"/>
      <c r="GC519" s="663"/>
      <c r="GD519" s="663"/>
      <c r="GE519" s="663"/>
      <c r="GF519" s="663"/>
      <c r="GG519" s="663"/>
    </row>
    <row r="520" spans="1:189">
      <c r="A520" s="670"/>
      <c r="B520" s="670"/>
      <c r="C520" s="670"/>
      <c r="D520" s="670"/>
      <c r="E520" s="670"/>
      <c r="F520" s="670"/>
      <c r="G520" s="673"/>
      <c r="H520" s="627"/>
      <c r="I520" s="627"/>
      <c r="J520" s="672"/>
      <c r="K520" s="663"/>
      <c r="L520" s="663"/>
      <c r="M520" s="663"/>
      <c r="N520" s="663"/>
      <c r="O520" s="663"/>
      <c r="P520" s="663"/>
      <c r="Q520" s="663"/>
      <c r="R520" s="663"/>
      <c r="S520" s="663"/>
      <c r="T520" s="663"/>
      <c r="U520" s="663"/>
      <c r="V520" s="663"/>
      <c r="W520" s="663"/>
      <c r="X520" s="663"/>
      <c r="Y520" s="663"/>
      <c r="Z520" s="663"/>
      <c r="AA520" s="663"/>
      <c r="AB520" s="663"/>
      <c r="AC520" s="663"/>
      <c r="AD520" s="663"/>
      <c r="AE520" s="663"/>
      <c r="AF520" s="663"/>
      <c r="AG520" s="663"/>
      <c r="AH520" s="663"/>
      <c r="AI520" s="663"/>
      <c r="AJ520" s="663"/>
      <c r="AK520" s="663"/>
      <c r="AL520" s="663"/>
      <c r="AM520" s="663"/>
      <c r="AN520" s="663"/>
      <c r="AO520" s="663"/>
      <c r="AP520" s="663"/>
      <c r="AQ520" s="663"/>
      <c r="AR520" s="663"/>
      <c r="AS520" s="663"/>
      <c r="AT520" s="663"/>
      <c r="AU520" s="663"/>
      <c r="AV520" s="663"/>
      <c r="AW520" s="663"/>
      <c r="AX520" s="663"/>
      <c r="AY520" s="663"/>
      <c r="AZ520" s="663"/>
      <c r="BA520" s="663"/>
      <c r="BB520" s="663"/>
      <c r="BC520" s="663"/>
      <c r="BD520" s="663"/>
      <c r="BE520" s="663"/>
      <c r="BF520" s="663"/>
      <c r="BG520" s="663"/>
      <c r="BH520" s="663"/>
      <c r="BI520" s="663"/>
      <c r="BJ520" s="663"/>
      <c r="BK520" s="663"/>
      <c r="BL520" s="663"/>
      <c r="BM520" s="663"/>
      <c r="BN520" s="663"/>
      <c r="BO520" s="663"/>
      <c r="BP520" s="663"/>
      <c r="BQ520" s="663"/>
      <c r="BR520" s="663"/>
      <c r="BS520" s="663"/>
      <c r="BT520" s="663"/>
      <c r="BU520" s="663"/>
      <c r="BV520" s="663"/>
      <c r="BW520" s="663"/>
      <c r="BX520" s="663"/>
      <c r="BY520" s="663"/>
      <c r="BZ520" s="663"/>
      <c r="CA520" s="663"/>
      <c r="CB520" s="663"/>
      <c r="CC520" s="663"/>
      <c r="CD520" s="663"/>
      <c r="CE520" s="663"/>
      <c r="CF520" s="663"/>
      <c r="CG520" s="663"/>
      <c r="CH520" s="663"/>
      <c r="CI520" s="663"/>
      <c r="CJ520" s="663"/>
      <c r="CK520" s="663"/>
      <c r="CL520" s="663"/>
      <c r="CM520" s="663"/>
      <c r="CN520" s="663"/>
      <c r="CO520" s="663"/>
      <c r="CP520" s="663"/>
      <c r="CQ520" s="663"/>
      <c r="CR520" s="663"/>
      <c r="CS520" s="663"/>
      <c r="CT520" s="663"/>
      <c r="CU520" s="663"/>
      <c r="CV520" s="663"/>
      <c r="CW520" s="663"/>
      <c r="CX520" s="663"/>
      <c r="CY520" s="663"/>
      <c r="CZ520" s="663"/>
      <c r="DA520" s="663"/>
      <c r="DB520" s="663"/>
      <c r="DC520" s="663"/>
      <c r="DD520" s="663"/>
      <c r="DE520" s="663"/>
      <c r="DF520" s="663"/>
      <c r="DG520" s="663"/>
      <c r="DH520" s="663"/>
      <c r="DI520" s="663"/>
      <c r="DJ520" s="663"/>
      <c r="DK520" s="663"/>
      <c r="DL520" s="663"/>
      <c r="DM520" s="663"/>
      <c r="DN520" s="663"/>
      <c r="DO520" s="663"/>
      <c r="DP520" s="663"/>
      <c r="DQ520" s="663"/>
      <c r="DR520" s="663"/>
      <c r="DS520" s="663"/>
      <c r="DT520" s="663"/>
      <c r="DU520" s="663"/>
      <c r="DV520" s="663"/>
      <c r="DW520" s="663"/>
      <c r="DX520" s="663"/>
      <c r="DY520" s="663"/>
      <c r="DZ520" s="663"/>
      <c r="EA520" s="663"/>
      <c r="EB520" s="663"/>
      <c r="EC520" s="663"/>
      <c r="ED520" s="663"/>
      <c r="EE520" s="663"/>
      <c r="EF520" s="663"/>
      <c r="EG520" s="663"/>
      <c r="EH520" s="663"/>
      <c r="EI520" s="663"/>
      <c r="EJ520" s="663"/>
      <c r="EK520" s="663"/>
      <c r="EL520" s="663"/>
      <c r="EM520" s="663"/>
      <c r="EN520" s="663"/>
      <c r="EO520" s="663"/>
      <c r="EP520" s="663"/>
      <c r="EQ520" s="663"/>
      <c r="ER520" s="663"/>
      <c r="ES520" s="663"/>
      <c r="ET520" s="663"/>
      <c r="EU520" s="663"/>
      <c r="EV520" s="663"/>
      <c r="EW520" s="663"/>
      <c r="EX520" s="663"/>
      <c r="EY520" s="663"/>
      <c r="EZ520" s="663"/>
      <c r="FA520" s="663"/>
      <c r="FB520" s="663"/>
      <c r="FC520" s="663"/>
      <c r="FD520" s="663"/>
      <c r="FE520" s="663"/>
      <c r="FF520" s="663"/>
      <c r="FG520" s="663"/>
      <c r="FH520" s="663"/>
      <c r="FI520" s="663"/>
      <c r="FJ520" s="663"/>
      <c r="FK520" s="663"/>
      <c r="FL520" s="663"/>
      <c r="FM520" s="663"/>
      <c r="FN520" s="663"/>
      <c r="FO520" s="663"/>
      <c r="FP520" s="663"/>
      <c r="FQ520" s="663"/>
      <c r="FR520" s="663"/>
      <c r="FS520" s="663"/>
      <c r="FT520" s="663"/>
      <c r="FU520" s="663"/>
      <c r="FV520" s="663"/>
      <c r="FW520" s="663"/>
      <c r="FX520" s="663"/>
      <c r="FY520" s="663"/>
      <c r="FZ520" s="663"/>
      <c r="GA520" s="663"/>
      <c r="GB520" s="663"/>
      <c r="GC520" s="663"/>
      <c r="GD520" s="663"/>
      <c r="GE520" s="663"/>
      <c r="GF520" s="663"/>
      <c r="GG520" s="663"/>
    </row>
    <row r="521" spans="1:189">
      <c r="A521" s="670"/>
      <c r="B521" s="670"/>
      <c r="C521" s="670"/>
      <c r="D521" s="670"/>
      <c r="E521" s="670"/>
      <c r="F521" s="670"/>
      <c r="G521" s="673"/>
      <c r="H521" s="627"/>
      <c r="I521" s="627"/>
      <c r="J521" s="672"/>
      <c r="K521" s="663"/>
      <c r="L521" s="663"/>
      <c r="M521" s="663"/>
      <c r="N521" s="663"/>
      <c r="O521" s="663"/>
      <c r="P521" s="663"/>
      <c r="Q521" s="663"/>
      <c r="R521" s="663"/>
      <c r="S521" s="663"/>
      <c r="T521" s="663"/>
      <c r="U521" s="663"/>
      <c r="V521" s="663"/>
      <c r="W521" s="663"/>
      <c r="X521" s="663"/>
      <c r="Y521" s="663"/>
      <c r="Z521" s="663"/>
      <c r="AA521" s="663"/>
      <c r="AB521" s="663"/>
      <c r="AC521" s="663"/>
      <c r="AD521" s="663"/>
      <c r="AE521" s="663"/>
      <c r="AF521" s="663"/>
      <c r="AG521" s="663"/>
      <c r="AH521" s="663"/>
      <c r="AI521" s="663"/>
      <c r="AJ521" s="663"/>
      <c r="AK521" s="663"/>
      <c r="AL521" s="663"/>
      <c r="AM521" s="663"/>
      <c r="AN521" s="663"/>
      <c r="AO521" s="663"/>
      <c r="AP521" s="663"/>
      <c r="AQ521" s="663"/>
      <c r="AR521" s="663"/>
      <c r="AS521" s="663"/>
      <c r="AT521" s="663"/>
      <c r="AU521" s="663"/>
      <c r="AV521" s="663"/>
      <c r="AW521" s="663"/>
      <c r="AX521" s="663"/>
      <c r="AY521" s="663"/>
      <c r="AZ521" s="663"/>
      <c r="BA521" s="663"/>
      <c r="BB521" s="663"/>
      <c r="BC521" s="663"/>
      <c r="BD521" s="663"/>
      <c r="BE521" s="663"/>
      <c r="BF521" s="663"/>
      <c r="BG521" s="663"/>
      <c r="BH521" s="663"/>
      <c r="BI521" s="663"/>
      <c r="BJ521" s="663"/>
      <c r="BK521" s="663"/>
      <c r="BL521" s="663"/>
      <c r="BM521" s="663"/>
      <c r="BN521" s="663"/>
      <c r="BO521" s="663"/>
      <c r="BP521" s="663"/>
      <c r="BQ521" s="663"/>
      <c r="BR521" s="663"/>
      <c r="BS521" s="663"/>
      <c r="BT521" s="663"/>
      <c r="BU521" s="663"/>
      <c r="BV521" s="663"/>
      <c r="BW521" s="663"/>
      <c r="BX521" s="663"/>
      <c r="BY521" s="663"/>
      <c r="BZ521" s="663"/>
      <c r="CA521" s="663"/>
      <c r="CB521" s="663"/>
      <c r="CC521" s="663"/>
      <c r="CD521" s="663"/>
      <c r="CE521" s="663"/>
      <c r="CF521" s="663"/>
      <c r="CG521" s="663"/>
      <c r="CH521" s="663"/>
      <c r="CI521" s="663"/>
      <c r="CJ521" s="663"/>
      <c r="CK521" s="663"/>
      <c r="CL521" s="663"/>
      <c r="CM521" s="663"/>
      <c r="CN521" s="663"/>
      <c r="CO521" s="663"/>
      <c r="CP521" s="663"/>
      <c r="CQ521" s="663"/>
      <c r="CR521" s="663"/>
      <c r="CS521" s="663"/>
      <c r="CT521" s="663"/>
      <c r="CU521" s="663"/>
      <c r="CV521" s="663"/>
      <c r="CW521" s="663"/>
      <c r="CX521" s="663"/>
      <c r="CY521" s="663"/>
      <c r="CZ521" s="663"/>
      <c r="DA521" s="663"/>
      <c r="DB521" s="663"/>
      <c r="DC521" s="663"/>
      <c r="DD521" s="663"/>
      <c r="DE521" s="663"/>
      <c r="DF521" s="663"/>
      <c r="DG521" s="663"/>
      <c r="DH521" s="663"/>
      <c r="DI521" s="663"/>
      <c r="DJ521" s="663"/>
      <c r="DK521" s="663"/>
      <c r="DL521" s="663"/>
      <c r="DM521" s="663"/>
      <c r="DN521" s="663"/>
      <c r="DO521" s="663"/>
      <c r="DP521" s="663"/>
      <c r="DQ521" s="663"/>
      <c r="DR521" s="663"/>
      <c r="DS521" s="663"/>
      <c r="DT521" s="663"/>
      <c r="DU521" s="663"/>
      <c r="DV521" s="663"/>
      <c r="DW521" s="663"/>
      <c r="DX521" s="663"/>
      <c r="DY521" s="663"/>
      <c r="DZ521" s="663"/>
      <c r="EA521" s="663"/>
      <c r="EB521" s="663"/>
      <c r="EC521" s="663"/>
      <c r="ED521" s="663"/>
      <c r="EE521" s="663"/>
      <c r="EF521" s="663"/>
      <c r="EG521" s="663"/>
      <c r="EH521" s="663"/>
      <c r="EI521" s="663"/>
      <c r="EJ521" s="663"/>
      <c r="EK521" s="663"/>
      <c r="EL521" s="663"/>
      <c r="EM521" s="663"/>
      <c r="EN521" s="663"/>
      <c r="EO521" s="663"/>
      <c r="EP521" s="663"/>
      <c r="EQ521" s="663"/>
      <c r="ER521" s="663"/>
      <c r="ES521" s="663"/>
      <c r="ET521" s="663"/>
      <c r="EU521" s="663"/>
      <c r="EV521" s="663"/>
      <c r="EW521" s="663"/>
      <c r="EX521" s="663"/>
      <c r="EY521" s="663"/>
      <c r="EZ521" s="663"/>
      <c r="FA521" s="663"/>
      <c r="FB521" s="663"/>
      <c r="FC521" s="663"/>
      <c r="FD521" s="663"/>
      <c r="FE521" s="663"/>
      <c r="FF521" s="663"/>
      <c r="FG521" s="663"/>
      <c r="FH521" s="663"/>
      <c r="FI521" s="663"/>
      <c r="FJ521" s="663"/>
      <c r="FK521" s="663"/>
      <c r="FL521" s="663"/>
      <c r="FM521" s="663"/>
      <c r="FN521" s="663"/>
      <c r="FO521" s="663"/>
      <c r="FP521" s="663"/>
      <c r="FQ521" s="663"/>
      <c r="FR521" s="663"/>
      <c r="FS521" s="663"/>
      <c r="FT521" s="663"/>
      <c r="FU521" s="663"/>
      <c r="FV521" s="663"/>
      <c r="FW521" s="663"/>
      <c r="FX521" s="663"/>
      <c r="FY521" s="663"/>
      <c r="FZ521" s="663"/>
      <c r="GA521" s="663"/>
      <c r="GB521" s="663"/>
      <c r="GC521" s="663"/>
      <c r="GD521" s="663"/>
      <c r="GE521" s="663"/>
      <c r="GF521" s="663"/>
      <c r="GG521" s="663"/>
    </row>
    <row r="522" spans="1:189">
      <c r="A522" s="670"/>
      <c r="B522" s="670"/>
      <c r="C522" s="670"/>
      <c r="D522" s="670"/>
      <c r="E522" s="670"/>
      <c r="F522" s="670"/>
      <c r="G522" s="673"/>
      <c r="H522" s="627"/>
      <c r="I522" s="627"/>
      <c r="J522" s="672"/>
      <c r="K522" s="663"/>
      <c r="L522" s="663"/>
      <c r="M522" s="663"/>
      <c r="N522" s="663"/>
      <c r="O522" s="663"/>
      <c r="P522" s="663"/>
      <c r="Q522" s="663"/>
      <c r="R522" s="663"/>
      <c r="S522" s="663"/>
      <c r="T522" s="663"/>
      <c r="U522" s="663"/>
      <c r="V522" s="663"/>
      <c r="W522" s="663"/>
      <c r="X522" s="663"/>
      <c r="Y522" s="663"/>
      <c r="Z522" s="663"/>
      <c r="AA522" s="663"/>
      <c r="AB522" s="663"/>
      <c r="AC522" s="663"/>
      <c r="AD522" s="663"/>
      <c r="AE522" s="663"/>
      <c r="AF522" s="663"/>
      <c r="AG522" s="663"/>
      <c r="AH522" s="663"/>
      <c r="AI522" s="663"/>
      <c r="AJ522" s="663"/>
      <c r="AK522" s="663"/>
      <c r="AL522" s="663"/>
      <c r="AM522" s="663"/>
      <c r="AN522" s="663"/>
      <c r="AO522" s="663"/>
      <c r="AP522" s="663"/>
      <c r="AQ522" s="663"/>
      <c r="AR522" s="663"/>
      <c r="AS522" s="663"/>
      <c r="AT522" s="663"/>
      <c r="AU522" s="663"/>
      <c r="AV522" s="663"/>
      <c r="AW522" s="663"/>
      <c r="AX522" s="663"/>
      <c r="AY522" s="663"/>
      <c r="AZ522" s="663"/>
      <c r="BA522" s="663"/>
      <c r="BB522" s="663"/>
      <c r="BC522" s="663"/>
      <c r="BD522" s="663"/>
      <c r="BE522" s="663"/>
      <c r="BF522" s="663"/>
      <c r="BG522" s="663"/>
      <c r="BH522" s="663"/>
      <c r="BI522" s="663"/>
      <c r="BJ522" s="663"/>
      <c r="BK522" s="663"/>
      <c r="BL522" s="663"/>
      <c r="BM522" s="663"/>
      <c r="BN522" s="663"/>
      <c r="BO522" s="663"/>
      <c r="BP522" s="663"/>
      <c r="BQ522" s="663"/>
      <c r="BR522" s="663"/>
      <c r="BS522" s="663"/>
      <c r="BT522" s="663"/>
      <c r="BU522" s="663"/>
      <c r="BV522" s="663"/>
      <c r="BW522" s="663"/>
      <c r="BX522" s="663"/>
      <c r="BY522" s="663"/>
      <c r="BZ522" s="663"/>
      <c r="CA522" s="663"/>
      <c r="CB522" s="663"/>
      <c r="CC522" s="663"/>
      <c r="CD522" s="663"/>
      <c r="CE522" s="663"/>
      <c r="CF522" s="663"/>
      <c r="CG522" s="663"/>
      <c r="CH522" s="663"/>
      <c r="CI522" s="663"/>
      <c r="CJ522" s="663"/>
      <c r="CK522" s="663"/>
      <c r="CL522" s="663"/>
      <c r="CM522" s="663"/>
      <c r="CN522" s="663"/>
      <c r="CO522" s="663"/>
      <c r="CP522" s="663"/>
      <c r="CQ522" s="663"/>
      <c r="CR522" s="663"/>
      <c r="CS522" s="663"/>
      <c r="CT522" s="663"/>
      <c r="CU522" s="663"/>
      <c r="CV522" s="663"/>
      <c r="CW522" s="663"/>
      <c r="CX522" s="663"/>
      <c r="CY522" s="663"/>
      <c r="CZ522" s="663"/>
      <c r="DA522" s="663"/>
      <c r="DB522" s="663"/>
      <c r="DC522" s="663"/>
      <c r="DD522" s="663"/>
      <c r="DE522" s="663"/>
      <c r="DF522" s="663"/>
      <c r="DG522" s="663"/>
      <c r="DH522" s="663"/>
      <c r="DI522" s="663"/>
      <c r="DJ522" s="663"/>
      <c r="DK522" s="663"/>
      <c r="DL522" s="663"/>
      <c r="DM522" s="663"/>
      <c r="DN522" s="663"/>
      <c r="DO522" s="663"/>
      <c r="DP522" s="663"/>
      <c r="DQ522" s="663"/>
      <c r="DR522" s="663"/>
      <c r="DS522" s="663"/>
      <c r="DT522" s="663"/>
      <c r="DU522" s="663"/>
      <c r="DV522" s="663"/>
      <c r="DW522" s="663"/>
      <c r="DX522" s="663"/>
      <c r="DY522" s="663"/>
      <c r="DZ522" s="663"/>
      <c r="EA522" s="663"/>
      <c r="EB522" s="663"/>
      <c r="EC522" s="663"/>
      <c r="ED522" s="663"/>
      <c r="EE522" s="663"/>
      <c r="EF522" s="663"/>
      <c r="EG522" s="663"/>
      <c r="EH522" s="663"/>
      <c r="EI522" s="663"/>
      <c r="EJ522" s="663"/>
      <c r="EK522" s="663"/>
      <c r="EL522" s="663"/>
      <c r="EM522" s="663"/>
      <c r="EN522" s="663"/>
      <c r="EO522" s="663"/>
      <c r="EP522" s="663"/>
      <c r="EQ522" s="663"/>
      <c r="ER522" s="663"/>
      <c r="ES522" s="663"/>
      <c r="ET522" s="663"/>
      <c r="EU522" s="663"/>
      <c r="EV522" s="663"/>
      <c r="EW522" s="663"/>
      <c r="EX522" s="663"/>
      <c r="EY522" s="663"/>
      <c r="EZ522" s="663"/>
      <c r="FA522" s="663"/>
      <c r="FB522" s="663"/>
      <c r="FC522" s="663"/>
      <c r="FD522" s="663"/>
      <c r="FE522" s="663"/>
      <c r="FF522" s="663"/>
      <c r="FG522" s="663"/>
      <c r="FH522" s="663"/>
      <c r="FI522" s="663"/>
      <c r="FJ522" s="663"/>
      <c r="FK522" s="663"/>
      <c r="FL522" s="663"/>
      <c r="FM522" s="663"/>
      <c r="FN522" s="663"/>
      <c r="FO522" s="663"/>
      <c r="FP522" s="663"/>
      <c r="FQ522" s="663"/>
      <c r="FR522" s="663"/>
      <c r="FS522" s="663"/>
      <c r="FT522" s="663"/>
      <c r="FU522" s="663"/>
      <c r="FV522" s="663"/>
      <c r="FW522" s="663"/>
      <c r="FX522" s="663"/>
      <c r="FY522" s="663"/>
      <c r="FZ522" s="663"/>
      <c r="GA522" s="663"/>
      <c r="GB522" s="663"/>
      <c r="GC522" s="663"/>
      <c r="GD522" s="663"/>
      <c r="GE522" s="663"/>
      <c r="GF522" s="663"/>
      <c r="GG522" s="663"/>
    </row>
    <row r="523" spans="1:189">
      <c r="A523" s="670"/>
      <c r="B523" s="670"/>
      <c r="C523" s="670"/>
      <c r="D523" s="670"/>
      <c r="E523" s="670"/>
      <c r="F523" s="670"/>
      <c r="G523" s="673"/>
      <c r="H523" s="627"/>
      <c r="I523" s="627"/>
      <c r="J523" s="672"/>
      <c r="K523" s="663"/>
      <c r="L523" s="663"/>
      <c r="M523" s="663"/>
      <c r="N523" s="663"/>
      <c r="O523" s="663"/>
      <c r="P523" s="663"/>
      <c r="Q523" s="663"/>
      <c r="R523" s="663"/>
      <c r="S523" s="663"/>
      <c r="T523" s="663"/>
      <c r="U523" s="663"/>
      <c r="V523" s="663"/>
      <c r="W523" s="663"/>
      <c r="X523" s="663"/>
      <c r="Y523" s="663"/>
      <c r="Z523" s="663"/>
      <c r="AA523" s="663"/>
      <c r="AB523" s="663"/>
      <c r="AC523" s="663"/>
      <c r="AD523" s="663"/>
      <c r="AE523" s="663"/>
      <c r="AF523" s="663"/>
      <c r="AG523" s="663"/>
      <c r="AH523" s="663"/>
      <c r="AI523" s="663"/>
      <c r="AJ523" s="663"/>
      <c r="AK523" s="663"/>
      <c r="AL523" s="663"/>
      <c r="AM523" s="663"/>
      <c r="AN523" s="663"/>
      <c r="AO523" s="663"/>
      <c r="AP523" s="663"/>
      <c r="AQ523" s="663"/>
      <c r="AR523" s="663"/>
      <c r="AS523" s="663"/>
      <c r="AT523" s="663"/>
      <c r="AU523" s="663"/>
      <c r="AV523" s="663"/>
      <c r="AW523" s="663"/>
      <c r="AX523" s="663"/>
      <c r="AY523" s="663"/>
      <c r="AZ523" s="663"/>
      <c r="BA523" s="663"/>
      <c r="BB523" s="663"/>
      <c r="BC523" s="663"/>
      <c r="BD523" s="663"/>
      <c r="BE523" s="663"/>
      <c r="BF523" s="663"/>
      <c r="BG523" s="663"/>
      <c r="BH523" s="663"/>
      <c r="BI523" s="663"/>
      <c r="BJ523" s="663"/>
      <c r="BK523" s="663"/>
      <c r="BL523" s="663"/>
      <c r="BM523" s="663"/>
      <c r="BN523" s="663"/>
      <c r="BO523" s="663"/>
      <c r="BP523" s="663"/>
      <c r="BQ523" s="663"/>
      <c r="BR523" s="663"/>
      <c r="BS523" s="663"/>
      <c r="BT523" s="663"/>
      <c r="BU523" s="663"/>
      <c r="BV523" s="663"/>
      <c r="BW523" s="663"/>
      <c r="BX523" s="663"/>
      <c r="BY523" s="663"/>
      <c r="BZ523" s="663"/>
      <c r="CA523" s="663"/>
      <c r="CB523" s="663"/>
      <c r="CC523" s="663"/>
      <c r="CD523" s="663"/>
      <c r="CE523" s="663"/>
      <c r="CF523" s="663"/>
      <c r="CG523" s="663"/>
      <c r="CH523" s="663"/>
      <c r="CI523" s="663"/>
      <c r="CJ523" s="663"/>
      <c r="CK523" s="663"/>
      <c r="CL523" s="663"/>
      <c r="CM523" s="663"/>
      <c r="CN523" s="663"/>
      <c r="CO523" s="663"/>
      <c r="CP523" s="663"/>
      <c r="CQ523" s="663"/>
      <c r="CR523" s="663"/>
      <c r="CS523" s="663"/>
      <c r="CT523" s="663"/>
      <c r="CU523" s="663"/>
      <c r="CV523" s="663"/>
      <c r="CW523" s="663"/>
      <c r="CX523" s="663"/>
      <c r="CY523" s="663"/>
      <c r="CZ523" s="663"/>
      <c r="DA523" s="663"/>
      <c r="DB523" s="663"/>
      <c r="DC523" s="663"/>
      <c r="DD523" s="663"/>
      <c r="DE523" s="663"/>
      <c r="DF523" s="663"/>
      <c r="DG523" s="663"/>
      <c r="DH523" s="663"/>
      <c r="DI523" s="663"/>
      <c r="DJ523" s="663"/>
      <c r="DK523" s="663"/>
      <c r="DL523" s="663"/>
      <c r="DM523" s="663"/>
      <c r="DN523" s="663"/>
      <c r="DO523" s="663"/>
      <c r="DP523" s="663"/>
      <c r="DQ523" s="663"/>
      <c r="DR523" s="663"/>
      <c r="DS523" s="663"/>
      <c r="DT523" s="663"/>
      <c r="DU523" s="663"/>
      <c r="DV523" s="663"/>
      <c r="DW523" s="663"/>
      <c r="DX523" s="663"/>
      <c r="DY523" s="663"/>
      <c r="DZ523" s="663"/>
      <c r="EA523" s="663"/>
      <c r="EB523" s="663"/>
      <c r="EC523" s="663"/>
      <c r="ED523" s="663"/>
      <c r="EE523" s="663"/>
      <c r="EF523" s="663"/>
      <c r="EG523" s="663"/>
      <c r="EH523" s="663"/>
      <c r="EI523" s="663"/>
      <c r="EJ523" s="663"/>
      <c r="EK523" s="663"/>
      <c r="EL523" s="663"/>
      <c r="EM523" s="663"/>
      <c r="EN523" s="663"/>
      <c r="EO523" s="663"/>
      <c r="EP523" s="663"/>
      <c r="EQ523" s="663"/>
      <c r="ER523" s="663"/>
      <c r="ES523" s="663"/>
      <c r="ET523" s="663"/>
      <c r="EU523" s="663"/>
      <c r="EV523" s="663"/>
      <c r="EW523" s="663"/>
      <c r="EX523" s="663"/>
      <c r="EY523" s="663"/>
      <c r="EZ523" s="663"/>
      <c r="FA523" s="663"/>
      <c r="FB523" s="663"/>
      <c r="FC523" s="663"/>
      <c r="FD523" s="663"/>
      <c r="FE523" s="663"/>
      <c r="FF523" s="663"/>
      <c r="FG523" s="663"/>
      <c r="FH523" s="663"/>
      <c r="FI523" s="663"/>
      <c r="FJ523" s="663"/>
      <c r="FK523" s="663"/>
      <c r="FL523" s="663"/>
      <c r="FM523" s="663"/>
      <c r="FN523" s="663"/>
      <c r="FO523" s="663"/>
      <c r="FP523" s="663"/>
      <c r="FQ523" s="663"/>
      <c r="FR523" s="663"/>
      <c r="FS523" s="663"/>
      <c r="FT523" s="663"/>
      <c r="FU523" s="663"/>
      <c r="FV523" s="663"/>
      <c r="FW523" s="663"/>
      <c r="FX523" s="663"/>
      <c r="FY523" s="663"/>
      <c r="FZ523" s="663"/>
      <c r="GA523" s="663"/>
      <c r="GB523" s="663"/>
      <c r="GC523" s="663"/>
      <c r="GD523" s="663"/>
      <c r="GE523" s="663"/>
      <c r="GF523" s="663"/>
      <c r="GG523" s="663"/>
    </row>
    <row r="524" spans="1:189">
      <c r="A524" s="670"/>
      <c r="B524" s="670"/>
      <c r="C524" s="670"/>
      <c r="D524" s="670"/>
      <c r="E524" s="670"/>
      <c r="F524" s="670"/>
      <c r="G524" s="673"/>
      <c r="H524" s="627"/>
      <c r="I524" s="627"/>
      <c r="J524" s="672"/>
      <c r="K524" s="663"/>
      <c r="L524" s="663"/>
      <c r="M524" s="663"/>
      <c r="N524" s="663"/>
      <c r="O524" s="663"/>
      <c r="P524" s="663"/>
      <c r="Q524" s="663"/>
      <c r="R524" s="663"/>
      <c r="S524" s="663"/>
      <c r="T524" s="663"/>
      <c r="U524" s="663"/>
      <c r="V524" s="663"/>
      <c r="W524" s="663"/>
      <c r="X524" s="663"/>
      <c r="Y524" s="663"/>
      <c r="Z524" s="663"/>
      <c r="AA524" s="663"/>
      <c r="AB524" s="663"/>
      <c r="AC524" s="663"/>
      <c r="AD524" s="663"/>
      <c r="AE524" s="663"/>
      <c r="AF524" s="663"/>
      <c r="AG524" s="663"/>
      <c r="AH524" s="663"/>
      <c r="AI524" s="663"/>
      <c r="AJ524" s="663"/>
      <c r="AK524" s="663"/>
      <c r="AL524" s="663"/>
      <c r="AM524" s="663"/>
      <c r="AN524" s="663"/>
      <c r="AO524" s="663"/>
      <c r="AP524" s="663"/>
      <c r="AQ524" s="663"/>
      <c r="AR524" s="663"/>
      <c r="AS524" s="663"/>
      <c r="AT524" s="663"/>
      <c r="AU524" s="663"/>
      <c r="AV524" s="663"/>
      <c r="AW524" s="663"/>
      <c r="AX524" s="663"/>
      <c r="AY524" s="663"/>
      <c r="AZ524" s="663"/>
      <c r="BA524" s="663"/>
      <c r="BB524" s="663"/>
      <c r="BC524" s="663"/>
      <c r="BD524" s="663"/>
      <c r="BE524" s="663"/>
      <c r="BF524" s="663"/>
      <c r="BG524" s="663"/>
      <c r="BH524" s="663"/>
      <c r="BI524" s="663"/>
      <c r="BJ524" s="663"/>
      <c r="BK524" s="663"/>
      <c r="BL524" s="663"/>
      <c r="BM524" s="663"/>
      <c r="BN524" s="663"/>
      <c r="BO524" s="663"/>
      <c r="BP524" s="663"/>
      <c r="BQ524" s="663"/>
      <c r="BR524" s="663"/>
      <c r="BS524" s="663"/>
      <c r="BT524" s="663"/>
      <c r="BU524" s="663"/>
      <c r="BV524" s="663"/>
      <c r="BW524" s="663"/>
      <c r="BX524" s="663"/>
      <c r="BY524" s="663"/>
      <c r="BZ524" s="663"/>
      <c r="CA524" s="663"/>
      <c r="CB524" s="663"/>
      <c r="CC524" s="663"/>
      <c r="CD524" s="663"/>
      <c r="CE524" s="663"/>
      <c r="CF524" s="663"/>
      <c r="CG524" s="663"/>
      <c r="CH524" s="663"/>
      <c r="CI524" s="663"/>
      <c r="CJ524" s="663"/>
      <c r="CK524" s="663"/>
      <c r="CL524" s="663"/>
      <c r="CM524" s="663"/>
      <c r="CN524" s="663"/>
      <c r="CO524" s="663"/>
      <c r="CP524" s="663"/>
      <c r="CQ524" s="663"/>
      <c r="CR524" s="663"/>
      <c r="CS524" s="663"/>
      <c r="CT524" s="663"/>
      <c r="CU524" s="663"/>
      <c r="CV524" s="663"/>
      <c r="CW524" s="663"/>
      <c r="CX524" s="663"/>
      <c r="CY524" s="663"/>
      <c r="CZ524" s="663"/>
      <c r="DA524" s="663"/>
      <c r="DB524" s="663"/>
      <c r="DC524" s="663"/>
      <c r="DD524" s="663"/>
      <c r="DE524" s="663"/>
      <c r="DF524" s="663"/>
      <c r="DG524" s="663"/>
      <c r="DH524" s="663"/>
      <c r="DI524" s="663"/>
      <c r="DJ524" s="663"/>
      <c r="DK524" s="663"/>
      <c r="DL524" s="663"/>
      <c r="DM524" s="663"/>
      <c r="DN524" s="663"/>
      <c r="DO524" s="663"/>
      <c r="DP524" s="663"/>
      <c r="DQ524" s="663"/>
      <c r="DR524" s="663"/>
      <c r="DS524" s="663"/>
      <c r="DT524" s="663"/>
      <c r="DU524" s="663"/>
      <c r="DV524" s="663"/>
      <c r="DW524" s="663"/>
      <c r="DX524" s="663"/>
      <c r="DY524" s="663"/>
      <c r="DZ524" s="663"/>
      <c r="EA524" s="663"/>
      <c r="EB524" s="663"/>
      <c r="EC524" s="663"/>
      <c r="ED524" s="663"/>
      <c r="EE524" s="663"/>
      <c r="EF524" s="663"/>
      <c r="EG524" s="663"/>
      <c r="EH524" s="663"/>
      <c r="EI524" s="663"/>
      <c r="EJ524" s="663"/>
      <c r="EK524" s="663"/>
      <c r="EL524" s="663"/>
      <c r="EM524" s="663"/>
      <c r="EN524" s="663"/>
      <c r="EO524" s="663"/>
      <c r="EP524" s="663"/>
      <c r="EQ524" s="663"/>
      <c r="ER524" s="663"/>
      <c r="ES524" s="663"/>
      <c r="ET524" s="663"/>
      <c r="EU524" s="663"/>
      <c r="EV524" s="663"/>
      <c r="EW524" s="663"/>
      <c r="EX524" s="663"/>
      <c r="EY524" s="663"/>
      <c r="EZ524" s="663"/>
      <c r="FA524" s="663"/>
      <c r="FB524" s="663"/>
      <c r="FC524" s="663"/>
      <c r="FD524" s="663"/>
      <c r="FE524" s="663"/>
      <c r="FF524" s="663"/>
      <c r="FG524" s="663"/>
      <c r="FH524" s="663"/>
      <c r="FI524" s="663"/>
      <c r="FJ524" s="663"/>
      <c r="FK524" s="663"/>
      <c r="FL524" s="663"/>
      <c r="FM524" s="663"/>
      <c r="FN524" s="663"/>
      <c r="FO524" s="663"/>
      <c r="FP524" s="663"/>
      <c r="FQ524" s="663"/>
      <c r="FR524" s="663"/>
      <c r="FS524" s="663"/>
      <c r="FT524" s="663"/>
      <c r="FU524" s="663"/>
      <c r="FV524" s="663"/>
      <c r="FW524" s="663"/>
      <c r="FX524" s="663"/>
      <c r="FY524" s="663"/>
      <c r="FZ524" s="663"/>
      <c r="GA524" s="663"/>
      <c r="GB524" s="663"/>
      <c r="GC524" s="663"/>
      <c r="GD524" s="663"/>
      <c r="GE524" s="663"/>
      <c r="GF524" s="663"/>
      <c r="GG524" s="663"/>
    </row>
    <row r="525" spans="1:189">
      <c r="A525" s="670"/>
      <c r="B525" s="670"/>
      <c r="C525" s="670"/>
      <c r="D525" s="670"/>
      <c r="E525" s="670"/>
      <c r="F525" s="670"/>
      <c r="G525" s="673"/>
      <c r="H525" s="627"/>
      <c r="I525" s="627"/>
      <c r="J525" s="672"/>
      <c r="K525" s="663"/>
      <c r="L525" s="663"/>
      <c r="M525" s="663"/>
      <c r="N525" s="663"/>
      <c r="O525" s="663"/>
      <c r="P525" s="663"/>
      <c r="Q525" s="663"/>
      <c r="R525" s="663"/>
      <c r="S525" s="663"/>
      <c r="T525" s="663"/>
      <c r="U525" s="663"/>
      <c r="V525" s="663"/>
      <c r="W525" s="663"/>
      <c r="X525" s="663"/>
      <c r="Y525" s="663"/>
      <c r="Z525" s="663"/>
      <c r="AA525" s="663"/>
      <c r="AB525" s="663"/>
      <c r="AC525" s="663"/>
      <c r="AD525" s="663"/>
      <c r="AE525" s="663"/>
      <c r="AF525" s="663"/>
      <c r="AG525" s="663"/>
      <c r="AH525" s="663"/>
      <c r="AI525" s="663"/>
      <c r="AJ525" s="663"/>
      <c r="AK525" s="663"/>
      <c r="AL525" s="663"/>
      <c r="AM525" s="663"/>
      <c r="AN525" s="663"/>
      <c r="AO525" s="663"/>
      <c r="AP525" s="663"/>
      <c r="AQ525" s="663"/>
      <c r="AR525" s="663"/>
      <c r="AS525" s="663"/>
      <c r="AT525" s="663"/>
      <c r="AU525" s="663"/>
      <c r="AV525" s="663"/>
      <c r="AW525" s="663"/>
      <c r="AX525" s="663"/>
      <c r="AY525" s="663"/>
      <c r="AZ525" s="663"/>
      <c r="BA525" s="663"/>
      <c r="BB525" s="663"/>
      <c r="BC525" s="663"/>
      <c r="BD525" s="663"/>
      <c r="BE525" s="663"/>
      <c r="BF525" s="663"/>
      <c r="BG525" s="663"/>
      <c r="BH525" s="663"/>
      <c r="BI525" s="663"/>
      <c r="BJ525" s="663"/>
      <c r="BK525" s="663"/>
      <c r="BL525" s="663"/>
      <c r="BM525" s="663"/>
      <c r="BN525" s="663"/>
      <c r="BO525" s="663"/>
      <c r="BP525" s="663"/>
      <c r="BQ525" s="663"/>
      <c r="BR525" s="663"/>
      <c r="BS525" s="663"/>
      <c r="BT525" s="663"/>
      <c r="BU525" s="663"/>
      <c r="BV525" s="663"/>
      <c r="BW525" s="663"/>
      <c r="BX525" s="663"/>
      <c r="BY525" s="663"/>
      <c r="BZ525" s="663"/>
      <c r="CA525" s="663"/>
      <c r="CB525" s="663"/>
      <c r="CC525" s="663"/>
      <c r="CD525" s="663"/>
      <c r="CE525" s="663"/>
      <c r="CF525" s="663"/>
      <c r="CG525" s="663"/>
      <c r="CH525" s="663"/>
      <c r="CI525" s="663"/>
      <c r="CJ525" s="663"/>
      <c r="CK525" s="663"/>
      <c r="CL525" s="663"/>
      <c r="CM525" s="663"/>
      <c r="CN525" s="663"/>
      <c r="CO525" s="663"/>
      <c r="CP525" s="663"/>
      <c r="CQ525" s="663"/>
      <c r="CR525" s="663"/>
      <c r="CS525" s="663"/>
      <c r="CT525" s="663"/>
      <c r="CU525" s="663"/>
      <c r="CV525" s="663"/>
      <c r="CW525" s="663"/>
      <c r="CX525" s="663"/>
      <c r="CY525" s="663"/>
      <c r="CZ525" s="663"/>
      <c r="DA525" s="663"/>
      <c r="DB525" s="663"/>
      <c r="DC525" s="663"/>
      <c r="DD525" s="663"/>
      <c r="DE525" s="663"/>
      <c r="DF525" s="663"/>
      <c r="DG525" s="663"/>
      <c r="DH525" s="663"/>
      <c r="DI525" s="663"/>
      <c r="DJ525" s="663"/>
      <c r="DK525" s="663"/>
      <c r="DL525" s="663"/>
      <c r="DM525" s="663"/>
      <c r="DN525" s="663"/>
      <c r="DO525" s="663"/>
      <c r="DP525" s="663"/>
      <c r="DQ525" s="663"/>
      <c r="DR525" s="663"/>
      <c r="DS525" s="663"/>
      <c r="DT525" s="663"/>
      <c r="DU525" s="663"/>
      <c r="DV525" s="663"/>
      <c r="DW525" s="663"/>
      <c r="DX525" s="663"/>
      <c r="DY525" s="663"/>
      <c r="DZ525" s="663"/>
      <c r="EA525" s="663"/>
      <c r="EB525" s="663"/>
      <c r="EC525" s="663"/>
      <c r="ED525" s="663"/>
      <c r="EE525" s="663"/>
      <c r="EF525" s="663"/>
      <c r="EG525" s="663"/>
      <c r="EH525" s="663"/>
      <c r="EI525" s="663"/>
      <c r="EJ525" s="663"/>
      <c r="EK525" s="663"/>
      <c r="EL525" s="663"/>
      <c r="EM525" s="663"/>
      <c r="EN525" s="663"/>
      <c r="EO525" s="663"/>
      <c r="EP525" s="663"/>
      <c r="EQ525" s="663"/>
      <c r="ER525" s="663"/>
      <c r="ES525" s="663"/>
      <c r="ET525" s="663"/>
      <c r="EU525" s="663"/>
      <c r="EV525" s="663"/>
      <c r="EW525" s="663"/>
      <c r="EX525" s="663"/>
      <c r="EY525" s="663"/>
      <c r="EZ525" s="663"/>
      <c r="FA525" s="663"/>
      <c r="FB525" s="663"/>
      <c r="FC525" s="663"/>
      <c r="FD525" s="663"/>
      <c r="FE525" s="663"/>
      <c r="FF525" s="663"/>
      <c r="FG525" s="663"/>
      <c r="FH525" s="663"/>
      <c r="FI525" s="663"/>
      <c r="FJ525" s="663"/>
      <c r="FK525" s="663"/>
      <c r="FL525" s="663"/>
      <c r="FM525" s="663"/>
      <c r="FN525" s="663"/>
      <c r="FO525" s="663"/>
      <c r="FP525" s="663"/>
      <c r="FQ525" s="663"/>
      <c r="FR525" s="663"/>
      <c r="FS525" s="663"/>
      <c r="FT525" s="663"/>
      <c r="FU525" s="663"/>
      <c r="FV525" s="663"/>
      <c r="FW525" s="663"/>
      <c r="FX525" s="663"/>
      <c r="FY525" s="663"/>
      <c r="FZ525" s="663"/>
      <c r="GA525" s="663"/>
      <c r="GB525" s="663"/>
      <c r="GC525" s="663"/>
      <c r="GD525" s="663"/>
      <c r="GE525" s="663"/>
      <c r="GF525" s="663"/>
      <c r="GG525" s="663"/>
    </row>
    <row r="526" spans="1:189">
      <c r="A526" s="670"/>
      <c r="B526" s="670"/>
      <c r="C526" s="670"/>
      <c r="D526" s="670"/>
      <c r="E526" s="670"/>
      <c r="F526" s="670"/>
      <c r="G526" s="673"/>
      <c r="H526" s="627"/>
      <c r="I526" s="627"/>
      <c r="J526" s="672"/>
      <c r="K526" s="663"/>
      <c r="L526" s="663"/>
      <c r="M526" s="663"/>
      <c r="N526" s="663"/>
      <c r="O526" s="663"/>
      <c r="P526" s="663"/>
      <c r="Q526" s="663"/>
      <c r="R526" s="663"/>
      <c r="S526" s="663"/>
      <c r="T526" s="663"/>
      <c r="U526" s="663"/>
      <c r="V526" s="663"/>
      <c r="W526" s="663"/>
      <c r="X526" s="663"/>
      <c r="Y526" s="663"/>
      <c r="Z526" s="663"/>
      <c r="AA526" s="663"/>
      <c r="AB526" s="663"/>
      <c r="AC526" s="663"/>
      <c r="AD526" s="663"/>
      <c r="AE526" s="663"/>
      <c r="AF526" s="663"/>
      <c r="AG526" s="663"/>
      <c r="AH526" s="663"/>
      <c r="AI526" s="663"/>
      <c r="AJ526" s="663"/>
      <c r="AK526" s="663"/>
      <c r="AL526" s="663"/>
      <c r="AM526" s="663"/>
      <c r="AN526" s="663"/>
      <c r="AO526" s="663"/>
      <c r="AP526" s="663"/>
      <c r="AQ526" s="663"/>
      <c r="AR526" s="663"/>
      <c r="AS526" s="663"/>
      <c r="AT526" s="663"/>
      <c r="AU526" s="663"/>
      <c r="AV526" s="663"/>
      <c r="AW526" s="663"/>
      <c r="AX526" s="663"/>
      <c r="AY526" s="663"/>
      <c r="AZ526" s="663"/>
      <c r="BA526" s="663"/>
      <c r="BB526" s="663"/>
      <c r="BC526" s="663"/>
      <c r="BD526" s="663"/>
      <c r="BE526" s="663"/>
      <c r="BF526" s="663"/>
      <c r="BG526" s="663"/>
      <c r="BH526" s="663"/>
      <c r="BI526" s="663"/>
      <c r="BJ526" s="663"/>
      <c r="BK526" s="663"/>
      <c r="BL526" s="663"/>
      <c r="BM526" s="663"/>
      <c r="BN526" s="663"/>
      <c r="BO526" s="663"/>
      <c r="BP526" s="663"/>
      <c r="BQ526" s="663"/>
      <c r="BR526" s="663"/>
      <c r="BS526" s="663"/>
      <c r="BT526" s="663"/>
      <c r="BU526" s="663"/>
      <c r="BV526" s="663"/>
      <c r="BW526" s="663"/>
      <c r="BX526" s="663"/>
      <c r="BY526" s="663"/>
      <c r="BZ526" s="663"/>
      <c r="CA526" s="663"/>
      <c r="CB526" s="663"/>
      <c r="CC526" s="663"/>
      <c r="CD526" s="663"/>
      <c r="CE526" s="663"/>
      <c r="CF526" s="663"/>
      <c r="CG526" s="663"/>
      <c r="CH526" s="663"/>
      <c r="CI526" s="663"/>
      <c r="CJ526" s="663"/>
      <c r="CK526" s="663"/>
      <c r="CL526" s="663"/>
      <c r="CM526" s="663"/>
      <c r="CN526" s="663"/>
      <c r="CO526" s="663"/>
      <c r="CP526" s="663"/>
      <c r="CQ526" s="663"/>
      <c r="CR526" s="663"/>
      <c r="CS526" s="663"/>
      <c r="CT526" s="663"/>
      <c r="CU526" s="663"/>
      <c r="CV526" s="663"/>
      <c r="CW526" s="663"/>
      <c r="CX526" s="663"/>
      <c r="CY526" s="663"/>
      <c r="CZ526" s="663"/>
      <c r="DA526" s="663"/>
      <c r="DB526" s="663"/>
      <c r="DC526" s="663"/>
      <c r="DD526" s="663"/>
      <c r="DE526" s="663"/>
      <c r="DF526" s="663"/>
      <c r="DG526" s="663"/>
      <c r="DH526" s="663"/>
      <c r="DI526" s="663"/>
      <c r="DJ526" s="663"/>
      <c r="DK526" s="663"/>
      <c r="DL526" s="663"/>
      <c r="DM526" s="663"/>
      <c r="DN526" s="663"/>
      <c r="DO526" s="663"/>
      <c r="DP526" s="663"/>
      <c r="DQ526" s="663"/>
      <c r="DR526" s="663"/>
      <c r="DS526" s="663"/>
      <c r="DT526" s="663"/>
      <c r="DU526" s="663"/>
      <c r="DV526" s="663"/>
      <c r="DW526" s="663"/>
      <c r="DX526" s="663"/>
      <c r="DY526" s="663"/>
      <c r="DZ526" s="663"/>
      <c r="EA526" s="663"/>
      <c r="EB526" s="663"/>
      <c r="EC526" s="663"/>
      <c r="ED526" s="663"/>
      <c r="EE526" s="663"/>
      <c r="EF526" s="663"/>
      <c r="EG526" s="663"/>
      <c r="EH526" s="663"/>
      <c r="EI526" s="663"/>
      <c r="EJ526" s="663"/>
      <c r="EK526" s="663"/>
      <c r="EL526" s="663"/>
      <c r="EM526" s="663"/>
      <c r="EN526" s="663"/>
      <c r="EO526" s="663"/>
      <c r="EP526" s="663"/>
      <c r="EQ526" s="663"/>
      <c r="ER526" s="663"/>
      <c r="ES526" s="663"/>
      <c r="ET526" s="663"/>
      <c r="EU526" s="663"/>
      <c r="EV526" s="663"/>
      <c r="EW526" s="663"/>
      <c r="EX526" s="663"/>
      <c r="EY526" s="663"/>
      <c r="EZ526" s="663"/>
      <c r="FA526" s="663"/>
      <c r="FB526" s="663"/>
      <c r="FC526" s="663"/>
      <c r="FD526" s="663"/>
      <c r="FE526" s="663"/>
      <c r="FF526" s="663"/>
      <c r="FG526" s="663"/>
      <c r="FH526" s="663"/>
      <c r="FI526" s="663"/>
      <c r="FJ526" s="663"/>
      <c r="FK526" s="663"/>
      <c r="FL526" s="663"/>
      <c r="FM526" s="663"/>
      <c r="FN526" s="663"/>
      <c r="FO526" s="663"/>
      <c r="FP526" s="663"/>
      <c r="FQ526" s="663"/>
      <c r="FR526" s="663"/>
      <c r="FS526" s="663"/>
      <c r="FT526" s="663"/>
      <c r="FU526" s="663"/>
      <c r="FV526" s="663"/>
      <c r="FW526" s="663"/>
      <c r="FX526" s="663"/>
      <c r="FY526" s="663"/>
      <c r="FZ526" s="663"/>
      <c r="GA526" s="663"/>
      <c r="GB526" s="663"/>
      <c r="GC526" s="663"/>
      <c r="GD526" s="663"/>
      <c r="GE526" s="663"/>
      <c r="GF526" s="663"/>
      <c r="GG526" s="663"/>
    </row>
    <row r="527" spans="1:189">
      <c r="A527" s="670"/>
      <c r="B527" s="670"/>
      <c r="C527" s="670"/>
      <c r="D527" s="670"/>
      <c r="E527" s="670"/>
      <c r="F527" s="670"/>
      <c r="G527" s="673"/>
      <c r="H527" s="627"/>
      <c r="I527" s="627"/>
      <c r="J527" s="672"/>
      <c r="K527" s="663"/>
      <c r="L527" s="663"/>
      <c r="M527" s="663"/>
      <c r="N527" s="663"/>
      <c r="O527" s="663"/>
      <c r="P527" s="663"/>
      <c r="Q527" s="663"/>
      <c r="R527" s="663"/>
      <c r="S527" s="663"/>
      <c r="T527" s="663"/>
      <c r="U527" s="663"/>
      <c r="V527" s="663"/>
      <c r="W527" s="663"/>
      <c r="X527" s="663"/>
      <c r="Y527" s="663"/>
      <c r="Z527" s="663"/>
      <c r="AA527" s="663"/>
      <c r="AB527" s="663"/>
      <c r="AC527" s="663"/>
      <c r="AD527" s="663"/>
      <c r="AE527" s="663"/>
      <c r="AF527" s="663"/>
      <c r="AG527" s="663"/>
      <c r="AH527" s="663"/>
      <c r="AI527" s="663"/>
      <c r="AJ527" s="663"/>
      <c r="AK527" s="663"/>
      <c r="AL527" s="663"/>
      <c r="AM527" s="663"/>
      <c r="AN527" s="663"/>
      <c r="AO527" s="663"/>
      <c r="AP527" s="663"/>
      <c r="AQ527" s="663"/>
      <c r="AR527" s="663"/>
      <c r="AS527" s="663"/>
      <c r="AT527" s="663"/>
      <c r="AU527" s="663"/>
      <c r="AV527" s="663"/>
      <c r="AW527" s="663"/>
      <c r="AX527" s="663"/>
      <c r="AY527" s="663"/>
      <c r="AZ527" s="663"/>
      <c r="BA527" s="663"/>
      <c r="BB527" s="663"/>
      <c r="BC527" s="663"/>
      <c r="BD527" s="663"/>
      <c r="BE527" s="663"/>
      <c r="BF527" s="663"/>
      <c r="BG527" s="663"/>
      <c r="BH527" s="663"/>
      <c r="BI527" s="663"/>
      <c r="BJ527" s="663"/>
      <c r="BK527" s="663"/>
      <c r="BL527" s="663"/>
      <c r="BM527" s="663"/>
      <c r="BN527" s="663"/>
      <c r="BO527" s="663"/>
      <c r="BP527" s="663"/>
      <c r="BQ527" s="663"/>
      <c r="BR527" s="663"/>
      <c r="BS527" s="663"/>
      <c r="BT527" s="663"/>
      <c r="BU527" s="663"/>
      <c r="BV527" s="663"/>
      <c r="BW527" s="663"/>
      <c r="BX527" s="663"/>
      <c r="BY527" s="663"/>
      <c r="BZ527" s="663"/>
      <c r="CA527" s="663"/>
      <c r="CB527" s="663"/>
      <c r="CC527" s="663"/>
      <c r="CD527" s="663"/>
      <c r="CE527" s="663"/>
      <c r="CF527" s="663"/>
      <c r="CG527" s="663"/>
      <c r="CH527" s="663"/>
      <c r="CI527" s="663"/>
      <c r="CJ527" s="663"/>
      <c r="CK527" s="663"/>
      <c r="CL527" s="663"/>
      <c r="CM527" s="663"/>
      <c r="CN527" s="663"/>
      <c r="CO527" s="663"/>
      <c r="CP527" s="663"/>
      <c r="CQ527" s="663"/>
      <c r="CR527" s="663"/>
      <c r="CS527" s="663"/>
      <c r="CT527" s="663"/>
      <c r="CU527" s="663"/>
      <c r="CV527" s="663"/>
      <c r="CW527" s="663"/>
      <c r="CX527" s="663"/>
      <c r="CY527" s="663"/>
      <c r="CZ527" s="663"/>
      <c r="DA527" s="663"/>
      <c r="DB527" s="663"/>
      <c r="DC527" s="663"/>
      <c r="DD527" s="663"/>
      <c r="DE527" s="663"/>
      <c r="DF527" s="663"/>
      <c r="DG527" s="663"/>
      <c r="DH527" s="663"/>
      <c r="DI527" s="663"/>
      <c r="DJ527" s="663"/>
      <c r="DK527" s="663"/>
      <c r="DL527" s="663"/>
      <c r="DM527" s="663"/>
      <c r="DN527" s="663"/>
      <c r="DO527" s="663"/>
      <c r="DP527" s="663"/>
      <c r="DQ527" s="663"/>
      <c r="DR527" s="663"/>
      <c r="DS527" s="663"/>
      <c r="DT527" s="663"/>
      <c r="DU527" s="663"/>
      <c r="DV527" s="663"/>
      <c r="DW527" s="663"/>
      <c r="DX527" s="663"/>
      <c r="DY527" s="663"/>
      <c r="DZ527" s="663"/>
      <c r="EA527" s="663"/>
      <c r="EB527" s="663"/>
      <c r="EC527" s="663"/>
      <c r="ED527" s="663"/>
      <c r="EE527" s="663"/>
      <c r="EF527" s="663"/>
      <c r="EG527" s="663"/>
      <c r="EH527" s="663"/>
      <c r="EI527" s="663"/>
      <c r="EJ527" s="663"/>
      <c r="EK527" s="663"/>
      <c r="EL527" s="663"/>
      <c r="EM527" s="663"/>
      <c r="EN527" s="663"/>
      <c r="EO527" s="663"/>
      <c r="EP527" s="663"/>
      <c r="EQ527" s="663"/>
      <c r="ER527" s="663"/>
      <c r="ES527" s="663"/>
      <c r="ET527" s="663"/>
      <c r="EU527" s="663"/>
      <c r="EV527" s="663"/>
      <c r="EW527" s="663"/>
      <c r="EX527" s="663"/>
      <c r="EY527" s="663"/>
      <c r="EZ527" s="663"/>
      <c r="FA527" s="663"/>
      <c r="FB527" s="663"/>
      <c r="FC527" s="663"/>
      <c r="FD527" s="663"/>
      <c r="FE527" s="663"/>
      <c r="FF527" s="663"/>
      <c r="FG527" s="663"/>
      <c r="FH527" s="663"/>
      <c r="FI527" s="663"/>
      <c r="FJ527" s="663"/>
      <c r="FK527" s="663"/>
      <c r="FL527" s="663"/>
      <c r="FM527" s="663"/>
      <c r="FN527" s="663"/>
      <c r="FO527" s="663"/>
      <c r="FP527" s="663"/>
      <c r="FQ527" s="663"/>
      <c r="FR527" s="663"/>
      <c r="FS527" s="663"/>
      <c r="FT527" s="663"/>
      <c r="FU527" s="663"/>
      <c r="FV527" s="663"/>
      <c r="FW527" s="663"/>
      <c r="FX527" s="663"/>
      <c r="FY527" s="663"/>
      <c r="FZ527" s="663"/>
      <c r="GA527" s="663"/>
      <c r="GB527" s="663"/>
      <c r="GC527" s="663"/>
      <c r="GD527" s="663"/>
      <c r="GE527" s="663"/>
      <c r="GF527" s="663"/>
      <c r="GG527" s="663"/>
    </row>
    <row r="528" spans="1:189">
      <c r="A528" s="670"/>
      <c r="B528" s="670"/>
      <c r="C528" s="670"/>
      <c r="D528" s="670"/>
      <c r="E528" s="670"/>
      <c r="F528" s="670"/>
      <c r="G528" s="673"/>
      <c r="H528" s="627"/>
      <c r="I528" s="627"/>
      <c r="J528" s="672"/>
      <c r="K528" s="663"/>
      <c r="L528" s="663"/>
      <c r="M528" s="663"/>
      <c r="N528" s="663"/>
      <c r="O528" s="663"/>
      <c r="P528" s="663"/>
      <c r="Q528" s="663"/>
      <c r="R528" s="663"/>
      <c r="S528" s="663"/>
      <c r="T528" s="663"/>
      <c r="U528" s="663"/>
      <c r="V528" s="663"/>
      <c r="W528" s="663"/>
      <c r="X528" s="663"/>
      <c r="Y528" s="663"/>
      <c r="Z528" s="663"/>
      <c r="AA528" s="663"/>
      <c r="AB528" s="663"/>
      <c r="AC528" s="663"/>
      <c r="AD528" s="663"/>
      <c r="AE528" s="663"/>
      <c r="AF528" s="663"/>
      <c r="AG528" s="663"/>
      <c r="AH528" s="663"/>
      <c r="AI528" s="663"/>
      <c r="AJ528" s="663"/>
      <c r="AK528" s="663"/>
      <c r="AL528" s="663"/>
      <c r="AM528" s="663"/>
      <c r="AN528" s="663"/>
      <c r="AO528" s="663"/>
      <c r="AP528" s="663"/>
      <c r="AQ528" s="663"/>
      <c r="AR528" s="663"/>
      <c r="AS528" s="663"/>
      <c r="AT528" s="663"/>
      <c r="AU528" s="663"/>
      <c r="AV528" s="663"/>
      <c r="AW528" s="663"/>
      <c r="AX528" s="663"/>
      <c r="AY528" s="663"/>
      <c r="AZ528" s="663"/>
      <c r="BA528" s="663"/>
      <c r="BB528" s="663"/>
      <c r="BC528" s="663"/>
      <c r="BD528" s="663"/>
      <c r="BE528" s="663"/>
      <c r="BF528" s="663"/>
      <c r="BG528" s="663"/>
      <c r="BH528" s="663"/>
      <c r="BI528" s="663"/>
      <c r="BJ528" s="663"/>
      <c r="BK528" s="663"/>
      <c r="BL528" s="663"/>
      <c r="BM528" s="663"/>
      <c r="BN528" s="663"/>
      <c r="BO528" s="663"/>
      <c r="BP528" s="663"/>
      <c r="BQ528" s="663"/>
      <c r="BR528" s="663"/>
      <c r="BS528" s="663"/>
      <c r="BT528" s="663"/>
      <c r="BU528" s="663"/>
      <c r="BV528" s="663"/>
      <c r="BW528" s="663"/>
      <c r="BX528" s="663"/>
      <c r="BY528" s="663"/>
      <c r="BZ528" s="663"/>
      <c r="CA528" s="663"/>
      <c r="CB528" s="663"/>
      <c r="CC528" s="663"/>
      <c r="CD528" s="663"/>
      <c r="CE528" s="663"/>
      <c r="CF528" s="663"/>
      <c r="CG528" s="663"/>
      <c r="CH528" s="663"/>
      <c r="CI528" s="663"/>
      <c r="CJ528" s="663"/>
      <c r="CK528" s="663"/>
      <c r="CL528" s="663"/>
      <c r="CM528" s="663"/>
      <c r="CN528" s="663"/>
      <c r="CO528" s="663"/>
      <c r="CP528" s="663"/>
      <c r="CQ528" s="663"/>
      <c r="CR528" s="663"/>
      <c r="CS528" s="663"/>
      <c r="CT528" s="663"/>
      <c r="CU528" s="663"/>
      <c r="CV528" s="663"/>
      <c r="CW528" s="663"/>
      <c r="CX528" s="663"/>
      <c r="CY528" s="663"/>
      <c r="CZ528" s="663"/>
      <c r="DA528" s="663"/>
      <c r="DB528" s="663"/>
      <c r="DC528" s="663"/>
      <c r="DD528" s="663"/>
      <c r="DE528" s="663"/>
      <c r="DF528" s="663"/>
      <c r="DG528" s="663"/>
      <c r="DH528" s="663"/>
      <c r="DI528" s="663"/>
      <c r="DJ528" s="663"/>
      <c r="DK528" s="663"/>
      <c r="DL528" s="663"/>
      <c r="DM528" s="663"/>
      <c r="DN528" s="663"/>
      <c r="DO528" s="663"/>
      <c r="DP528" s="663"/>
      <c r="DQ528" s="663"/>
      <c r="DR528" s="663"/>
      <c r="DS528" s="663"/>
      <c r="DT528" s="663"/>
      <c r="DU528" s="663"/>
      <c r="DV528" s="663"/>
      <c r="DW528" s="663"/>
      <c r="DX528" s="663"/>
      <c r="DY528" s="663"/>
      <c r="DZ528" s="663"/>
      <c r="EA528" s="663"/>
      <c r="EB528" s="663"/>
      <c r="EC528" s="663"/>
      <c r="ED528" s="663"/>
      <c r="EE528" s="663"/>
      <c r="EF528" s="663"/>
      <c r="EG528" s="663"/>
      <c r="EH528" s="663"/>
      <c r="EI528" s="663"/>
      <c r="EJ528" s="663"/>
      <c r="EK528" s="663"/>
      <c r="EL528" s="663"/>
      <c r="EM528" s="663"/>
      <c r="EN528" s="663"/>
      <c r="EO528" s="663"/>
      <c r="EP528" s="663"/>
      <c r="EQ528" s="663"/>
      <c r="ER528" s="663"/>
      <c r="ES528" s="663"/>
      <c r="ET528" s="663"/>
      <c r="EU528" s="663"/>
      <c r="EV528" s="663"/>
      <c r="EW528" s="663"/>
      <c r="EX528" s="663"/>
      <c r="EY528" s="663"/>
      <c r="EZ528" s="663"/>
      <c r="FA528" s="663"/>
      <c r="FB528" s="663"/>
      <c r="FC528" s="663"/>
      <c r="FD528" s="663"/>
      <c r="FE528" s="663"/>
      <c r="FF528" s="663"/>
      <c r="FG528" s="663"/>
      <c r="FH528" s="663"/>
      <c r="FI528" s="663"/>
      <c r="FJ528" s="663"/>
      <c r="FK528" s="663"/>
      <c r="FL528" s="663"/>
      <c r="FM528" s="663"/>
      <c r="FN528" s="663"/>
      <c r="FO528" s="663"/>
      <c r="FP528" s="663"/>
      <c r="FQ528" s="663"/>
      <c r="FR528" s="663"/>
      <c r="FS528" s="663"/>
      <c r="FT528" s="663"/>
      <c r="FU528" s="663"/>
      <c r="FV528" s="663"/>
      <c r="FW528" s="663"/>
      <c r="FX528" s="663"/>
      <c r="FY528" s="663"/>
      <c r="FZ528" s="663"/>
      <c r="GA528" s="663"/>
      <c r="GB528" s="663"/>
      <c r="GC528" s="663"/>
      <c r="GD528" s="663"/>
      <c r="GE528" s="663"/>
      <c r="GF528" s="663"/>
      <c r="GG528" s="663"/>
    </row>
    <row r="529" spans="1:189">
      <c r="A529" s="670"/>
      <c r="B529" s="670"/>
      <c r="C529" s="670"/>
      <c r="D529" s="670"/>
      <c r="E529" s="670"/>
      <c r="F529" s="670"/>
      <c r="G529" s="673"/>
      <c r="H529" s="627"/>
      <c r="I529" s="627"/>
      <c r="J529" s="672"/>
      <c r="K529" s="663"/>
      <c r="L529" s="663"/>
      <c r="M529" s="663"/>
      <c r="N529" s="663"/>
      <c r="O529" s="663"/>
      <c r="P529" s="663"/>
      <c r="Q529" s="663"/>
      <c r="R529" s="663"/>
      <c r="S529" s="663"/>
      <c r="T529" s="663"/>
      <c r="U529" s="663"/>
      <c r="V529" s="663"/>
      <c r="W529" s="663"/>
      <c r="X529" s="663"/>
      <c r="Y529" s="663"/>
      <c r="Z529" s="663"/>
      <c r="AA529" s="663"/>
      <c r="AB529" s="663"/>
      <c r="AC529" s="663"/>
      <c r="AD529" s="663"/>
      <c r="AE529" s="663"/>
      <c r="AF529" s="663"/>
      <c r="AG529" s="663"/>
      <c r="AH529" s="663"/>
      <c r="AI529" s="663"/>
      <c r="AJ529" s="663"/>
      <c r="AK529" s="663"/>
      <c r="AL529" s="663"/>
      <c r="AM529" s="663"/>
      <c r="AN529" s="663"/>
      <c r="AO529" s="663"/>
      <c r="AP529" s="663"/>
      <c r="AQ529" s="663"/>
      <c r="AR529" s="663"/>
      <c r="AS529" s="663"/>
      <c r="AT529" s="663"/>
      <c r="AU529" s="663"/>
      <c r="AV529" s="663"/>
      <c r="AW529" s="663"/>
      <c r="AX529" s="663"/>
      <c r="AY529" s="663"/>
      <c r="AZ529" s="663"/>
      <c r="BA529" s="663"/>
      <c r="BB529" s="663"/>
      <c r="BC529" s="663"/>
      <c r="BD529" s="663"/>
      <c r="BE529" s="663"/>
      <c r="BF529" s="663"/>
      <c r="BG529" s="663"/>
      <c r="BH529" s="663"/>
      <c r="BI529" s="663"/>
      <c r="BJ529" s="663"/>
      <c r="BK529" s="663"/>
      <c r="BL529" s="663"/>
      <c r="BM529" s="663"/>
      <c r="BN529" s="663"/>
      <c r="BO529" s="663"/>
      <c r="BP529" s="663"/>
      <c r="BQ529" s="663"/>
      <c r="BR529" s="663"/>
      <c r="BS529" s="663"/>
      <c r="BT529" s="663"/>
      <c r="BU529" s="663"/>
      <c r="BV529" s="663"/>
      <c r="BW529" s="663"/>
      <c r="BX529" s="663"/>
      <c r="BY529" s="663"/>
      <c r="BZ529" s="663"/>
      <c r="CA529" s="663"/>
      <c r="CB529" s="663"/>
      <c r="CC529" s="663"/>
      <c r="CD529" s="663"/>
      <c r="CE529" s="663"/>
      <c r="CF529" s="663"/>
      <c r="CG529" s="663"/>
      <c r="CH529" s="663"/>
      <c r="CI529" s="663"/>
      <c r="CJ529" s="663"/>
      <c r="CK529" s="663"/>
      <c r="CL529" s="663"/>
      <c r="CM529" s="663"/>
      <c r="CN529" s="663"/>
      <c r="CO529" s="663"/>
      <c r="CP529" s="663"/>
      <c r="CQ529" s="663"/>
      <c r="CR529" s="663"/>
      <c r="CS529" s="663"/>
      <c r="CT529" s="663"/>
      <c r="CU529" s="663"/>
      <c r="CV529" s="663"/>
      <c r="CW529" s="663"/>
      <c r="CX529" s="663"/>
      <c r="CY529" s="663"/>
      <c r="CZ529" s="663"/>
      <c r="DA529" s="663"/>
      <c r="DB529" s="663"/>
      <c r="DC529" s="663"/>
      <c r="DD529" s="663"/>
      <c r="DE529" s="663"/>
      <c r="DF529" s="663"/>
      <c r="DG529" s="663"/>
      <c r="DH529" s="663"/>
      <c r="DI529" s="663"/>
      <c r="DJ529" s="663"/>
      <c r="DK529" s="663"/>
      <c r="DL529" s="663"/>
      <c r="DM529" s="663"/>
      <c r="DN529" s="663"/>
      <c r="DO529" s="663"/>
      <c r="DP529" s="663"/>
      <c r="DQ529" s="663"/>
      <c r="DR529" s="663"/>
      <c r="DS529" s="663"/>
      <c r="DT529" s="663"/>
      <c r="DU529" s="663"/>
      <c r="DV529" s="663"/>
      <c r="DW529" s="663"/>
      <c r="DX529" s="663"/>
      <c r="DY529" s="663"/>
      <c r="DZ529" s="663"/>
      <c r="EA529" s="663"/>
      <c r="EB529" s="663"/>
      <c r="EC529" s="663"/>
      <c r="ED529" s="663"/>
      <c r="EE529" s="663"/>
      <c r="EF529" s="663"/>
      <c r="EG529" s="663"/>
      <c r="EH529" s="663"/>
      <c r="EI529" s="663"/>
      <c r="EJ529" s="663"/>
      <c r="EK529" s="663"/>
      <c r="EL529" s="663"/>
      <c r="EM529" s="663"/>
      <c r="EN529" s="663"/>
      <c r="EO529" s="663"/>
      <c r="EP529" s="663"/>
      <c r="EQ529" s="663"/>
      <c r="ER529" s="663"/>
      <c r="ES529" s="663"/>
      <c r="ET529" s="663"/>
      <c r="EU529" s="663"/>
      <c r="EV529" s="663"/>
      <c r="EW529" s="663"/>
      <c r="EX529" s="663"/>
      <c r="EY529" s="663"/>
      <c r="EZ529" s="663"/>
      <c r="FA529" s="663"/>
      <c r="FB529" s="663"/>
      <c r="FC529" s="663"/>
      <c r="FD529" s="663"/>
      <c r="FE529" s="663"/>
      <c r="FF529" s="663"/>
      <c r="FG529" s="663"/>
      <c r="FH529" s="663"/>
      <c r="FI529" s="663"/>
      <c r="FJ529" s="663"/>
      <c r="FK529" s="663"/>
      <c r="FL529" s="663"/>
      <c r="FM529" s="663"/>
      <c r="FN529" s="663"/>
      <c r="FO529" s="663"/>
      <c r="FP529" s="663"/>
      <c r="FQ529" s="663"/>
      <c r="FR529" s="663"/>
      <c r="FS529" s="663"/>
      <c r="FT529" s="663"/>
      <c r="FU529" s="663"/>
      <c r="FV529" s="663"/>
      <c r="FW529" s="663"/>
      <c r="FX529" s="663"/>
      <c r="FY529" s="663"/>
      <c r="FZ529" s="663"/>
      <c r="GA529" s="663"/>
      <c r="GB529" s="663"/>
      <c r="GC529" s="663"/>
      <c r="GD529" s="663"/>
      <c r="GE529" s="663"/>
      <c r="GF529" s="663"/>
      <c r="GG529" s="663"/>
    </row>
    <row r="530" spans="1:189">
      <c r="A530" s="670"/>
      <c r="B530" s="670"/>
      <c r="C530" s="670"/>
      <c r="D530" s="670"/>
      <c r="E530" s="670"/>
      <c r="F530" s="670"/>
      <c r="G530" s="673"/>
      <c r="H530" s="627"/>
      <c r="I530" s="627"/>
      <c r="J530" s="672"/>
      <c r="K530" s="663"/>
      <c r="L530" s="663"/>
      <c r="M530" s="663"/>
      <c r="N530" s="663"/>
      <c r="O530" s="663"/>
      <c r="P530" s="663"/>
      <c r="Q530" s="663"/>
      <c r="R530" s="663"/>
      <c r="S530" s="663"/>
      <c r="T530" s="663"/>
      <c r="U530" s="663"/>
      <c r="V530" s="663"/>
      <c r="W530" s="663"/>
      <c r="X530" s="663"/>
      <c r="Y530" s="663"/>
      <c r="Z530" s="663"/>
      <c r="AA530" s="663"/>
      <c r="AB530" s="663"/>
      <c r="AC530" s="663"/>
      <c r="AD530" s="663"/>
      <c r="AE530" s="663"/>
      <c r="AF530" s="663"/>
      <c r="AG530" s="663"/>
      <c r="AH530" s="663"/>
      <c r="AI530" s="663"/>
      <c r="AJ530" s="663"/>
      <c r="AK530" s="663"/>
      <c r="AL530" s="663"/>
      <c r="AM530" s="663"/>
      <c r="AN530" s="663"/>
      <c r="AO530" s="663"/>
      <c r="AP530" s="663"/>
      <c r="AQ530" s="663"/>
      <c r="AR530" s="663"/>
      <c r="AS530" s="663"/>
      <c r="AT530" s="663"/>
      <c r="AU530" s="663"/>
      <c r="AV530" s="663"/>
      <c r="AW530" s="663"/>
      <c r="AX530" s="663"/>
      <c r="AY530" s="663"/>
      <c r="AZ530" s="663"/>
      <c r="BA530" s="663"/>
      <c r="BB530" s="663"/>
      <c r="BC530" s="663"/>
      <c r="BD530" s="663"/>
      <c r="BE530" s="663"/>
      <c r="BF530" s="663"/>
      <c r="BG530" s="663"/>
      <c r="BH530" s="663"/>
      <c r="BI530" s="663"/>
      <c r="BJ530" s="663"/>
      <c r="BK530" s="663"/>
      <c r="BL530" s="663"/>
      <c r="BM530" s="663"/>
      <c r="BN530" s="663"/>
      <c r="BO530" s="663"/>
      <c r="BP530" s="663"/>
      <c r="BQ530" s="663"/>
      <c r="BR530" s="663"/>
      <c r="BS530" s="663"/>
      <c r="BT530" s="663"/>
      <c r="BU530" s="663"/>
      <c r="BV530" s="663"/>
      <c r="BW530" s="663"/>
      <c r="BX530" s="663"/>
      <c r="BY530" s="663"/>
      <c r="BZ530" s="663"/>
      <c r="CA530" s="663"/>
      <c r="CB530" s="663"/>
      <c r="CC530" s="663"/>
      <c r="CD530" s="663"/>
      <c r="CE530" s="663"/>
      <c r="CF530" s="663"/>
      <c r="CG530" s="663"/>
      <c r="CH530" s="663"/>
      <c r="CI530" s="663"/>
      <c r="CJ530" s="663"/>
      <c r="CK530" s="663"/>
      <c r="CL530" s="663"/>
      <c r="CM530" s="663"/>
      <c r="CN530" s="663"/>
      <c r="CO530" s="663"/>
      <c r="CP530" s="663"/>
      <c r="CQ530" s="663"/>
      <c r="CR530" s="663"/>
      <c r="CS530" s="663"/>
      <c r="CT530" s="663"/>
      <c r="CU530" s="663"/>
      <c r="CV530" s="663"/>
      <c r="CW530" s="663"/>
      <c r="CX530" s="663"/>
      <c r="CY530" s="663"/>
      <c r="CZ530" s="663"/>
      <c r="DA530" s="663"/>
      <c r="DB530" s="663"/>
      <c r="DC530" s="663"/>
      <c r="DD530" s="663"/>
      <c r="DE530" s="663"/>
      <c r="DF530" s="663"/>
      <c r="DG530" s="663"/>
      <c r="DH530" s="663"/>
      <c r="DI530" s="663"/>
      <c r="DJ530" s="663"/>
      <c r="DK530" s="663"/>
      <c r="DL530" s="663"/>
      <c r="DM530" s="663"/>
      <c r="DN530" s="663"/>
      <c r="DO530" s="663"/>
      <c r="DP530" s="663"/>
      <c r="DQ530" s="663"/>
      <c r="DR530" s="663"/>
      <c r="DS530" s="663"/>
      <c r="DT530" s="663"/>
      <c r="DU530" s="663"/>
      <c r="DV530" s="663"/>
      <c r="DW530" s="663"/>
      <c r="DX530" s="663"/>
      <c r="DY530" s="663"/>
      <c r="DZ530" s="663"/>
      <c r="EA530" s="663"/>
      <c r="EB530" s="663"/>
      <c r="EC530" s="663"/>
      <c r="ED530" s="663"/>
      <c r="EE530" s="663"/>
      <c r="EF530" s="663"/>
      <c r="EG530" s="663"/>
      <c r="EH530" s="663"/>
      <c r="EI530" s="663"/>
      <c r="EJ530" s="663"/>
      <c r="EK530" s="663"/>
      <c r="EL530" s="663"/>
      <c r="EM530" s="663"/>
      <c r="EN530" s="663"/>
      <c r="EO530" s="663"/>
      <c r="EP530" s="663"/>
      <c r="EQ530" s="663"/>
      <c r="ER530" s="663"/>
      <c r="ES530" s="663"/>
      <c r="ET530" s="663"/>
      <c r="EU530" s="663"/>
      <c r="EV530" s="663"/>
      <c r="EW530" s="663"/>
      <c r="EX530" s="663"/>
      <c r="EY530" s="663"/>
      <c r="EZ530" s="663"/>
      <c r="FA530" s="663"/>
      <c r="FB530" s="663"/>
      <c r="FC530" s="663"/>
      <c r="FD530" s="663"/>
      <c r="FE530" s="663"/>
      <c r="FF530" s="663"/>
      <c r="FG530" s="663"/>
      <c r="FH530" s="663"/>
      <c r="FI530" s="663"/>
      <c r="FJ530" s="663"/>
      <c r="FK530" s="663"/>
      <c r="FL530" s="663"/>
      <c r="FM530" s="663"/>
      <c r="FN530" s="663"/>
      <c r="FO530" s="663"/>
      <c r="FP530" s="663"/>
      <c r="FQ530" s="663"/>
      <c r="FR530" s="663"/>
      <c r="FS530" s="663"/>
      <c r="FT530" s="663"/>
      <c r="FU530" s="663"/>
      <c r="FV530" s="663"/>
      <c r="FW530" s="663"/>
      <c r="FX530" s="663"/>
      <c r="FY530" s="663"/>
      <c r="FZ530" s="663"/>
      <c r="GA530" s="663"/>
      <c r="GB530" s="663"/>
      <c r="GC530" s="663"/>
      <c r="GD530" s="663"/>
      <c r="GE530" s="663"/>
      <c r="GF530" s="663"/>
      <c r="GG530" s="663"/>
    </row>
    <row r="531" spans="1:189">
      <c r="A531" s="670"/>
      <c r="B531" s="670"/>
      <c r="C531" s="670"/>
      <c r="D531" s="670"/>
      <c r="E531" s="670"/>
      <c r="F531" s="670"/>
      <c r="G531" s="673"/>
      <c r="H531" s="627"/>
      <c r="I531" s="627"/>
      <c r="J531" s="672"/>
      <c r="K531" s="663"/>
      <c r="L531" s="663"/>
      <c r="M531" s="663"/>
      <c r="N531" s="663"/>
      <c r="O531" s="663"/>
      <c r="P531" s="663"/>
      <c r="Q531" s="663"/>
      <c r="R531" s="663"/>
      <c r="S531" s="663"/>
      <c r="T531" s="663"/>
      <c r="U531" s="663"/>
      <c r="V531" s="663"/>
      <c r="W531" s="663"/>
      <c r="X531" s="663"/>
      <c r="Y531" s="663"/>
      <c r="Z531" s="663"/>
      <c r="AA531" s="663"/>
      <c r="AB531" s="663"/>
      <c r="AC531" s="663"/>
      <c r="AD531" s="663"/>
      <c r="AE531" s="663"/>
      <c r="AF531" s="663"/>
      <c r="AG531" s="663"/>
      <c r="AH531" s="663"/>
      <c r="AI531" s="663"/>
      <c r="AJ531" s="663"/>
      <c r="AK531" s="663"/>
      <c r="AL531" s="663"/>
      <c r="AM531" s="663"/>
      <c r="AN531" s="663"/>
      <c r="AO531" s="663"/>
      <c r="AP531" s="663"/>
      <c r="AQ531" s="663"/>
      <c r="AR531" s="663"/>
      <c r="AS531" s="663"/>
      <c r="AT531" s="663"/>
      <c r="AU531" s="663"/>
      <c r="AV531" s="663"/>
      <c r="AW531" s="663"/>
      <c r="AX531" s="663"/>
      <c r="AY531" s="663"/>
      <c r="AZ531" s="663"/>
      <c r="BA531" s="663"/>
      <c r="BB531" s="663"/>
      <c r="BC531" s="663"/>
      <c r="BD531" s="663"/>
      <c r="BE531" s="663"/>
      <c r="BF531" s="663"/>
      <c r="BG531" s="663"/>
      <c r="BH531" s="663"/>
      <c r="BI531" s="663"/>
      <c r="BJ531" s="663"/>
      <c r="BK531" s="663"/>
      <c r="BL531" s="663"/>
      <c r="BM531" s="663"/>
      <c r="BN531" s="663"/>
      <c r="BO531" s="663"/>
      <c r="BP531" s="663"/>
      <c r="BQ531" s="663"/>
      <c r="BR531" s="663"/>
      <c r="BS531" s="663"/>
      <c r="BT531" s="663"/>
      <c r="BU531" s="663"/>
      <c r="BV531" s="663"/>
      <c r="BW531" s="663"/>
      <c r="BX531" s="663"/>
      <c r="BY531" s="663"/>
      <c r="BZ531" s="663"/>
      <c r="CA531" s="663"/>
      <c r="CB531" s="663"/>
      <c r="CC531" s="663"/>
      <c r="CD531" s="663"/>
      <c r="CE531" s="663"/>
      <c r="CF531" s="663"/>
      <c r="CG531" s="663"/>
      <c r="CH531" s="663"/>
      <c r="CI531" s="663"/>
      <c r="CJ531" s="663"/>
      <c r="CK531" s="663"/>
      <c r="CL531" s="663"/>
      <c r="CM531" s="663"/>
      <c r="CN531" s="663"/>
      <c r="CO531" s="663"/>
      <c r="CP531" s="663"/>
      <c r="CQ531" s="663"/>
      <c r="CR531" s="663"/>
      <c r="CS531" s="663"/>
      <c r="CT531" s="663"/>
      <c r="CU531" s="663"/>
      <c r="CV531" s="663"/>
      <c r="CW531" s="663"/>
      <c r="CX531" s="663"/>
      <c r="CY531" s="663"/>
      <c r="CZ531" s="663"/>
      <c r="DA531" s="663"/>
      <c r="DB531" s="663"/>
      <c r="DC531" s="663"/>
      <c r="DD531" s="663"/>
      <c r="DE531" s="663"/>
      <c r="DF531" s="663"/>
      <c r="DG531" s="663"/>
      <c r="DH531" s="663"/>
      <c r="DI531" s="663"/>
      <c r="DJ531" s="663"/>
      <c r="DK531" s="663"/>
      <c r="DL531" s="663"/>
      <c r="DM531" s="663"/>
      <c r="DN531" s="663"/>
      <c r="DO531" s="663"/>
      <c r="DP531" s="663"/>
      <c r="DQ531" s="663"/>
      <c r="DR531" s="663"/>
      <c r="DS531" s="663"/>
      <c r="DT531" s="663"/>
      <c r="DU531" s="663"/>
      <c r="DV531" s="663"/>
      <c r="DW531" s="663"/>
      <c r="DX531" s="663"/>
      <c r="DY531" s="663"/>
      <c r="DZ531" s="663"/>
      <c r="EA531" s="663"/>
      <c r="EB531" s="663"/>
      <c r="EC531" s="663"/>
      <c r="ED531" s="663"/>
      <c r="EE531" s="663"/>
      <c r="EF531" s="663"/>
      <c r="EG531" s="663"/>
      <c r="EH531" s="663"/>
      <c r="EI531" s="663"/>
      <c r="EJ531" s="663"/>
      <c r="EK531" s="663"/>
      <c r="EL531" s="663"/>
      <c r="EM531" s="663"/>
      <c r="EN531" s="663"/>
      <c r="EO531" s="663"/>
      <c r="EP531" s="663"/>
      <c r="EQ531" s="663"/>
      <c r="ER531" s="663"/>
      <c r="ES531" s="663"/>
      <c r="ET531" s="663"/>
      <c r="EU531" s="663"/>
      <c r="EV531" s="663"/>
      <c r="EW531" s="663"/>
      <c r="EX531" s="663"/>
      <c r="EY531" s="663"/>
      <c r="EZ531" s="663"/>
      <c r="FA531" s="663"/>
      <c r="FB531" s="663"/>
      <c r="FC531" s="663"/>
      <c r="FD531" s="663"/>
      <c r="FE531" s="663"/>
      <c r="FF531" s="663"/>
      <c r="FG531" s="663"/>
      <c r="FH531" s="663"/>
      <c r="FI531" s="663"/>
      <c r="FJ531" s="663"/>
      <c r="FK531" s="663"/>
      <c r="FL531" s="663"/>
      <c r="FM531" s="663"/>
      <c r="FN531" s="663"/>
      <c r="FO531" s="663"/>
      <c r="FP531" s="663"/>
      <c r="FQ531" s="663"/>
      <c r="FR531" s="663"/>
      <c r="FS531" s="663"/>
      <c r="FT531" s="663"/>
      <c r="FU531" s="663"/>
      <c r="FV531" s="663"/>
      <c r="FW531" s="663"/>
      <c r="FX531" s="663"/>
      <c r="FY531" s="663"/>
      <c r="FZ531" s="663"/>
      <c r="GA531" s="663"/>
      <c r="GB531" s="663"/>
      <c r="GC531" s="663"/>
      <c r="GD531" s="663"/>
      <c r="GE531" s="663"/>
      <c r="GF531" s="663"/>
      <c r="GG531" s="663"/>
    </row>
    <row r="532" spans="1:189">
      <c r="A532" s="670"/>
      <c r="B532" s="670"/>
      <c r="C532" s="670"/>
      <c r="D532" s="670"/>
      <c r="E532" s="670"/>
      <c r="F532" s="670"/>
      <c r="G532" s="673"/>
      <c r="H532" s="627"/>
      <c r="I532" s="627"/>
      <c r="J532" s="672"/>
      <c r="K532" s="663"/>
      <c r="L532" s="663"/>
      <c r="M532" s="663"/>
      <c r="N532" s="663"/>
      <c r="O532" s="663"/>
      <c r="P532" s="663"/>
      <c r="Q532" s="663"/>
      <c r="R532" s="663"/>
      <c r="S532" s="663"/>
      <c r="T532" s="663"/>
      <c r="U532" s="663"/>
      <c r="V532" s="663"/>
      <c r="W532" s="663"/>
      <c r="X532" s="663"/>
      <c r="Y532" s="663"/>
      <c r="Z532" s="663"/>
      <c r="AA532" s="663"/>
      <c r="AB532" s="663"/>
      <c r="AC532" s="663"/>
      <c r="AD532" s="663"/>
      <c r="AE532" s="663"/>
      <c r="AF532" s="663"/>
      <c r="AG532" s="663"/>
      <c r="AH532" s="663"/>
      <c r="AI532" s="663"/>
      <c r="AJ532" s="663"/>
      <c r="AK532" s="663"/>
      <c r="AL532" s="663"/>
      <c r="AM532" s="663"/>
      <c r="AN532" s="663"/>
      <c r="AO532" s="663"/>
      <c r="AP532" s="663"/>
      <c r="AQ532" s="663"/>
      <c r="AR532" s="663"/>
      <c r="AS532" s="663"/>
      <c r="AT532" s="663"/>
      <c r="AU532" s="663"/>
      <c r="AV532" s="663"/>
      <c r="AW532" s="663"/>
      <c r="AX532" s="663"/>
      <c r="AY532" s="663"/>
      <c r="AZ532" s="663"/>
      <c r="BA532" s="663"/>
      <c r="BB532" s="663"/>
      <c r="BC532" s="663"/>
      <c r="BD532" s="663"/>
      <c r="BE532" s="663"/>
      <c r="BF532" s="663"/>
      <c r="BG532" s="663"/>
      <c r="BH532" s="663"/>
      <c r="BI532" s="663"/>
      <c r="BJ532" s="663"/>
      <c r="BK532" s="663"/>
      <c r="BL532" s="663"/>
      <c r="BM532" s="663"/>
      <c r="BN532" s="663"/>
      <c r="BO532" s="663"/>
      <c r="BP532" s="663"/>
      <c r="BQ532" s="663"/>
      <c r="BR532" s="663"/>
      <c r="BS532" s="663"/>
      <c r="BT532" s="663"/>
      <c r="BU532" s="663"/>
      <c r="BV532" s="663"/>
      <c r="BW532" s="663"/>
      <c r="BX532" s="663"/>
      <c r="BY532" s="663"/>
      <c r="BZ532" s="663"/>
      <c r="CA532" s="663"/>
      <c r="CB532" s="663"/>
      <c r="CC532" s="663"/>
      <c r="CD532" s="663"/>
      <c r="CE532" s="663"/>
      <c r="CF532" s="663"/>
      <c r="CG532" s="663"/>
      <c r="CH532" s="663"/>
      <c r="CI532" s="663"/>
      <c r="CJ532" s="663"/>
      <c r="CK532" s="663"/>
      <c r="CL532" s="663"/>
      <c r="CM532" s="663"/>
      <c r="CN532" s="663"/>
      <c r="CO532" s="663"/>
      <c r="CP532" s="663"/>
      <c r="CQ532" s="663"/>
      <c r="CR532" s="663"/>
      <c r="CS532" s="663"/>
      <c r="CT532" s="663"/>
      <c r="CU532" s="663"/>
      <c r="CV532" s="663"/>
      <c r="CW532" s="663"/>
      <c r="CX532" s="663"/>
      <c r="CY532" s="663"/>
      <c r="CZ532" s="663"/>
      <c r="DA532" s="663"/>
      <c r="DB532" s="663"/>
      <c r="DC532" s="663"/>
      <c r="DD532" s="663"/>
      <c r="DE532" s="663"/>
      <c r="DF532" s="663"/>
      <c r="DG532" s="663"/>
      <c r="DH532" s="663"/>
      <c r="DI532" s="663"/>
      <c r="DJ532" s="663"/>
      <c r="DK532" s="663"/>
      <c r="DL532" s="663"/>
      <c r="DM532" s="663"/>
      <c r="DN532" s="663"/>
      <c r="DO532" s="663"/>
      <c r="DP532" s="663"/>
      <c r="DQ532" s="663"/>
      <c r="DR532" s="663"/>
      <c r="DS532" s="663"/>
      <c r="DT532" s="663"/>
      <c r="DU532" s="663"/>
      <c r="DV532" s="663"/>
      <c r="DW532" s="663"/>
      <c r="DX532" s="663"/>
      <c r="DY532" s="663"/>
      <c r="DZ532" s="663"/>
      <c r="EA532" s="663"/>
      <c r="EB532" s="663"/>
      <c r="EC532" s="663"/>
      <c r="ED532" s="663"/>
      <c r="EE532" s="663"/>
      <c r="EF532" s="663"/>
      <c r="EG532" s="663"/>
      <c r="EH532" s="663"/>
      <c r="EI532" s="663"/>
      <c r="EJ532" s="663"/>
      <c r="EK532" s="663"/>
      <c r="EL532" s="663"/>
      <c r="EM532" s="663"/>
      <c r="EN532" s="663"/>
      <c r="EO532" s="663"/>
      <c r="EP532" s="663"/>
      <c r="EQ532" s="663"/>
      <c r="ER532" s="663"/>
      <c r="ES532" s="663"/>
      <c r="ET532" s="663"/>
      <c r="EU532" s="663"/>
      <c r="EV532" s="663"/>
      <c r="EW532" s="663"/>
      <c r="EX532" s="663"/>
      <c r="EY532" s="663"/>
      <c r="EZ532" s="663"/>
      <c r="FA532" s="663"/>
      <c r="FB532" s="663"/>
      <c r="FC532" s="663"/>
      <c r="FD532" s="663"/>
      <c r="FE532" s="663"/>
      <c r="FF532" s="663"/>
      <c r="FG532" s="663"/>
      <c r="FH532" s="663"/>
      <c r="FI532" s="663"/>
      <c r="FJ532" s="663"/>
      <c r="FK532" s="663"/>
      <c r="FL532" s="663"/>
      <c r="FM532" s="663"/>
      <c r="FN532" s="663"/>
      <c r="FO532" s="663"/>
      <c r="FP532" s="663"/>
      <c r="FQ532" s="663"/>
      <c r="FR532" s="663"/>
      <c r="FS532" s="663"/>
      <c r="FT532" s="663"/>
      <c r="FU532" s="663"/>
      <c r="FV532" s="663"/>
      <c r="FW532" s="663"/>
      <c r="FX532" s="663"/>
      <c r="FY532" s="663"/>
      <c r="FZ532" s="663"/>
      <c r="GA532" s="663"/>
      <c r="GB532" s="663"/>
      <c r="GC532" s="663"/>
      <c r="GD532" s="663"/>
      <c r="GE532" s="663"/>
      <c r="GF532" s="663"/>
      <c r="GG532" s="663"/>
    </row>
    <row r="533" spans="1:189">
      <c r="A533" s="670"/>
      <c r="B533" s="670"/>
      <c r="C533" s="670"/>
      <c r="D533" s="670"/>
      <c r="E533" s="670"/>
      <c r="F533" s="670"/>
      <c r="G533" s="673"/>
      <c r="H533" s="627"/>
      <c r="I533" s="627"/>
      <c r="J533" s="672"/>
      <c r="K533" s="663"/>
      <c r="L533" s="663"/>
      <c r="M533" s="663"/>
      <c r="N533" s="663"/>
      <c r="O533" s="663"/>
      <c r="P533" s="663"/>
      <c r="Q533" s="663"/>
      <c r="R533" s="663"/>
      <c r="S533" s="663"/>
      <c r="T533" s="663"/>
      <c r="U533" s="663"/>
      <c r="V533" s="663"/>
      <c r="W533" s="663"/>
      <c r="X533" s="663"/>
      <c r="Y533" s="663"/>
      <c r="Z533" s="663"/>
      <c r="AA533" s="663"/>
      <c r="AB533" s="663"/>
      <c r="AC533" s="663"/>
      <c r="AD533" s="663"/>
      <c r="AE533" s="663"/>
      <c r="AF533" s="663"/>
      <c r="AG533" s="663"/>
      <c r="AH533" s="663"/>
      <c r="AI533" s="663"/>
      <c r="AJ533" s="663"/>
      <c r="AK533" s="663"/>
      <c r="AL533" s="663"/>
      <c r="AM533" s="663"/>
      <c r="AN533" s="663"/>
      <c r="AO533" s="663"/>
      <c r="AP533" s="663"/>
      <c r="AQ533" s="663"/>
      <c r="AR533" s="663"/>
      <c r="AS533" s="663"/>
      <c r="AT533" s="663"/>
      <c r="AU533" s="663"/>
      <c r="AV533" s="663"/>
      <c r="AW533" s="663"/>
      <c r="AX533" s="663"/>
      <c r="AY533" s="663"/>
      <c r="AZ533" s="663"/>
      <c r="BA533" s="663"/>
      <c r="BB533" s="663"/>
      <c r="BC533" s="663"/>
      <c r="BD533" s="663"/>
      <c r="BE533" s="663"/>
      <c r="BF533" s="663"/>
      <c r="BG533" s="663"/>
      <c r="BH533" s="663"/>
      <c r="BI533" s="663"/>
      <c r="BJ533" s="663"/>
      <c r="BK533" s="663"/>
      <c r="BL533" s="663"/>
      <c r="BM533" s="663"/>
      <c r="BN533" s="663"/>
      <c r="BO533" s="663"/>
      <c r="BP533" s="663"/>
      <c r="BQ533" s="663"/>
      <c r="BR533" s="663"/>
      <c r="BS533" s="663"/>
      <c r="BT533" s="663"/>
      <c r="BU533" s="663"/>
      <c r="BV533" s="663"/>
      <c r="BW533" s="663"/>
      <c r="BX533" s="663"/>
      <c r="BY533" s="663"/>
      <c r="BZ533" s="663"/>
      <c r="CA533" s="663"/>
      <c r="CB533" s="663"/>
      <c r="CC533" s="663"/>
      <c r="CD533" s="663"/>
      <c r="CE533" s="663"/>
      <c r="CF533" s="663"/>
      <c r="CG533" s="663"/>
      <c r="CH533" s="663"/>
      <c r="CI533" s="663"/>
      <c r="CJ533" s="663"/>
      <c r="CK533" s="663"/>
      <c r="CL533" s="663"/>
      <c r="CM533" s="663"/>
      <c r="CN533" s="663"/>
      <c r="CO533" s="663"/>
      <c r="CP533" s="663"/>
      <c r="CQ533" s="663"/>
      <c r="CR533" s="663"/>
      <c r="CS533" s="663"/>
      <c r="CT533" s="663"/>
      <c r="CU533" s="663"/>
      <c r="CV533" s="663"/>
      <c r="CW533" s="663"/>
      <c r="CX533" s="663"/>
      <c r="CY533" s="663"/>
      <c r="CZ533" s="663"/>
      <c r="DA533" s="663"/>
      <c r="DB533" s="663"/>
      <c r="DC533" s="663"/>
      <c r="DD533" s="663"/>
      <c r="DE533" s="663"/>
      <c r="DF533" s="663"/>
      <c r="DG533" s="663"/>
      <c r="DH533" s="663"/>
      <c r="DI533" s="663"/>
      <c r="DJ533" s="663"/>
      <c r="DK533" s="663"/>
      <c r="DL533" s="663"/>
      <c r="DM533" s="663"/>
      <c r="DN533" s="663"/>
      <c r="DO533" s="663"/>
      <c r="DP533" s="663"/>
      <c r="DQ533" s="663"/>
      <c r="DR533" s="663"/>
      <c r="DS533" s="663"/>
      <c r="DT533" s="663"/>
      <c r="DU533" s="663"/>
      <c r="DV533" s="663"/>
      <c r="DW533" s="663"/>
      <c r="DX533" s="663"/>
      <c r="DY533" s="663"/>
      <c r="DZ533" s="663"/>
      <c r="EA533" s="663"/>
      <c r="EB533" s="663"/>
      <c r="EC533" s="663"/>
      <c r="ED533" s="663"/>
      <c r="EE533" s="663"/>
      <c r="EF533" s="663"/>
      <c r="EG533" s="663"/>
      <c r="EH533" s="663"/>
      <c r="EI533" s="663"/>
      <c r="EJ533" s="663"/>
      <c r="EK533" s="663"/>
      <c r="EL533" s="663"/>
      <c r="EM533" s="663"/>
      <c r="EN533" s="663"/>
      <c r="EO533" s="663"/>
      <c r="EP533" s="663"/>
      <c r="EQ533" s="663"/>
      <c r="ER533" s="663"/>
      <c r="ES533" s="663"/>
      <c r="ET533" s="663"/>
      <c r="EU533" s="663"/>
      <c r="EV533" s="663"/>
      <c r="EW533" s="663"/>
      <c r="EX533" s="663"/>
      <c r="EY533" s="663"/>
      <c r="EZ533" s="663"/>
      <c r="FA533" s="663"/>
      <c r="FB533" s="663"/>
      <c r="FC533" s="663"/>
      <c r="FD533" s="663"/>
      <c r="FE533" s="663"/>
      <c r="FF533" s="663"/>
      <c r="FG533" s="663"/>
      <c r="FH533" s="663"/>
      <c r="FI533" s="663"/>
      <c r="FJ533" s="663"/>
      <c r="FK533" s="663"/>
      <c r="FL533" s="663"/>
      <c r="FM533" s="663"/>
      <c r="FN533" s="663"/>
      <c r="FO533" s="663"/>
      <c r="FP533" s="663"/>
      <c r="FQ533" s="663"/>
      <c r="FR533" s="663"/>
      <c r="FS533" s="663"/>
      <c r="FT533" s="663"/>
      <c r="FU533" s="663"/>
      <c r="FV533" s="663"/>
      <c r="FW533" s="663"/>
      <c r="FX533" s="663"/>
      <c r="FY533" s="663"/>
      <c r="FZ533" s="663"/>
      <c r="GA533" s="663"/>
      <c r="GB533" s="663"/>
      <c r="GC533" s="663"/>
      <c r="GD533" s="663"/>
      <c r="GE533" s="663"/>
      <c r="GF533" s="663"/>
      <c r="GG533" s="663"/>
    </row>
    <row r="534" spans="1:189">
      <c r="A534" s="670"/>
      <c r="B534" s="670"/>
      <c r="C534" s="670"/>
      <c r="D534" s="670"/>
      <c r="E534" s="670"/>
      <c r="F534" s="670"/>
      <c r="G534" s="673"/>
      <c r="H534" s="627"/>
      <c r="I534" s="627"/>
      <c r="J534" s="672"/>
      <c r="K534" s="663"/>
      <c r="L534" s="663"/>
      <c r="M534" s="663"/>
      <c r="N534" s="663"/>
      <c r="O534" s="663"/>
      <c r="P534" s="663"/>
      <c r="Q534" s="663"/>
      <c r="R534" s="663"/>
      <c r="S534" s="663"/>
      <c r="T534" s="663"/>
      <c r="U534" s="663"/>
      <c r="V534" s="663"/>
      <c r="W534" s="663"/>
      <c r="X534" s="663"/>
      <c r="Y534" s="663"/>
      <c r="Z534" s="663"/>
      <c r="AA534" s="663"/>
      <c r="AB534" s="663"/>
      <c r="AC534" s="663"/>
      <c r="AD534" s="663"/>
      <c r="AE534" s="663"/>
      <c r="AF534" s="663"/>
      <c r="AG534" s="663"/>
      <c r="AH534" s="663"/>
      <c r="AI534" s="663"/>
      <c r="AJ534" s="663"/>
      <c r="AK534" s="663"/>
      <c r="AL534" s="663"/>
      <c r="AM534" s="663"/>
      <c r="AN534" s="663"/>
      <c r="AO534" s="663"/>
      <c r="AP534" s="663"/>
      <c r="AQ534" s="663"/>
      <c r="AR534" s="663"/>
      <c r="AS534" s="663"/>
      <c r="AT534" s="663"/>
      <c r="AU534" s="663"/>
      <c r="AV534" s="663"/>
      <c r="AW534" s="663"/>
      <c r="AX534" s="663"/>
      <c r="AY534" s="663"/>
      <c r="AZ534" s="663"/>
      <c r="BA534" s="663"/>
      <c r="BB534" s="663"/>
      <c r="BC534" s="663"/>
      <c r="BD534" s="663"/>
      <c r="BE534" s="663"/>
      <c r="BF534" s="663"/>
      <c r="BG534" s="663"/>
      <c r="BH534" s="663"/>
      <c r="BI534" s="663"/>
      <c r="BJ534" s="663"/>
      <c r="BK534" s="663"/>
      <c r="BL534" s="663"/>
      <c r="BM534" s="663"/>
      <c r="BN534" s="663"/>
      <c r="BO534" s="663"/>
      <c r="BP534" s="663"/>
      <c r="BQ534" s="663"/>
      <c r="BR534" s="663"/>
      <c r="BS534" s="663"/>
      <c r="BT534" s="663"/>
      <c r="BU534" s="663"/>
      <c r="BV534" s="663"/>
      <c r="BW534" s="663"/>
      <c r="BX534" s="663"/>
      <c r="BY534" s="663"/>
      <c r="BZ534" s="663"/>
      <c r="CA534" s="663"/>
      <c r="CB534" s="663"/>
      <c r="CC534" s="663"/>
      <c r="CD534" s="663"/>
      <c r="CE534" s="663"/>
      <c r="CF534" s="663"/>
      <c r="CG534" s="663"/>
      <c r="CH534" s="663"/>
      <c r="CI534" s="663"/>
      <c r="CJ534" s="663"/>
      <c r="CK534" s="663"/>
      <c r="CL534" s="663"/>
      <c r="CM534" s="663"/>
      <c r="CN534" s="663"/>
      <c r="CO534" s="663"/>
      <c r="CP534" s="663"/>
      <c r="CQ534" s="663"/>
      <c r="CR534" s="663"/>
      <c r="CS534" s="663"/>
      <c r="CT534" s="663"/>
      <c r="CU534" s="663"/>
      <c r="CV534" s="663"/>
      <c r="CW534" s="663"/>
      <c r="CX534" s="663"/>
      <c r="CY534" s="663"/>
      <c r="CZ534" s="663"/>
      <c r="DA534" s="663"/>
      <c r="DB534" s="663"/>
      <c r="DC534" s="663"/>
      <c r="DD534" s="663"/>
      <c r="DE534" s="663"/>
      <c r="DF534" s="663"/>
      <c r="DG534" s="663"/>
      <c r="DH534" s="663"/>
      <c r="DI534" s="663"/>
      <c r="DJ534" s="663"/>
      <c r="DK534" s="663"/>
      <c r="DL534" s="663"/>
      <c r="DM534" s="663"/>
      <c r="DN534" s="663"/>
      <c r="DO534" s="663"/>
      <c r="DP534" s="663"/>
      <c r="DQ534" s="663"/>
      <c r="DR534" s="663"/>
      <c r="DS534" s="663"/>
      <c r="DT534" s="663"/>
      <c r="DU534" s="663"/>
      <c r="DV534" s="663"/>
      <c r="DW534" s="663"/>
      <c r="DX534" s="663"/>
      <c r="DY534" s="663"/>
      <c r="DZ534" s="663"/>
      <c r="EA534" s="663"/>
      <c r="EB534" s="663"/>
      <c r="EC534" s="663"/>
      <c r="ED534" s="663"/>
      <c r="EE534" s="663"/>
      <c r="EF534" s="663"/>
      <c r="EG534" s="663"/>
      <c r="EH534" s="663"/>
      <c r="EI534" s="663"/>
      <c r="EJ534" s="663"/>
      <c r="EK534" s="663"/>
      <c r="EL534" s="663"/>
      <c r="EM534" s="663"/>
      <c r="EN534" s="663"/>
      <c r="EO534" s="663"/>
      <c r="EP534" s="663"/>
      <c r="EQ534" s="663"/>
      <c r="ER534" s="663"/>
      <c r="ES534" s="663"/>
      <c r="ET534" s="663"/>
      <c r="EU534" s="663"/>
      <c r="EV534" s="663"/>
      <c r="EW534" s="663"/>
      <c r="EX534" s="663"/>
      <c r="EY534" s="663"/>
      <c r="EZ534" s="663"/>
      <c r="FA534" s="663"/>
      <c r="FB534" s="663"/>
      <c r="FC534" s="663"/>
      <c r="FD534" s="663"/>
      <c r="FE534" s="663"/>
      <c r="FF534" s="663"/>
      <c r="FG534" s="663"/>
      <c r="FH534" s="663"/>
      <c r="FI534" s="663"/>
      <c r="FJ534" s="663"/>
      <c r="FK534" s="663"/>
      <c r="FL534" s="663"/>
      <c r="FM534" s="663"/>
      <c r="FN534" s="663"/>
      <c r="FO534" s="663"/>
      <c r="FP534" s="663"/>
      <c r="FQ534" s="663"/>
      <c r="FR534" s="663"/>
      <c r="FS534" s="663"/>
      <c r="FT534" s="663"/>
      <c r="FU534" s="663"/>
      <c r="FV534" s="663"/>
      <c r="FW534" s="663"/>
      <c r="FX534" s="663"/>
      <c r="FY534" s="663"/>
      <c r="FZ534" s="663"/>
      <c r="GA534" s="663"/>
      <c r="GB534" s="663"/>
      <c r="GC534" s="663"/>
      <c r="GD534" s="663"/>
      <c r="GE534" s="663"/>
      <c r="GF534" s="663"/>
      <c r="GG534" s="663"/>
    </row>
    <row r="535" spans="1:189">
      <c r="A535" s="670"/>
      <c r="B535" s="670"/>
      <c r="C535" s="670"/>
      <c r="D535" s="670"/>
      <c r="E535" s="670"/>
      <c r="F535" s="670"/>
      <c r="G535" s="673"/>
      <c r="H535" s="627"/>
      <c r="I535" s="627"/>
      <c r="J535" s="672"/>
      <c r="K535" s="663"/>
      <c r="L535" s="663"/>
      <c r="M535" s="663"/>
      <c r="N535" s="663"/>
      <c r="O535" s="663"/>
      <c r="P535" s="663"/>
      <c r="Q535" s="663"/>
      <c r="R535" s="663"/>
      <c r="S535" s="663"/>
      <c r="T535" s="663"/>
      <c r="U535" s="663"/>
      <c r="V535" s="663"/>
      <c r="W535" s="663"/>
      <c r="X535" s="663"/>
      <c r="Y535" s="663"/>
      <c r="Z535" s="663"/>
      <c r="AA535" s="663"/>
      <c r="AB535" s="663"/>
      <c r="AC535" s="663"/>
      <c r="AD535" s="663"/>
      <c r="AE535" s="663"/>
      <c r="AF535" s="663"/>
      <c r="AG535" s="663"/>
      <c r="AH535" s="663"/>
      <c r="AI535" s="663"/>
      <c r="AJ535" s="663"/>
      <c r="AK535" s="663"/>
      <c r="AL535" s="663"/>
      <c r="AM535" s="663"/>
      <c r="AN535" s="663"/>
      <c r="AO535" s="663"/>
      <c r="AP535" s="663"/>
      <c r="AQ535" s="663"/>
      <c r="AR535" s="663"/>
      <c r="AS535" s="663"/>
      <c r="AT535" s="663"/>
      <c r="AU535" s="663"/>
      <c r="AV535" s="663"/>
      <c r="AW535" s="663"/>
      <c r="AX535" s="663"/>
      <c r="AY535" s="663"/>
      <c r="AZ535" s="663"/>
      <c r="BA535" s="663"/>
      <c r="BB535" s="663"/>
      <c r="BC535" s="663"/>
      <c r="BD535" s="663"/>
      <c r="BE535" s="663"/>
      <c r="BF535" s="663"/>
      <c r="BG535" s="663"/>
      <c r="BH535" s="663"/>
      <c r="BI535" s="663"/>
      <c r="BJ535" s="663"/>
      <c r="BK535" s="663"/>
      <c r="BL535" s="663"/>
      <c r="BM535" s="663"/>
      <c r="BN535" s="663"/>
      <c r="BO535" s="663"/>
      <c r="BP535" s="663"/>
      <c r="BQ535" s="663"/>
      <c r="BR535" s="663"/>
      <c r="BS535" s="663"/>
      <c r="BT535" s="663"/>
      <c r="BU535" s="663"/>
      <c r="BV535" s="663"/>
      <c r="BW535" s="663"/>
      <c r="BX535" s="663"/>
      <c r="BY535" s="663"/>
      <c r="BZ535" s="663"/>
      <c r="CA535" s="663"/>
      <c r="CB535" s="663"/>
      <c r="CC535" s="663"/>
      <c r="CD535" s="663"/>
      <c r="CE535" s="663"/>
      <c r="CF535" s="663"/>
      <c r="CG535" s="663"/>
      <c r="CH535" s="663"/>
      <c r="CI535" s="663"/>
      <c r="CJ535" s="663"/>
      <c r="CK535" s="663"/>
      <c r="CL535" s="663"/>
      <c r="CM535" s="663"/>
      <c r="CN535" s="663"/>
      <c r="CO535" s="663"/>
      <c r="CP535" s="663"/>
      <c r="CQ535" s="663"/>
      <c r="CR535" s="663"/>
      <c r="CS535" s="663"/>
      <c r="CT535" s="663"/>
      <c r="CU535" s="663"/>
      <c r="CV535" s="663"/>
      <c r="CW535" s="663"/>
      <c r="CX535" s="663"/>
      <c r="CY535" s="663"/>
      <c r="CZ535" s="663"/>
      <c r="DA535" s="663"/>
      <c r="DB535" s="663"/>
      <c r="DC535" s="663"/>
      <c r="DD535" s="663"/>
      <c r="DE535" s="663"/>
      <c r="DF535" s="663"/>
      <c r="DG535" s="663"/>
      <c r="DH535" s="663"/>
      <c r="DI535" s="663"/>
      <c r="DJ535" s="663"/>
      <c r="DK535" s="663"/>
      <c r="DL535" s="663"/>
      <c r="DM535" s="663"/>
      <c r="DN535" s="663"/>
      <c r="DO535" s="663"/>
      <c r="DP535" s="663"/>
      <c r="DQ535" s="663"/>
      <c r="DR535" s="663"/>
      <c r="DS535" s="663"/>
      <c r="DT535" s="663"/>
      <c r="DU535" s="663"/>
      <c r="DV535" s="663"/>
      <c r="DW535" s="663"/>
      <c r="DX535" s="663"/>
      <c r="DY535" s="663"/>
      <c r="DZ535" s="663"/>
      <c r="EA535" s="663"/>
      <c r="EB535" s="663"/>
      <c r="EC535" s="663"/>
      <c r="ED535" s="663"/>
      <c r="EE535" s="663"/>
      <c r="EF535" s="663"/>
      <c r="EG535" s="663"/>
      <c r="EH535" s="663"/>
      <c r="EI535" s="663"/>
      <c r="EJ535" s="663"/>
      <c r="EK535" s="663"/>
      <c r="EL535" s="663"/>
      <c r="EM535" s="663"/>
      <c r="EN535" s="663"/>
      <c r="EO535" s="663"/>
      <c r="EP535" s="663"/>
      <c r="EQ535" s="663"/>
      <c r="ER535" s="663"/>
      <c r="ES535" s="663"/>
      <c r="ET535" s="663"/>
      <c r="EU535" s="663"/>
      <c r="EV535" s="663"/>
      <c r="EW535" s="663"/>
      <c r="EX535" s="663"/>
      <c r="EY535" s="663"/>
      <c r="EZ535" s="663"/>
      <c r="FA535" s="663"/>
      <c r="FB535" s="663"/>
      <c r="FC535" s="663"/>
      <c r="FD535" s="663"/>
      <c r="FE535" s="663"/>
      <c r="FF535" s="663"/>
      <c r="FG535" s="663"/>
      <c r="FH535" s="663"/>
      <c r="FI535" s="663"/>
      <c r="FJ535" s="663"/>
      <c r="FK535" s="663"/>
      <c r="FL535" s="663"/>
      <c r="FM535" s="663"/>
      <c r="FN535" s="663"/>
      <c r="FO535" s="663"/>
      <c r="FP535" s="663"/>
      <c r="FQ535" s="663"/>
      <c r="FR535" s="663"/>
      <c r="FS535" s="663"/>
      <c r="FT535" s="663"/>
      <c r="FU535" s="663"/>
      <c r="FV535" s="663"/>
      <c r="FW535" s="663"/>
      <c r="FX535" s="663"/>
      <c r="FY535" s="663"/>
      <c r="FZ535" s="663"/>
      <c r="GA535" s="663"/>
      <c r="GB535" s="663"/>
      <c r="GC535" s="663"/>
      <c r="GD535" s="663"/>
      <c r="GE535" s="663"/>
      <c r="GF535" s="663"/>
      <c r="GG535" s="663"/>
    </row>
    <row r="536" spans="1:189">
      <c r="A536" s="670"/>
      <c r="B536" s="670"/>
      <c r="C536" s="670"/>
      <c r="D536" s="670"/>
      <c r="E536" s="670"/>
      <c r="F536" s="670"/>
      <c r="G536" s="673"/>
      <c r="H536" s="627"/>
      <c r="I536" s="627"/>
      <c r="J536" s="672"/>
      <c r="K536" s="663"/>
      <c r="L536" s="663"/>
      <c r="M536" s="663"/>
      <c r="N536" s="663"/>
      <c r="O536" s="663"/>
      <c r="P536" s="663"/>
      <c r="Q536" s="663"/>
      <c r="R536" s="663"/>
      <c r="S536" s="663"/>
      <c r="T536" s="663"/>
      <c r="U536" s="663"/>
      <c r="V536" s="663"/>
      <c r="W536" s="663"/>
      <c r="X536" s="663"/>
      <c r="Y536" s="663"/>
      <c r="Z536" s="663"/>
      <c r="AA536" s="663"/>
      <c r="AB536" s="663"/>
      <c r="AC536" s="663"/>
      <c r="AD536" s="663"/>
      <c r="AE536" s="663"/>
      <c r="AF536" s="663"/>
      <c r="AG536" s="663"/>
      <c r="AH536" s="663"/>
      <c r="AI536" s="663"/>
      <c r="AJ536" s="663"/>
      <c r="AK536" s="663"/>
      <c r="AL536" s="663"/>
      <c r="AM536" s="663"/>
      <c r="AN536" s="663"/>
      <c r="AO536" s="663"/>
      <c r="AP536" s="663"/>
      <c r="AQ536" s="663"/>
      <c r="AR536" s="663"/>
      <c r="AS536" s="663"/>
      <c r="AT536" s="663"/>
      <c r="AU536" s="663"/>
      <c r="AV536" s="663"/>
      <c r="AW536" s="663"/>
      <c r="AX536" s="663"/>
      <c r="AY536" s="663"/>
      <c r="AZ536" s="663"/>
      <c r="BA536" s="663"/>
      <c r="BB536" s="663"/>
      <c r="BC536" s="663"/>
      <c r="BD536" s="663"/>
      <c r="BE536" s="663"/>
      <c r="BF536" s="663"/>
      <c r="BG536" s="663"/>
      <c r="BH536" s="663"/>
      <c r="BI536" s="663"/>
      <c r="BJ536" s="663"/>
      <c r="BK536" s="663"/>
      <c r="BL536" s="663"/>
      <c r="BM536" s="663"/>
      <c r="BN536" s="663"/>
      <c r="BO536" s="663"/>
      <c r="BP536" s="663"/>
      <c r="BQ536" s="663"/>
      <c r="BR536" s="663"/>
      <c r="BS536" s="663"/>
      <c r="BT536" s="663"/>
      <c r="BU536" s="663"/>
      <c r="BV536" s="663"/>
      <c r="BW536" s="663"/>
      <c r="BX536" s="663"/>
      <c r="BY536" s="663"/>
      <c r="BZ536" s="663"/>
      <c r="CA536" s="663"/>
      <c r="CB536" s="663"/>
      <c r="CC536" s="663"/>
      <c r="CD536" s="663"/>
      <c r="CE536" s="663"/>
      <c r="CF536" s="663"/>
      <c r="CG536" s="663"/>
      <c r="CH536" s="663"/>
      <c r="CI536" s="663"/>
      <c r="CJ536" s="663"/>
      <c r="CK536" s="663"/>
      <c r="CL536" s="663"/>
      <c r="CM536" s="663"/>
      <c r="CN536" s="663"/>
      <c r="CO536" s="663"/>
      <c r="CP536" s="663"/>
      <c r="CQ536" s="663"/>
      <c r="CR536" s="663"/>
      <c r="CS536" s="663"/>
      <c r="CT536" s="663"/>
      <c r="CU536" s="663"/>
      <c r="CV536" s="663"/>
      <c r="CW536" s="663"/>
      <c r="CX536" s="663"/>
      <c r="CY536" s="663"/>
      <c r="CZ536" s="663"/>
      <c r="DA536" s="663"/>
      <c r="DB536" s="663"/>
      <c r="DC536" s="663"/>
      <c r="DD536" s="663"/>
      <c r="DE536" s="663"/>
      <c r="DF536" s="663"/>
      <c r="DG536" s="663"/>
      <c r="DH536" s="663"/>
      <c r="DI536" s="663"/>
      <c r="DJ536" s="663"/>
      <c r="DK536" s="663"/>
      <c r="DL536" s="663"/>
      <c r="DM536" s="663"/>
      <c r="DN536" s="663"/>
      <c r="DO536" s="663"/>
      <c r="DP536" s="663"/>
      <c r="DQ536" s="663"/>
      <c r="DR536" s="663"/>
      <c r="DS536" s="663"/>
      <c r="DT536" s="663"/>
      <c r="DU536" s="663"/>
      <c r="DV536" s="663"/>
      <c r="DW536" s="663"/>
      <c r="DX536" s="663"/>
      <c r="DY536" s="663"/>
      <c r="DZ536" s="663"/>
      <c r="EA536" s="663"/>
      <c r="EB536" s="663"/>
      <c r="EC536" s="663"/>
      <c r="ED536" s="663"/>
      <c r="EE536" s="663"/>
      <c r="EF536" s="663"/>
      <c r="EG536" s="663"/>
      <c r="EH536" s="663"/>
      <c r="EI536" s="663"/>
      <c r="EJ536" s="663"/>
      <c r="EK536" s="663"/>
      <c r="EL536" s="663"/>
      <c r="EM536" s="663"/>
      <c r="EN536" s="663"/>
      <c r="EO536" s="663"/>
      <c r="EP536" s="663"/>
      <c r="EQ536" s="663"/>
      <c r="ER536" s="663"/>
      <c r="ES536" s="663"/>
      <c r="ET536" s="663"/>
      <c r="EU536" s="663"/>
      <c r="EV536" s="663"/>
      <c r="EW536" s="663"/>
      <c r="EX536" s="663"/>
      <c r="EY536" s="663"/>
      <c r="EZ536" s="663"/>
      <c r="FA536" s="663"/>
      <c r="FB536" s="663"/>
      <c r="FC536" s="663"/>
      <c r="FD536" s="663"/>
      <c r="FE536" s="663"/>
      <c r="FF536" s="663"/>
      <c r="FG536" s="663"/>
      <c r="FH536" s="663"/>
      <c r="FI536" s="663"/>
      <c r="FJ536" s="663"/>
      <c r="FK536" s="663"/>
      <c r="FL536" s="663"/>
      <c r="FM536" s="663"/>
      <c r="FN536" s="663"/>
      <c r="FO536" s="663"/>
      <c r="FP536" s="663"/>
      <c r="FQ536" s="663"/>
      <c r="FR536" s="663"/>
      <c r="FS536" s="663"/>
      <c r="FT536" s="663"/>
      <c r="FU536" s="663"/>
      <c r="FV536" s="663"/>
      <c r="FW536" s="663"/>
      <c r="FX536" s="663"/>
      <c r="FY536" s="663"/>
      <c r="FZ536" s="663"/>
      <c r="GA536" s="663"/>
      <c r="GB536" s="663"/>
      <c r="GC536" s="663"/>
      <c r="GD536" s="663"/>
      <c r="GE536" s="663"/>
      <c r="GF536" s="663"/>
      <c r="GG536" s="663"/>
    </row>
    <row r="537" spans="1:189">
      <c r="A537" s="670"/>
      <c r="B537" s="670"/>
      <c r="C537" s="670"/>
      <c r="D537" s="670"/>
      <c r="E537" s="670"/>
      <c r="F537" s="670"/>
      <c r="G537" s="673"/>
      <c r="H537" s="627"/>
      <c r="I537" s="627"/>
      <c r="J537" s="672"/>
      <c r="K537" s="663"/>
      <c r="L537" s="663"/>
      <c r="M537" s="663"/>
      <c r="N537" s="663"/>
      <c r="O537" s="663"/>
      <c r="P537" s="663"/>
      <c r="Q537" s="663"/>
      <c r="R537" s="663"/>
      <c r="S537" s="663"/>
      <c r="T537" s="663"/>
      <c r="U537" s="663"/>
      <c r="V537" s="663"/>
      <c r="W537" s="663"/>
      <c r="X537" s="663"/>
      <c r="Y537" s="663"/>
      <c r="Z537" s="663"/>
      <c r="AA537" s="663"/>
      <c r="AB537" s="663"/>
      <c r="AC537" s="663"/>
      <c r="AD537" s="663"/>
      <c r="AE537" s="663"/>
      <c r="AF537" s="663"/>
      <c r="AG537" s="663"/>
      <c r="AH537" s="663"/>
      <c r="AI537" s="663"/>
      <c r="AJ537" s="663"/>
      <c r="AK537" s="663"/>
      <c r="AL537" s="663"/>
      <c r="AM537" s="663"/>
      <c r="AN537" s="663"/>
      <c r="AO537" s="663"/>
      <c r="AP537" s="663"/>
      <c r="AQ537" s="663"/>
      <c r="AR537" s="663"/>
      <c r="AS537" s="663"/>
      <c r="AT537" s="663"/>
      <c r="AU537" s="663"/>
      <c r="AV537" s="663"/>
      <c r="AW537" s="663"/>
      <c r="AX537" s="663"/>
      <c r="AY537" s="663"/>
      <c r="AZ537" s="663"/>
      <c r="BA537" s="663"/>
      <c r="BB537" s="663"/>
      <c r="BC537" s="663"/>
      <c r="BD537" s="663"/>
      <c r="BE537" s="663"/>
      <c r="BF537" s="663"/>
      <c r="BG537" s="663"/>
      <c r="BH537" s="663"/>
      <c r="BI537" s="663"/>
      <c r="BJ537" s="663"/>
      <c r="BK537" s="663"/>
      <c r="BL537" s="663"/>
      <c r="BM537" s="663"/>
      <c r="BN537" s="663"/>
      <c r="BO537" s="663"/>
      <c r="BP537" s="663"/>
      <c r="BQ537" s="663"/>
      <c r="BR537" s="663"/>
      <c r="BS537" s="663"/>
      <c r="BT537" s="663"/>
      <c r="BU537" s="663"/>
      <c r="BV537" s="663"/>
      <c r="BW537" s="663"/>
      <c r="BX537" s="663"/>
      <c r="BY537" s="663"/>
      <c r="BZ537" s="663"/>
      <c r="CA537" s="663"/>
      <c r="CB537" s="663"/>
      <c r="CC537" s="663"/>
      <c r="CD537" s="663"/>
      <c r="CE537" s="663"/>
      <c r="CF537" s="663"/>
      <c r="CG537" s="663"/>
      <c r="CH537" s="663"/>
      <c r="CI537" s="663"/>
      <c r="CJ537" s="663"/>
      <c r="CK537" s="663"/>
      <c r="CL537" s="663"/>
      <c r="CM537" s="663"/>
      <c r="CN537" s="663"/>
      <c r="CO537" s="663"/>
      <c r="CP537" s="663"/>
      <c r="CQ537" s="663"/>
      <c r="CR537" s="663"/>
      <c r="CS537" s="663"/>
      <c r="CT537" s="663"/>
      <c r="CU537" s="663"/>
      <c r="CV537" s="663"/>
      <c r="CW537" s="663"/>
      <c r="CX537" s="663"/>
      <c r="CY537" s="663"/>
      <c r="CZ537" s="663"/>
      <c r="DA537" s="663"/>
      <c r="DB537" s="663"/>
      <c r="DC537" s="663"/>
      <c r="DD537" s="663"/>
      <c r="DE537" s="663"/>
      <c r="DF537" s="663"/>
      <c r="DG537" s="663"/>
      <c r="DH537" s="663"/>
      <c r="DI537" s="663"/>
      <c r="DJ537" s="663"/>
      <c r="DK537" s="663"/>
      <c r="DL537" s="663"/>
      <c r="DM537" s="663"/>
      <c r="DN537" s="663"/>
      <c r="DO537" s="663"/>
      <c r="DP537" s="663"/>
      <c r="DQ537" s="663"/>
      <c r="DR537" s="663"/>
      <c r="DS537" s="663"/>
      <c r="DT537" s="663"/>
      <c r="DU537" s="663"/>
      <c r="DV537" s="663"/>
      <c r="DW537" s="663"/>
      <c r="DX537" s="663"/>
      <c r="DY537" s="663"/>
      <c r="DZ537" s="663"/>
      <c r="EA537" s="663"/>
      <c r="EB537" s="663"/>
      <c r="EC537" s="663"/>
      <c r="ED537" s="663"/>
      <c r="EE537" s="663"/>
      <c r="EF537" s="663"/>
      <c r="EG537" s="663"/>
      <c r="EH537" s="663"/>
      <c r="EI537" s="663"/>
      <c r="EJ537" s="663"/>
      <c r="EK537" s="663"/>
      <c r="EL537" s="663"/>
      <c r="EM537" s="663"/>
      <c r="EN537" s="663"/>
      <c r="EO537" s="663"/>
      <c r="EP537" s="663"/>
      <c r="EQ537" s="663"/>
      <c r="ER537" s="663"/>
      <c r="ES537" s="663"/>
      <c r="ET537" s="663"/>
      <c r="EU537" s="663"/>
      <c r="EV537" s="663"/>
      <c r="EW537" s="663"/>
      <c r="EX537" s="663"/>
      <c r="EY537" s="663"/>
      <c r="EZ537" s="663"/>
      <c r="FA537" s="663"/>
      <c r="FB537" s="663"/>
      <c r="FC537" s="663"/>
      <c r="FD537" s="663"/>
      <c r="FE537" s="663"/>
      <c r="FF537" s="663"/>
      <c r="FG537" s="663"/>
      <c r="FH537" s="663"/>
      <c r="FI537" s="663"/>
      <c r="FJ537" s="663"/>
      <c r="FK537" s="663"/>
      <c r="FL537" s="663"/>
      <c r="FM537" s="663"/>
      <c r="FN537" s="663"/>
      <c r="FO537" s="663"/>
      <c r="FP537" s="663"/>
      <c r="FQ537" s="663"/>
      <c r="FR537" s="663"/>
      <c r="FS537" s="663"/>
      <c r="FT537" s="663"/>
      <c r="FU537" s="663"/>
      <c r="FV537" s="663"/>
      <c r="FW537" s="663"/>
      <c r="FX537" s="663"/>
      <c r="FY537" s="663"/>
      <c r="FZ537" s="663"/>
      <c r="GA537" s="663"/>
      <c r="GB537" s="663"/>
      <c r="GC537" s="663"/>
      <c r="GD537" s="663"/>
      <c r="GE537" s="663"/>
      <c r="GF537" s="663"/>
      <c r="GG537" s="663"/>
    </row>
    <row r="538" spans="1:189">
      <c r="A538" s="670"/>
      <c r="B538" s="670"/>
      <c r="C538" s="670"/>
      <c r="D538" s="670"/>
      <c r="E538" s="670"/>
      <c r="F538" s="670"/>
      <c r="G538" s="673"/>
      <c r="H538" s="627"/>
      <c r="I538" s="627"/>
      <c r="J538" s="672"/>
      <c r="K538" s="663"/>
      <c r="L538" s="663"/>
      <c r="M538" s="663"/>
      <c r="N538" s="663"/>
      <c r="O538" s="663"/>
      <c r="P538" s="663"/>
      <c r="Q538" s="663"/>
      <c r="R538" s="663"/>
      <c r="S538" s="663"/>
      <c r="T538" s="663"/>
      <c r="U538" s="663"/>
      <c r="V538" s="663"/>
      <c r="W538" s="663"/>
      <c r="X538" s="663"/>
      <c r="Y538" s="663"/>
      <c r="Z538" s="663"/>
      <c r="AA538" s="663"/>
      <c r="AB538" s="663"/>
      <c r="AC538" s="663"/>
      <c r="AD538" s="663"/>
      <c r="AE538" s="663"/>
      <c r="AF538" s="663"/>
      <c r="AG538" s="663"/>
      <c r="AH538" s="663"/>
      <c r="AI538" s="663"/>
      <c r="AJ538" s="663"/>
      <c r="AK538" s="663"/>
      <c r="AL538" s="663"/>
      <c r="AM538" s="663"/>
      <c r="AN538" s="663"/>
      <c r="AO538" s="663"/>
      <c r="AP538" s="663"/>
      <c r="AQ538" s="663"/>
      <c r="AR538" s="663"/>
      <c r="AS538" s="663"/>
      <c r="AT538" s="663"/>
      <c r="AU538" s="663"/>
      <c r="AV538" s="663"/>
      <c r="AW538" s="663"/>
      <c r="AX538" s="663"/>
      <c r="AY538" s="663"/>
      <c r="AZ538" s="663"/>
      <c r="BA538" s="663"/>
      <c r="BB538" s="663"/>
      <c r="BC538" s="663"/>
      <c r="BD538" s="663"/>
      <c r="BE538" s="663"/>
      <c r="BF538" s="663"/>
      <c r="BG538" s="663"/>
      <c r="BH538" s="663"/>
      <c r="BI538" s="663"/>
      <c r="BJ538" s="663"/>
      <c r="BK538" s="663"/>
      <c r="BL538" s="663"/>
      <c r="BM538" s="663"/>
      <c r="BN538" s="663"/>
      <c r="BO538" s="663"/>
      <c r="BP538" s="663"/>
      <c r="BQ538" s="663"/>
      <c r="BR538" s="663"/>
      <c r="BS538" s="663"/>
      <c r="BT538" s="663"/>
      <c r="BU538" s="663"/>
      <c r="BV538" s="663"/>
      <c r="BW538" s="663"/>
      <c r="BX538" s="663"/>
      <c r="BY538" s="663"/>
      <c r="BZ538" s="663"/>
      <c r="CA538" s="663"/>
      <c r="CB538" s="663"/>
      <c r="CC538" s="663"/>
      <c r="CD538" s="663"/>
      <c r="CE538" s="663"/>
      <c r="CF538" s="663"/>
      <c r="CG538" s="663"/>
      <c r="CH538" s="663"/>
      <c r="CI538" s="663"/>
      <c r="CJ538" s="663"/>
      <c r="CK538" s="663"/>
      <c r="CL538" s="663"/>
      <c r="CM538" s="663"/>
      <c r="CN538" s="663"/>
      <c r="CO538" s="663"/>
      <c r="CP538" s="663"/>
      <c r="CQ538" s="663"/>
      <c r="CR538" s="663"/>
      <c r="CS538" s="663"/>
      <c r="CT538" s="663"/>
      <c r="CU538" s="663"/>
      <c r="CV538" s="663"/>
      <c r="CW538" s="663"/>
      <c r="CX538" s="663"/>
      <c r="CY538" s="663"/>
      <c r="CZ538" s="663"/>
      <c r="DA538" s="663"/>
      <c r="DB538" s="663"/>
      <c r="DC538" s="663"/>
      <c r="DD538" s="663"/>
      <c r="DE538" s="663"/>
      <c r="DF538" s="663"/>
      <c r="DG538" s="663"/>
      <c r="DH538" s="663"/>
      <c r="DI538" s="663"/>
      <c r="DJ538" s="663"/>
      <c r="DK538" s="663"/>
      <c r="DL538" s="663"/>
      <c r="DM538" s="663"/>
      <c r="DN538" s="663"/>
      <c r="DO538" s="663"/>
      <c r="DP538" s="663"/>
      <c r="DQ538" s="663"/>
      <c r="DR538" s="663"/>
      <c r="DS538" s="663"/>
      <c r="DT538" s="663"/>
      <c r="DU538" s="663"/>
      <c r="DV538" s="663"/>
      <c r="DW538" s="663"/>
      <c r="DX538" s="663"/>
      <c r="DY538" s="663"/>
      <c r="DZ538" s="663"/>
      <c r="EA538" s="663"/>
      <c r="EB538" s="663"/>
      <c r="EC538" s="663"/>
      <c r="ED538" s="663"/>
      <c r="EE538" s="663"/>
      <c r="EF538" s="663"/>
      <c r="EG538" s="663"/>
      <c r="EH538" s="663"/>
      <c r="EI538" s="663"/>
      <c r="EJ538" s="663"/>
      <c r="EK538" s="663"/>
      <c r="EL538" s="663"/>
      <c r="EM538" s="663"/>
      <c r="EN538" s="663"/>
      <c r="EO538" s="663"/>
      <c r="EP538" s="663"/>
      <c r="EQ538" s="663"/>
      <c r="ER538" s="663"/>
      <c r="ES538" s="663"/>
      <c r="ET538" s="663"/>
      <c r="EU538" s="663"/>
      <c r="EV538" s="663"/>
      <c r="EW538" s="663"/>
      <c r="EX538" s="663"/>
      <c r="EY538" s="663"/>
      <c r="EZ538" s="663"/>
      <c r="FA538" s="663"/>
      <c r="FB538" s="663"/>
      <c r="FC538" s="663"/>
      <c r="FD538" s="663"/>
      <c r="FE538" s="663"/>
      <c r="FF538" s="663"/>
      <c r="FG538" s="663"/>
      <c r="FH538" s="663"/>
      <c r="FI538" s="663"/>
      <c r="FJ538" s="663"/>
      <c r="FK538" s="663"/>
      <c r="FL538" s="663"/>
      <c r="FM538" s="663"/>
      <c r="FN538" s="663"/>
      <c r="FO538" s="663"/>
      <c r="FP538" s="663"/>
      <c r="FQ538" s="663"/>
      <c r="FR538" s="663"/>
      <c r="FS538" s="663"/>
      <c r="FT538" s="663"/>
      <c r="FU538" s="663"/>
      <c r="FV538" s="663"/>
      <c r="FW538" s="663"/>
      <c r="FX538" s="663"/>
      <c r="FY538" s="663"/>
      <c r="FZ538" s="663"/>
      <c r="GA538" s="663"/>
      <c r="GB538" s="663"/>
      <c r="GC538" s="663"/>
      <c r="GD538" s="663"/>
      <c r="GE538" s="663"/>
      <c r="GF538" s="663"/>
      <c r="GG538" s="663"/>
    </row>
    <row r="539" spans="1:189">
      <c r="A539" s="670"/>
      <c r="B539" s="670"/>
      <c r="C539" s="670"/>
      <c r="D539" s="670"/>
      <c r="E539" s="670"/>
      <c r="F539" s="670"/>
      <c r="G539" s="673"/>
      <c r="H539" s="627"/>
      <c r="I539" s="627"/>
      <c r="J539" s="672"/>
      <c r="K539" s="663"/>
      <c r="L539" s="663"/>
      <c r="M539" s="663"/>
      <c r="N539" s="663"/>
      <c r="O539" s="663"/>
      <c r="P539" s="663"/>
      <c r="Q539" s="663"/>
      <c r="R539" s="663"/>
      <c r="S539" s="663"/>
      <c r="T539" s="663"/>
      <c r="U539" s="663"/>
      <c r="V539" s="663"/>
      <c r="W539" s="663"/>
      <c r="X539" s="663"/>
      <c r="Y539" s="663"/>
      <c r="Z539" s="663"/>
      <c r="AA539" s="663"/>
      <c r="AB539" s="663"/>
      <c r="AC539" s="663"/>
      <c r="AD539" s="663"/>
      <c r="AE539" s="663"/>
      <c r="AF539" s="663"/>
      <c r="AG539" s="663"/>
      <c r="AH539" s="663"/>
      <c r="AI539" s="663"/>
      <c r="AJ539" s="663"/>
      <c r="AK539" s="663"/>
      <c r="AL539" s="663"/>
      <c r="AM539" s="663"/>
      <c r="AN539" s="663"/>
      <c r="AO539" s="663"/>
      <c r="AP539" s="663"/>
      <c r="AQ539" s="663"/>
      <c r="AR539" s="663"/>
      <c r="AS539" s="663"/>
      <c r="AT539" s="663"/>
      <c r="AU539" s="663"/>
      <c r="AV539" s="663"/>
      <c r="AW539" s="663"/>
      <c r="AX539" s="663"/>
      <c r="AY539" s="663"/>
      <c r="AZ539" s="663"/>
      <c r="BA539" s="663"/>
      <c r="BB539" s="663"/>
      <c r="BC539" s="663"/>
      <c r="BD539" s="663"/>
      <c r="BE539" s="663"/>
      <c r="BF539" s="663"/>
      <c r="BG539" s="663"/>
      <c r="BH539" s="663"/>
      <c r="BI539" s="663"/>
      <c r="BJ539" s="663"/>
      <c r="BK539" s="663"/>
      <c r="BL539" s="663"/>
      <c r="BM539" s="663"/>
      <c r="BN539" s="663"/>
      <c r="BO539" s="663"/>
      <c r="BP539" s="663"/>
      <c r="BQ539" s="663"/>
      <c r="BR539" s="663"/>
      <c r="BS539" s="663"/>
      <c r="BT539" s="663"/>
      <c r="BU539" s="663"/>
      <c r="BV539" s="663"/>
      <c r="BW539" s="663"/>
      <c r="BX539" s="663"/>
      <c r="BY539" s="663"/>
      <c r="BZ539" s="663"/>
      <c r="CA539" s="663"/>
      <c r="CB539" s="663"/>
      <c r="CC539" s="663"/>
      <c r="CD539" s="663"/>
      <c r="CE539" s="663"/>
      <c r="CF539" s="663"/>
      <c r="CG539" s="663"/>
      <c r="CH539" s="663"/>
      <c r="CI539" s="663"/>
      <c r="CJ539" s="663"/>
      <c r="CK539" s="663"/>
      <c r="CL539" s="663"/>
      <c r="CM539" s="663"/>
      <c r="CN539" s="663"/>
      <c r="CO539" s="663"/>
      <c r="CP539" s="663"/>
      <c r="CQ539" s="663"/>
      <c r="CR539" s="663"/>
      <c r="CS539" s="663"/>
      <c r="CT539" s="663"/>
      <c r="CU539" s="663"/>
      <c r="CV539" s="663"/>
      <c r="CW539" s="663"/>
      <c r="CX539" s="663"/>
      <c r="CY539" s="663"/>
      <c r="CZ539" s="663"/>
      <c r="DA539" s="663"/>
      <c r="DB539" s="663"/>
      <c r="DC539" s="663"/>
      <c r="DD539" s="663"/>
      <c r="DE539" s="663"/>
      <c r="DF539" s="663"/>
      <c r="DG539" s="663"/>
      <c r="DH539" s="663"/>
      <c r="DI539" s="663"/>
      <c r="DJ539" s="663"/>
      <c r="DK539" s="663"/>
      <c r="DL539" s="663"/>
      <c r="DM539" s="663"/>
      <c r="DN539" s="663"/>
      <c r="DO539" s="663"/>
      <c r="DP539" s="663"/>
      <c r="DQ539" s="663"/>
      <c r="DR539" s="663"/>
      <c r="DS539" s="663"/>
      <c r="DT539" s="663"/>
      <c r="DU539" s="663"/>
      <c r="DV539" s="663"/>
      <c r="DW539" s="663"/>
      <c r="DX539" s="663"/>
      <c r="DY539" s="663"/>
      <c r="DZ539" s="663"/>
      <c r="EA539" s="663"/>
      <c r="EB539" s="663"/>
      <c r="EC539" s="663"/>
      <c r="ED539" s="663"/>
      <c r="EE539" s="663"/>
      <c r="EF539" s="663"/>
      <c r="EG539" s="663"/>
      <c r="EH539" s="663"/>
      <c r="EI539" s="663"/>
      <c r="EJ539" s="663"/>
      <c r="EK539" s="663"/>
      <c r="EL539" s="663"/>
      <c r="EM539" s="663"/>
      <c r="EN539" s="663"/>
      <c r="EO539" s="663"/>
      <c r="EP539" s="663"/>
      <c r="EQ539" s="663"/>
      <c r="ER539" s="663"/>
      <c r="ES539" s="663"/>
      <c r="ET539" s="663"/>
      <c r="EU539" s="663"/>
      <c r="EV539" s="663"/>
      <c r="EW539" s="663"/>
      <c r="EX539" s="663"/>
      <c r="EY539" s="663"/>
      <c r="EZ539" s="663"/>
      <c r="FA539" s="663"/>
      <c r="FB539" s="663"/>
      <c r="FC539" s="663"/>
      <c r="FD539" s="663"/>
      <c r="FE539" s="663"/>
      <c r="FF539" s="663"/>
      <c r="FG539" s="663"/>
      <c r="FH539" s="663"/>
      <c r="FI539" s="663"/>
      <c r="FJ539" s="663"/>
      <c r="FK539" s="663"/>
      <c r="FL539" s="663"/>
      <c r="FM539" s="663"/>
      <c r="FN539" s="663"/>
      <c r="FO539" s="663"/>
      <c r="FP539" s="663"/>
      <c r="FQ539" s="663"/>
      <c r="FR539" s="663"/>
      <c r="FS539" s="663"/>
      <c r="FT539" s="663"/>
      <c r="FU539" s="663"/>
      <c r="FV539" s="663"/>
      <c r="FW539" s="663"/>
      <c r="FX539" s="663"/>
      <c r="FY539" s="663"/>
      <c r="FZ539" s="663"/>
      <c r="GA539" s="663"/>
      <c r="GB539" s="663"/>
      <c r="GC539" s="663"/>
      <c r="GD539" s="663"/>
      <c r="GE539" s="663"/>
      <c r="GF539" s="663"/>
      <c r="GG539" s="663"/>
    </row>
    <row r="540" spans="1:189">
      <c r="A540" s="670"/>
      <c r="B540" s="670"/>
      <c r="C540" s="670"/>
      <c r="D540" s="670"/>
      <c r="E540" s="670"/>
      <c r="F540" s="670"/>
      <c r="G540" s="673"/>
      <c r="H540" s="627"/>
      <c r="I540" s="627"/>
      <c r="J540" s="672"/>
      <c r="K540" s="663"/>
      <c r="L540" s="663"/>
      <c r="M540" s="663"/>
      <c r="N540" s="663"/>
      <c r="O540" s="663"/>
      <c r="P540" s="663"/>
      <c r="Q540" s="663"/>
      <c r="R540" s="663"/>
      <c r="S540" s="663"/>
      <c r="T540" s="663"/>
      <c r="U540" s="663"/>
      <c r="V540" s="663"/>
      <c r="W540" s="663"/>
      <c r="X540" s="663"/>
      <c r="Y540" s="663"/>
      <c r="Z540" s="663"/>
      <c r="AA540" s="663"/>
      <c r="AB540" s="663"/>
      <c r="AC540" s="663"/>
      <c r="AD540" s="663"/>
      <c r="AE540" s="663"/>
      <c r="AF540" s="663"/>
      <c r="AG540" s="663"/>
      <c r="AH540" s="663"/>
      <c r="AI540" s="663"/>
      <c r="AJ540" s="663"/>
      <c r="AK540" s="663"/>
      <c r="AL540" s="663"/>
      <c r="AM540" s="663"/>
      <c r="AN540" s="663"/>
      <c r="AO540" s="663"/>
      <c r="AP540" s="663"/>
      <c r="AQ540" s="663"/>
      <c r="AR540" s="663"/>
      <c r="AS540" s="663"/>
      <c r="AT540" s="663"/>
      <c r="AU540" s="663"/>
      <c r="AV540" s="663"/>
      <c r="AW540" s="663"/>
      <c r="AX540" s="663"/>
      <c r="AY540" s="663"/>
      <c r="AZ540" s="663"/>
      <c r="BA540" s="663"/>
      <c r="BB540" s="663"/>
      <c r="BC540" s="663"/>
      <c r="BD540" s="663"/>
      <c r="BE540" s="663"/>
      <c r="BF540" s="663"/>
      <c r="BG540" s="663"/>
      <c r="BH540" s="663"/>
      <c r="BI540" s="663"/>
      <c r="BJ540" s="663"/>
      <c r="BK540" s="663"/>
      <c r="BL540" s="663"/>
      <c r="BM540" s="663"/>
      <c r="BN540" s="663"/>
      <c r="BO540" s="663"/>
      <c r="BP540" s="663"/>
      <c r="BQ540" s="663"/>
      <c r="BR540" s="663"/>
      <c r="BS540" s="663"/>
      <c r="BT540" s="663"/>
      <c r="BU540" s="663"/>
      <c r="BV540" s="663"/>
      <c r="BW540" s="663"/>
      <c r="BX540" s="663"/>
      <c r="BY540" s="663"/>
      <c r="BZ540" s="663"/>
      <c r="CA540" s="663"/>
      <c r="CB540" s="663"/>
      <c r="CC540" s="663"/>
      <c r="CD540" s="663"/>
      <c r="CE540" s="663"/>
      <c r="CF540" s="663"/>
      <c r="CG540" s="663"/>
      <c r="CH540" s="663"/>
      <c r="CI540" s="663"/>
      <c r="CJ540" s="663"/>
      <c r="CK540" s="663"/>
      <c r="CL540" s="663"/>
      <c r="CM540" s="663"/>
      <c r="CN540" s="663"/>
      <c r="CO540" s="663"/>
      <c r="CP540" s="663"/>
      <c r="CQ540" s="663"/>
      <c r="CR540" s="663"/>
      <c r="CS540" s="663"/>
      <c r="CT540" s="663"/>
      <c r="CU540" s="663"/>
      <c r="CV540" s="663"/>
      <c r="CW540" s="663"/>
      <c r="CX540" s="663"/>
      <c r="CY540" s="663"/>
      <c r="CZ540" s="663"/>
      <c r="DA540" s="663"/>
      <c r="DB540" s="663"/>
      <c r="DC540" s="663"/>
      <c r="DD540" s="663"/>
      <c r="DE540" s="663"/>
      <c r="DF540" s="663"/>
      <c r="DG540" s="663"/>
      <c r="DH540" s="663"/>
      <c r="DI540" s="663"/>
      <c r="DJ540" s="663"/>
      <c r="DK540" s="663"/>
      <c r="DL540" s="663"/>
      <c r="DM540" s="663"/>
      <c r="DN540" s="663"/>
      <c r="DO540" s="663"/>
      <c r="DP540" s="663"/>
      <c r="DQ540" s="663"/>
      <c r="DR540" s="663"/>
      <c r="DS540" s="663"/>
      <c r="DT540" s="663"/>
      <c r="DU540" s="663"/>
      <c r="DV540" s="663"/>
      <c r="DW540" s="663"/>
      <c r="DX540" s="663"/>
      <c r="DY540" s="663"/>
      <c r="DZ540" s="663"/>
      <c r="EA540" s="663"/>
      <c r="EB540" s="663"/>
      <c r="EC540" s="663"/>
      <c r="ED540" s="663"/>
      <c r="EE540" s="663"/>
      <c r="EF540" s="663"/>
      <c r="EG540" s="663"/>
      <c r="EH540" s="663"/>
      <c r="EI540" s="663"/>
      <c r="EJ540" s="663"/>
      <c r="EK540" s="663"/>
      <c r="EL540" s="663"/>
      <c r="EM540" s="663"/>
      <c r="EN540" s="663"/>
      <c r="EO540" s="663"/>
      <c r="EP540" s="663"/>
      <c r="EQ540" s="663"/>
      <c r="ER540" s="663"/>
      <c r="ES540" s="663"/>
      <c r="ET540" s="663"/>
      <c r="EU540" s="663"/>
      <c r="EV540" s="663"/>
      <c r="EW540" s="663"/>
      <c r="EX540" s="663"/>
      <c r="EY540" s="663"/>
      <c r="EZ540" s="663"/>
      <c r="FA540" s="663"/>
      <c r="FB540" s="663"/>
      <c r="FC540" s="663"/>
      <c r="FD540" s="663"/>
      <c r="FE540" s="663"/>
      <c r="FF540" s="663"/>
      <c r="FG540" s="663"/>
      <c r="FH540" s="663"/>
      <c r="FI540" s="663"/>
      <c r="FJ540" s="663"/>
      <c r="FK540" s="663"/>
      <c r="FL540" s="663"/>
      <c r="FM540" s="663"/>
      <c r="FN540" s="663"/>
      <c r="FO540" s="663"/>
      <c r="FP540" s="663"/>
      <c r="FQ540" s="663"/>
      <c r="FR540" s="663"/>
      <c r="FS540" s="663"/>
      <c r="FT540" s="663"/>
      <c r="FU540" s="663"/>
      <c r="FV540" s="663"/>
      <c r="FW540" s="663"/>
      <c r="FX540" s="663"/>
      <c r="FY540" s="663"/>
      <c r="FZ540" s="663"/>
      <c r="GA540" s="663"/>
      <c r="GB540" s="663"/>
      <c r="GC540" s="663"/>
      <c r="GD540" s="663"/>
      <c r="GE540" s="663"/>
      <c r="GF540" s="663"/>
      <c r="GG540" s="663"/>
    </row>
    <row r="541" spans="1:189">
      <c r="A541" s="670"/>
      <c r="B541" s="670"/>
      <c r="C541" s="670"/>
      <c r="D541" s="670"/>
      <c r="E541" s="670"/>
      <c r="F541" s="670"/>
      <c r="G541" s="673"/>
      <c r="H541" s="627"/>
      <c r="I541" s="627"/>
      <c r="J541" s="672"/>
      <c r="K541" s="663"/>
      <c r="L541" s="663"/>
      <c r="M541" s="663"/>
      <c r="N541" s="663"/>
      <c r="O541" s="663"/>
      <c r="P541" s="663"/>
      <c r="Q541" s="663"/>
      <c r="R541" s="663"/>
      <c r="S541" s="663"/>
      <c r="T541" s="663"/>
      <c r="U541" s="663"/>
      <c r="V541" s="663"/>
      <c r="W541" s="663"/>
      <c r="X541" s="663"/>
      <c r="Y541" s="663"/>
      <c r="Z541" s="663"/>
      <c r="AA541" s="663"/>
      <c r="AB541" s="663"/>
      <c r="AC541" s="663"/>
      <c r="AD541" s="663"/>
      <c r="AE541" s="663"/>
      <c r="AF541" s="663"/>
      <c r="AG541" s="663"/>
      <c r="AH541" s="663"/>
      <c r="AI541" s="663"/>
      <c r="AJ541" s="663"/>
      <c r="AK541" s="663"/>
      <c r="AL541" s="663"/>
      <c r="AM541" s="663"/>
      <c r="AN541" s="663"/>
      <c r="AO541" s="663"/>
      <c r="AP541" s="663"/>
      <c r="AQ541" s="663"/>
      <c r="AR541" s="663"/>
      <c r="AS541" s="663"/>
      <c r="AT541" s="663"/>
      <c r="AU541" s="663"/>
      <c r="AV541" s="663"/>
      <c r="AW541" s="663"/>
      <c r="AX541" s="663"/>
      <c r="AY541" s="663"/>
      <c r="AZ541" s="663"/>
      <c r="BA541" s="663"/>
      <c r="BB541" s="663"/>
      <c r="BC541" s="663"/>
      <c r="BD541" s="663"/>
      <c r="BE541" s="663"/>
      <c r="BF541" s="663"/>
      <c r="BG541" s="663"/>
      <c r="BH541" s="663"/>
      <c r="BI541" s="663"/>
      <c r="BJ541" s="663"/>
      <c r="BK541" s="663"/>
      <c r="BL541" s="663"/>
      <c r="BM541" s="663"/>
      <c r="BN541" s="663"/>
      <c r="BO541" s="663"/>
      <c r="BP541" s="663"/>
      <c r="BQ541" s="663"/>
      <c r="BR541" s="663"/>
      <c r="BS541" s="663"/>
      <c r="BT541" s="663"/>
      <c r="BU541" s="663"/>
      <c r="BV541" s="663"/>
      <c r="BW541" s="663"/>
      <c r="BX541" s="663"/>
      <c r="BY541" s="663"/>
      <c r="BZ541" s="663"/>
      <c r="CA541" s="663"/>
      <c r="CB541" s="663"/>
      <c r="CC541" s="663"/>
      <c r="CD541" s="663"/>
      <c r="CE541" s="663"/>
      <c r="CF541" s="663"/>
      <c r="CG541" s="663"/>
      <c r="CH541" s="663"/>
      <c r="CI541" s="663"/>
      <c r="CJ541" s="663"/>
      <c r="CK541" s="663"/>
      <c r="CL541" s="663"/>
      <c r="CM541" s="663"/>
      <c r="CN541" s="663"/>
      <c r="CO541" s="663"/>
      <c r="CP541" s="663"/>
      <c r="CQ541" s="663"/>
      <c r="CR541" s="663"/>
      <c r="CS541" s="663"/>
      <c r="CT541" s="663"/>
      <c r="CU541" s="663"/>
      <c r="CV541" s="663"/>
      <c r="CW541" s="663"/>
      <c r="CX541" s="663"/>
      <c r="CY541" s="663"/>
      <c r="CZ541" s="663"/>
      <c r="DA541" s="663"/>
      <c r="DB541" s="663"/>
      <c r="DC541" s="663"/>
      <c r="DD541" s="663"/>
      <c r="DE541" s="663"/>
      <c r="DF541" s="663"/>
      <c r="DG541" s="663"/>
      <c r="DH541" s="663"/>
      <c r="DI541" s="663"/>
      <c r="DJ541" s="663"/>
      <c r="DK541" s="663"/>
      <c r="DL541" s="663"/>
      <c r="DM541" s="663"/>
      <c r="DN541" s="663"/>
      <c r="DO541" s="663"/>
      <c r="DP541" s="663"/>
      <c r="DQ541" s="663"/>
      <c r="DR541" s="663"/>
      <c r="DS541" s="663"/>
      <c r="DT541" s="663"/>
      <c r="DU541" s="663"/>
      <c r="DV541" s="663"/>
      <c r="DW541" s="663"/>
      <c r="DX541" s="663"/>
      <c r="DY541" s="663"/>
      <c r="DZ541" s="663"/>
      <c r="EA541" s="663"/>
      <c r="EB541" s="663"/>
      <c r="EC541" s="663"/>
      <c r="ED541" s="663"/>
      <c r="EE541" s="663"/>
      <c r="EF541" s="663"/>
      <c r="EG541" s="663"/>
      <c r="EH541" s="663"/>
      <c r="EI541" s="663"/>
      <c r="EJ541" s="663"/>
      <c r="EK541" s="663"/>
      <c r="EL541" s="663"/>
      <c r="EM541" s="663"/>
      <c r="EN541" s="663"/>
      <c r="EO541" s="663"/>
      <c r="EP541" s="663"/>
      <c r="EQ541" s="663"/>
      <c r="ER541" s="663"/>
      <c r="ES541" s="663"/>
      <c r="ET541" s="663"/>
      <c r="EU541" s="663"/>
      <c r="EV541" s="663"/>
      <c r="EW541" s="663"/>
      <c r="EX541" s="663"/>
      <c r="EY541" s="663"/>
      <c r="EZ541" s="663"/>
      <c r="FA541" s="663"/>
      <c r="FB541" s="663"/>
      <c r="FC541" s="663"/>
      <c r="FD541" s="663"/>
      <c r="FE541" s="663"/>
      <c r="FF541" s="663"/>
      <c r="FG541" s="663"/>
      <c r="FH541" s="663"/>
      <c r="FI541" s="663"/>
      <c r="FJ541" s="663"/>
      <c r="FK541" s="663"/>
      <c r="FL541" s="663"/>
      <c r="FM541" s="663"/>
      <c r="FN541" s="663"/>
      <c r="FO541" s="663"/>
      <c r="FP541" s="663"/>
      <c r="FQ541" s="663"/>
      <c r="FR541" s="663"/>
      <c r="FS541" s="663"/>
      <c r="FT541" s="663"/>
      <c r="FU541" s="663"/>
      <c r="FV541" s="663"/>
      <c r="FW541" s="663"/>
      <c r="FX541" s="663"/>
      <c r="FY541" s="663"/>
      <c r="FZ541" s="663"/>
      <c r="GA541" s="663"/>
      <c r="GB541" s="663"/>
      <c r="GC541" s="663"/>
      <c r="GD541" s="663"/>
      <c r="GE541" s="663"/>
      <c r="GF541" s="663"/>
      <c r="GG541" s="663"/>
    </row>
    <row r="542" spans="1:189">
      <c r="A542" s="670"/>
      <c r="B542" s="670"/>
      <c r="C542" s="670"/>
      <c r="D542" s="670"/>
      <c r="E542" s="670"/>
      <c r="F542" s="670"/>
      <c r="G542" s="673"/>
      <c r="H542" s="627"/>
      <c r="I542" s="627"/>
      <c r="J542" s="672"/>
      <c r="K542" s="663"/>
      <c r="L542" s="663"/>
      <c r="M542" s="663"/>
      <c r="N542" s="663"/>
      <c r="O542" s="663"/>
      <c r="P542" s="663"/>
      <c r="Q542" s="663"/>
      <c r="R542" s="663"/>
      <c r="S542" s="663"/>
      <c r="T542" s="663"/>
      <c r="U542" s="663"/>
      <c r="V542" s="663"/>
      <c r="W542" s="663"/>
      <c r="X542" s="663"/>
      <c r="Y542" s="663"/>
      <c r="Z542" s="663"/>
      <c r="AA542" s="663"/>
      <c r="AB542" s="663"/>
      <c r="AC542" s="663"/>
      <c r="AD542" s="663"/>
      <c r="AE542" s="663"/>
      <c r="AF542" s="663"/>
      <c r="AG542" s="663"/>
      <c r="AH542" s="663"/>
      <c r="AI542" s="663"/>
      <c r="AJ542" s="663"/>
      <c r="AK542" s="663"/>
      <c r="AL542" s="663"/>
      <c r="AM542" s="663"/>
      <c r="AN542" s="663"/>
      <c r="AO542" s="663"/>
      <c r="AP542" s="663"/>
      <c r="AQ542" s="663"/>
      <c r="AR542" s="663"/>
      <c r="AS542" s="663"/>
      <c r="AT542" s="663"/>
      <c r="AU542" s="663"/>
      <c r="AV542" s="663"/>
      <c r="AW542" s="663"/>
      <c r="AX542" s="663"/>
      <c r="AY542" s="663"/>
      <c r="AZ542" s="663"/>
      <c r="BA542" s="663"/>
      <c r="BB542" s="663"/>
      <c r="BC542" s="663"/>
      <c r="BD542" s="663"/>
      <c r="BE542" s="663"/>
      <c r="BF542" s="663"/>
      <c r="BG542" s="663"/>
      <c r="BH542" s="663"/>
      <c r="BI542" s="663"/>
      <c r="BJ542" s="663"/>
      <c r="BK542" s="663"/>
      <c r="BL542" s="663"/>
      <c r="BM542" s="663"/>
      <c r="BN542" s="663"/>
      <c r="BO542" s="663"/>
      <c r="BP542" s="663"/>
      <c r="BQ542" s="663"/>
      <c r="BR542" s="663"/>
      <c r="BS542" s="663"/>
      <c r="BT542" s="663"/>
      <c r="BU542" s="663"/>
      <c r="BV542" s="663"/>
      <c r="BW542" s="663"/>
      <c r="BX542" s="663"/>
      <c r="BY542" s="663"/>
      <c r="BZ542" s="663"/>
      <c r="CA542" s="663"/>
      <c r="CB542" s="663"/>
      <c r="CC542" s="663"/>
      <c r="CD542" s="663"/>
      <c r="CE542" s="663"/>
      <c r="CF542" s="663"/>
      <c r="CG542" s="663"/>
      <c r="CH542" s="663"/>
      <c r="CI542" s="663"/>
      <c r="CJ542" s="663"/>
      <c r="CK542" s="663"/>
      <c r="CL542" s="663"/>
      <c r="CM542" s="663"/>
      <c r="CN542" s="663"/>
      <c r="CO542" s="663"/>
      <c r="CP542" s="663"/>
      <c r="CQ542" s="663"/>
      <c r="CR542" s="663"/>
      <c r="CS542" s="663"/>
      <c r="CT542" s="663"/>
      <c r="CU542" s="663"/>
      <c r="CV542" s="663"/>
      <c r="CW542" s="663"/>
      <c r="CX542" s="663"/>
      <c r="CY542" s="663"/>
      <c r="CZ542" s="663"/>
      <c r="DA542" s="663"/>
      <c r="DB542" s="663"/>
      <c r="DC542" s="663"/>
      <c r="DD542" s="663"/>
      <c r="DE542" s="663"/>
      <c r="DF542" s="663"/>
      <c r="DG542" s="663"/>
      <c r="DH542" s="663"/>
      <c r="DI542" s="663"/>
      <c r="DJ542" s="663"/>
      <c r="DK542" s="663"/>
      <c r="DL542" s="663"/>
      <c r="DM542" s="663"/>
      <c r="DN542" s="663"/>
      <c r="DO542" s="663"/>
      <c r="DP542" s="663"/>
      <c r="DQ542" s="663"/>
      <c r="DR542" s="663"/>
      <c r="DS542" s="663"/>
      <c r="DT542" s="663"/>
      <c r="DU542" s="663"/>
      <c r="DV542" s="663"/>
      <c r="DW542" s="663"/>
      <c r="DX542" s="663"/>
      <c r="DY542" s="663"/>
      <c r="DZ542" s="663"/>
      <c r="EA542" s="663"/>
      <c r="EB542" s="663"/>
      <c r="EC542" s="663"/>
      <c r="ED542" s="663"/>
      <c r="EE542" s="663"/>
      <c r="EF542" s="663"/>
      <c r="EG542" s="663"/>
      <c r="EH542" s="663"/>
      <c r="EI542" s="663"/>
      <c r="EJ542" s="663"/>
      <c r="EK542" s="663"/>
      <c r="EL542" s="663"/>
      <c r="EM542" s="663"/>
      <c r="EN542" s="663"/>
      <c r="EO542" s="663"/>
      <c r="EP542" s="663"/>
      <c r="EQ542" s="663"/>
      <c r="ER542" s="663"/>
      <c r="ES542" s="663"/>
      <c r="ET542" s="663"/>
      <c r="EU542" s="663"/>
      <c r="EV542" s="663"/>
      <c r="EW542" s="663"/>
      <c r="EX542" s="663"/>
      <c r="EY542" s="663"/>
      <c r="EZ542" s="663"/>
      <c r="FA542" s="663"/>
      <c r="FB542" s="663"/>
      <c r="FC542" s="663"/>
      <c r="FD542" s="663"/>
      <c r="FE542" s="663"/>
      <c r="FF542" s="663"/>
      <c r="FG542" s="663"/>
      <c r="FH542" s="663"/>
      <c r="FI542" s="663"/>
      <c r="FJ542" s="663"/>
      <c r="FK542" s="663"/>
      <c r="FL542" s="663"/>
      <c r="FM542" s="663"/>
      <c r="FN542" s="663"/>
      <c r="FO542" s="663"/>
      <c r="FP542" s="663"/>
      <c r="FQ542" s="663"/>
      <c r="FR542" s="663"/>
      <c r="FS542" s="663"/>
      <c r="FT542" s="663"/>
      <c r="FU542" s="663"/>
      <c r="FV542" s="663"/>
      <c r="FW542" s="663"/>
      <c r="FX542" s="663"/>
      <c r="FY542" s="663"/>
      <c r="FZ542" s="663"/>
      <c r="GA542" s="663"/>
      <c r="GB542" s="663"/>
      <c r="GC542" s="663"/>
      <c r="GD542" s="663"/>
      <c r="GE542" s="663"/>
      <c r="GF542" s="663"/>
      <c r="GG542" s="663"/>
    </row>
    <row r="543" spans="1:189">
      <c r="A543" s="670"/>
      <c r="B543" s="670"/>
      <c r="C543" s="670"/>
      <c r="D543" s="670"/>
      <c r="E543" s="670"/>
      <c r="F543" s="670"/>
      <c r="G543" s="673"/>
      <c r="H543" s="627"/>
      <c r="I543" s="627"/>
      <c r="J543" s="672"/>
      <c r="K543" s="663"/>
      <c r="L543" s="663"/>
      <c r="M543" s="663"/>
      <c r="N543" s="663"/>
      <c r="O543" s="663"/>
      <c r="P543" s="663"/>
      <c r="Q543" s="663"/>
      <c r="R543" s="663"/>
      <c r="S543" s="663"/>
      <c r="T543" s="663"/>
      <c r="U543" s="663"/>
      <c r="V543" s="663"/>
      <c r="W543" s="663"/>
      <c r="X543" s="663"/>
      <c r="Y543" s="663"/>
      <c r="Z543" s="663"/>
      <c r="AA543" s="663"/>
      <c r="AB543" s="663"/>
      <c r="AC543" s="663"/>
      <c r="AD543" s="663"/>
      <c r="AE543" s="663"/>
      <c r="AF543" s="663"/>
      <c r="AG543" s="663"/>
      <c r="AH543" s="663"/>
      <c r="AI543" s="663"/>
      <c r="AJ543" s="663"/>
      <c r="AK543" s="663"/>
      <c r="AL543" s="663"/>
      <c r="AM543" s="663"/>
      <c r="AN543" s="663"/>
      <c r="AO543" s="663"/>
      <c r="AP543" s="663"/>
      <c r="AQ543" s="663"/>
      <c r="AR543" s="663"/>
      <c r="AS543" s="663"/>
      <c r="AT543" s="663"/>
      <c r="AU543" s="663"/>
      <c r="AV543" s="663"/>
      <c r="AW543" s="663"/>
      <c r="AX543" s="663"/>
      <c r="AY543" s="663"/>
      <c r="AZ543" s="663"/>
      <c r="BA543" s="663"/>
      <c r="BB543" s="663"/>
      <c r="BC543" s="663"/>
      <c r="BD543" s="663"/>
      <c r="BE543" s="663"/>
      <c r="BF543" s="663"/>
      <c r="BG543" s="663"/>
      <c r="BH543" s="663"/>
      <c r="BI543" s="663"/>
      <c r="BJ543" s="663"/>
      <c r="BK543" s="663"/>
      <c r="BL543" s="663"/>
      <c r="BM543" s="663"/>
      <c r="BN543" s="663"/>
      <c r="BO543" s="663"/>
      <c r="BP543" s="663"/>
      <c r="BQ543" s="663"/>
      <c r="BR543" s="663"/>
      <c r="BS543" s="663"/>
      <c r="BT543" s="663"/>
      <c r="BU543" s="663"/>
      <c r="BV543" s="663"/>
      <c r="BW543" s="663"/>
      <c r="BX543" s="663"/>
      <c r="BY543" s="663"/>
      <c r="BZ543" s="663"/>
      <c r="CA543" s="663"/>
      <c r="CB543" s="663"/>
      <c r="CC543" s="663"/>
      <c r="CD543" s="663"/>
      <c r="CE543" s="663"/>
      <c r="CF543" s="663"/>
      <c r="CG543" s="663"/>
      <c r="CH543" s="663"/>
      <c r="CI543" s="663"/>
      <c r="CJ543" s="663"/>
      <c r="CK543" s="663"/>
      <c r="CL543" s="663"/>
      <c r="CM543" s="663"/>
      <c r="CN543" s="663"/>
      <c r="CO543" s="663"/>
      <c r="CP543" s="663"/>
      <c r="CQ543" s="663"/>
      <c r="CR543" s="663"/>
      <c r="CS543" s="663"/>
      <c r="CT543" s="663"/>
      <c r="CU543" s="663"/>
      <c r="CV543" s="663"/>
      <c r="CW543" s="663"/>
      <c r="CX543" s="663"/>
      <c r="CY543" s="663"/>
      <c r="CZ543" s="663"/>
      <c r="DA543" s="663"/>
      <c r="DB543" s="663"/>
      <c r="DC543" s="663"/>
      <c r="DD543" s="663"/>
      <c r="DE543" s="663"/>
      <c r="DF543" s="663"/>
      <c r="DG543" s="663"/>
      <c r="DH543" s="663"/>
      <c r="DI543" s="663"/>
      <c r="DJ543" s="663"/>
      <c r="DK543" s="663"/>
      <c r="DL543" s="663"/>
      <c r="DM543" s="663"/>
      <c r="DN543" s="663"/>
      <c r="DO543" s="663"/>
      <c r="DP543" s="663"/>
      <c r="DQ543" s="663"/>
      <c r="DR543" s="663"/>
      <c r="DS543" s="663"/>
      <c r="DT543" s="663"/>
      <c r="DU543" s="663"/>
      <c r="DV543" s="663"/>
      <c r="DW543" s="663"/>
      <c r="DX543" s="663"/>
      <c r="DY543" s="663"/>
      <c r="DZ543" s="663"/>
      <c r="EA543" s="663"/>
      <c r="EB543" s="663"/>
      <c r="EC543" s="663"/>
      <c r="ED543" s="663"/>
      <c r="EE543" s="663"/>
      <c r="EF543" s="663"/>
      <c r="EG543" s="663"/>
      <c r="EH543" s="663"/>
      <c r="EI543" s="663"/>
      <c r="EJ543" s="663"/>
      <c r="EK543" s="663"/>
      <c r="EL543" s="663"/>
      <c r="EM543" s="663"/>
      <c r="EN543" s="663"/>
      <c r="EO543" s="663"/>
      <c r="EP543" s="663"/>
      <c r="EQ543" s="663"/>
      <c r="ER543" s="663"/>
      <c r="ES543" s="663"/>
      <c r="ET543" s="663"/>
      <c r="EU543" s="663"/>
      <c r="EV543" s="663"/>
      <c r="EW543" s="663"/>
      <c r="EX543" s="663"/>
      <c r="EY543" s="663"/>
      <c r="EZ543" s="663"/>
      <c r="FA543" s="663"/>
      <c r="FB543" s="663"/>
      <c r="FC543" s="663"/>
      <c r="FD543" s="663"/>
      <c r="FE543" s="663"/>
      <c r="FF543" s="663"/>
      <c r="FG543" s="663"/>
      <c r="FH543" s="663"/>
      <c r="FI543" s="663"/>
      <c r="FJ543" s="663"/>
      <c r="FK543" s="663"/>
      <c r="FL543" s="663"/>
      <c r="FM543" s="663"/>
      <c r="FN543" s="663"/>
      <c r="FO543" s="663"/>
      <c r="FP543" s="663"/>
      <c r="FQ543" s="663"/>
      <c r="FR543" s="663"/>
      <c r="FS543" s="663"/>
      <c r="FT543" s="663"/>
      <c r="FU543" s="663"/>
      <c r="FV543" s="663"/>
      <c r="FW543" s="663"/>
      <c r="FX543" s="663"/>
      <c r="FY543" s="663"/>
      <c r="FZ543" s="663"/>
      <c r="GA543" s="663"/>
      <c r="GB543" s="663"/>
      <c r="GC543" s="663"/>
      <c r="GD543" s="663"/>
      <c r="GE543" s="663"/>
      <c r="GF543" s="663"/>
      <c r="GG543" s="663"/>
    </row>
    <row r="544" spans="1:189">
      <c r="A544" s="670"/>
      <c r="B544" s="670"/>
      <c r="C544" s="670"/>
      <c r="D544" s="670"/>
      <c r="E544" s="670"/>
      <c r="F544" s="670"/>
      <c r="G544" s="673"/>
      <c r="H544" s="627"/>
      <c r="I544" s="627"/>
      <c r="J544" s="672"/>
      <c r="K544" s="663"/>
      <c r="L544" s="663"/>
      <c r="M544" s="663"/>
      <c r="N544" s="663"/>
      <c r="O544" s="663"/>
      <c r="P544" s="663"/>
      <c r="Q544" s="663"/>
      <c r="R544" s="663"/>
      <c r="S544" s="663"/>
      <c r="T544" s="663"/>
      <c r="U544" s="663"/>
      <c r="V544" s="663"/>
      <c r="W544" s="663"/>
      <c r="X544" s="663"/>
      <c r="Y544" s="663"/>
      <c r="Z544" s="663"/>
      <c r="AA544" s="663"/>
      <c r="AB544" s="663"/>
      <c r="AC544" s="663"/>
      <c r="AD544" s="663"/>
      <c r="AE544" s="663"/>
      <c r="AF544" s="663"/>
      <c r="AG544" s="663"/>
      <c r="AH544" s="663"/>
      <c r="AI544" s="663"/>
      <c r="AJ544" s="663"/>
      <c r="AK544" s="663"/>
      <c r="AL544" s="663"/>
      <c r="AM544" s="663"/>
      <c r="AN544" s="663"/>
      <c r="AO544" s="663"/>
      <c r="AP544" s="663"/>
      <c r="AQ544" s="663"/>
      <c r="AR544" s="663"/>
      <c r="AS544" s="663"/>
      <c r="AT544" s="663"/>
      <c r="AU544" s="663"/>
      <c r="AV544" s="663"/>
      <c r="AW544" s="663"/>
      <c r="AX544" s="663"/>
      <c r="AY544" s="663"/>
      <c r="AZ544" s="663"/>
      <c r="BA544" s="663"/>
      <c r="BB544" s="663"/>
      <c r="BC544" s="663"/>
      <c r="BD544" s="663"/>
      <c r="BE544" s="663"/>
      <c r="BF544" s="663"/>
      <c r="BG544" s="663"/>
      <c r="BH544" s="663"/>
      <c r="BI544" s="663"/>
      <c r="BJ544" s="663"/>
      <c r="BK544" s="663"/>
      <c r="BL544" s="663"/>
      <c r="BM544" s="663"/>
      <c r="BN544" s="663"/>
      <c r="BO544" s="663"/>
      <c r="BP544" s="663"/>
      <c r="BQ544" s="663"/>
      <c r="BR544" s="663"/>
      <c r="BS544" s="663"/>
      <c r="BT544" s="663"/>
      <c r="BU544" s="663"/>
      <c r="BV544" s="663"/>
      <c r="BW544" s="663"/>
      <c r="BX544" s="663"/>
      <c r="BY544" s="663"/>
      <c r="BZ544" s="663"/>
      <c r="CA544" s="663"/>
      <c r="CB544" s="663"/>
      <c r="CC544" s="663"/>
      <c r="CD544" s="663"/>
      <c r="CE544" s="663"/>
      <c r="CF544" s="663"/>
      <c r="CG544" s="663"/>
      <c r="CH544" s="663"/>
      <c r="CI544" s="663"/>
      <c r="CJ544" s="663"/>
      <c r="CK544" s="663"/>
      <c r="CL544" s="663"/>
      <c r="CM544" s="663"/>
      <c r="CN544" s="663"/>
      <c r="CO544" s="663"/>
      <c r="CP544" s="663"/>
      <c r="CQ544" s="663"/>
      <c r="CR544" s="663"/>
      <c r="CS544" s="663"/>
      <c r="CT544" s="663"/>
      <c r="CU544" s="663"/>
      <c r="CV544" s="663"/>
      <c r="CW544" s="663"/>
      <c r="CX544" s="663"/>
      <c r="CY544" s="663"/>
      <c r="CZ544" s="663"/>
      <c r="DA544" s="663"/>
      <c r="DB544" s="663"/>
      <c r="DC544" s="663"/>
      <c r="DD544" s="663"/>
      <c r="DE544" s="663"/>
      <c r="DF544" s="663"/>
      <c r="DG544" s="663"/>
      <c r="DH544" s="663"/>
      <c r="DI544" s="663"/>
      <c r="DJ544" s="663"/>
      <c r="DK544" s="663"/>
      <c r="DL544" s="663"/>
      <c r="DM544" s="663"/>
      <c r="DN544" s="663"/>
      <c r="DO544" s="663"/>
      <c r="DP544" s="663"/>
      <c r="DQ544" s="663"/>
      <c r="DR544" s="663"/>
      <c r="DS544" s="663"/>
      <c r="DT544" s="663"/>
      <c r="DU544" s="663"/>
      <c r="DV544" s="663"/>
      <c r="DW544" s="663"/>
      <c r="DX544" s="663"/>
      <c r="DY544" s="663"/>
      <c r="DZ544" s="663"/>
      <c r="EA544" s="663"/>
      <c r="EB544" s="663"/>
      <c r="EC544" s="663"/>
      <c r="ED544" s="663"/>
      <c r="EE544" s="663"/>
      <c r="EF544" s="663"/>
      <c r="EG544" s="663"/>
      <c r="EH544" s="663"/>
      <c r="EI544" s="663"/>
      <c r="EJ544" s="663"/>
      <c r="EK544" s="663"/>
      <c r="EL544" s="663"/>
      <c r="EM544" s="663"/>
      <c r="EN544" s="663"/>
      <c r="EO544" s="663"/>
      <c r="EP544" s="663"/>
      <c r="EQ544" s="663"/>
      <c r="ER544" s="663"/>
      <c r="ES544" s="663"/>
      <c r="ET544" s="663"/>
      <c r="EU544" s="663"/>
      <c r="EV544" s="663"/>
      <c r="EW544" s="663"/>
      <c r="EX544" s="663"/>
      <c r="EY544" s="663"/>
      <c r="EZ544" s="663"/>
      <c r="FA544" s="663"/>
      <c r="FB544" s="663"/>
      <c r="FC544" s="663"/>
      <c r="FD544" s="663"/>
      <c r="FE544" s="663"/>
      <c r="FF544" s="663"/>
      <c r="FG544" s="663"/>
      <c r="FH544" s="663"/>
      <c r="FI544" s="663"/>
      <c r="FJ544" s="663"/>
      <c r="FK544" s="663"/>
      <c r="FL544" s="663"/>
      <c r="FM544" s="663"/>
      <c r="FN544" s="663"/>
      <c r="FO544" s="663"/>
      <c r="FP544" s="663"/>
      <c r="FQ544" s="663"/>
      <c r="FR544" s="663"/>
      <c r="FS544" s="663"/>
      <c r="FT544" s="663"/>
      <c r="FU544" s="663"/>
      <c r="FV544" s="663"/>
      <c r="FW544" s="663"/>
      <c r="FX544" s="663"/>
      <c r="FY544" s="663"/>
      <c r="FZ544" s="663"/>
      <c r="GA544" s="663"/>
      <c r="GB544" s="663"/>
      <c r="GC544" s="663"/>
      <c r="GD544" s="663"/>
      <c r="GE544" s="663"/>
      <c r="GF544" s="663"/>
      <c r="GG544" s="663"/>
    </row>
    <row r="545" spans="1:189">
      <c r="A545" s="670"/>
      <c r="B545" s="670"/>
      <c r="C545" s="670"/>
      <c r="D545" s="670"/>
      <c r="E545" s="670"/>
      <c r="F545" s="670"/>
      <c r="G545" s="673"/>
      <c r="H545" s="627"/>
      <c r="I545" s="627"/>
      <c r="J545" s="672"/>
      <c r="K545" s="663"/>
      <c r="L545" s="663"/>
      <c r="M545" s="663"/>
      <c r="N545" s="663"/>
      <c r="O545" s="663"/>
      <c r="P545" s="663"/>
      <c r="Q545" s="663"/>
      <c r="R545" s="663"/>
      <c r="S545" s="663"/>
      <c r="T545" s="663"/>
      <c r="U545" s="663"/>
      <c r="V545" s="663"/>
      <c r="W545" s="663"/>
      <c r="X545" s="663"/>
      <c r="Y545" s="663"/>
      <c r="Z545" s="663"/>
      <c r="AA545" s="663"/>
      <c r="AB545" s="663"/>
      <c r="AC545" s="663"/>
      <c r="AD545" s="663"/>
      <c r="AE545" s="663"/>
      <c r="AF545" s="663"/>
      <c r="AG545" s="663"/>
      <c r="AH545" s="663"/>
      <c r="AI545" s="663"/>
      <c r="AJ545" s="663"/>
      <c r="AK545" s="663"/>
      <c r="AL545" s="663"/>
      <c r="AM545" s="663"/>
      <c r="AN545" s="663"/>
      <c r="AO545" s="663"/>
      <c r="AP545" s="663"/>
      <c r="AQ545" s="663"/>
      <c r="AR545" s="663"/>
      <c r="AS545" s="663"/>
      <c r="AT545" s="663"/>
      <c r="AU545" s="663"/>
      <c r="AV545" s="663"/>
      <c r="AW545" s="663"/>
      <c r="AX545" s="663"/>
      <c r="AY545" s="663"/>
      <c r="AZ545" s="663"/>
      <c r="BA545" s="663"/>
      <c r="BB545" s="663"/>
      <c r="BC545" s="663"/>
      <c r="BD545" s="663"/>
      <c r="BE545" s="663"/>
      <c r="BF545" s="663"/>
      <c r="BG545" s="663"/>
      <c r="BH545" s="663"/>
      <c r="BI545" s="663"/>
      <c r="BJ545" s="663"/>
      <c r="BK545" s="663"/>
      <c r="BL545" s="663"/>
      <c r="BM545" s="663"/>
      <c r="BN545" s="663"/>
      <c r="BO545" s="663"/>
      <c r="BP545" s="663"/>
      <c r="BQ545" s="663"/>
      <c r="BR545" s="663"/>
      <c r="BS545" s="663"/>
      <c r="BT545" s="663"/>
      <c r="BU545" s="663"/>
      <c r="BV545" s="663"/>
      <c r="BW545" s="663"/>
      <c r="BX545" s="663"/>
      <c r="BY545" s="663"/>
      <c r="BZ545" s="663"/>
      <c r="CA545" s="663"/>
      <c r="CB545" s="663"/>
      <c r="CC545" s="663"/>
      <c r="CD545" s="663"/>
      <c r="CE545" s="663"/>
      <c r="CF545" s="663"/>
      <c r="CG545" s="663"/>
      <c r="CH545" s="663"/>
      <c r="CI545" s="663"/>
      <c r="CJ545" s="663"/>
      <c r="CK545" s="663"/>
      <c r="CL545" s="663"/>
      <c r="CM545" s="663"/>
      <c r="CN545" s="663"/>
      <c r="CO545" s="663"/>
      <c r="CP545" s="663"/>
      <c r="CQ545" s="663"/>
      <c r="CR545" s="663"/>
      <c r="CS545" s="663"/>
      <c r="CT545" s="663"/>
      <c r="CU545" s="663"/>
      <c r="CV545" s="663"/>
      <c r="CW545" s="663"/>
      <c r="CX545" s="663"/>
      <c r="CY545" s="663"/>
      <c r="CZ545" s="663"/>
      <c r="DA545" s="663"/>
      <c r="DB545" s="663"/>
      <c r="DC545" s="663"/>
      <c r="DD545" s="663"/>
      <c r="DE545" s="663"/>
      <c r="DF545" s="663"/>
      <c r="DG545" s="663"/>
      <c r="DH545" s="663"/>
      <c r="DI545" s="663"/>
      <c r="DJ545" s="663"/>
      <c r="DK545" s="663"/>
      <c r="DL545" s="663"/>
      <c r="DM545" s="663"/>
      <c r="DN545" s="663"/>
      <c r="DO545" s="663"/>
      <c r="DP545" s="663"/>
      <c r="DQ545" s="663"/>
      <c r="DR545" s="663"/>
      <c r="DS545" s="663"/>
      <c r="DT545" s="663"/>
      <c r="DU545" s="663"/>
      <c r="DV545" s="663"/>
      <c r="DW545" s="663"/>
      <c r="DX545" s="663"/>
      <c r="DY545" s="663"/>
      <c r="DZ545" s="663"/>
      <c r="EA545" s="663"/>
      <c r="EB545" s="663"/>
      <c r="EC545" s="663"/>
      <c r="ED545" s="663"/>
      <c r="EE545" s="663"/>
      <c r="EF545" s="663"/>
      <c r="EG545" s="663"/>
      <c r="EH545" s="663"/>
      <c r="EI545" s="663"/>
      <c r="EJ545" s="663"/>
      <c r="EK545" s="663"/>
      <c r="EL545" s="663"/>
      <c r="EM545" s="663"/>
      <c r="EN545" s="663"/>
      <c r="EO545" s="663"/>
      <c r="EP545" s="663"/>
      <c r="EQ545" s="663"/>
      <c r="ER545" s="663"/>
      <c r="ES545" s="663"/>
      <c r="ET545" s="663"/>
      <c r="EU545" s="663"/>
      <c r="EV545" s="663"/>
      <c r="EW545" s="663"/>
      <c r="EX545" s="663"/>
      <c r="EY545" s="663"/>
      <c r="EZ545" s="663"/>
      <c r="FA545" s="663"/>
      <c r="FB545" s="663"/>
      <c r="FC545" s="663"/>
      <c r="FD545" s="663"/>
      <c r="FE545" s="663"/>
      <c r="FF545" s="663"/>
      <c r="FG545" s="663"/>
      <c r="FH545" s="663"/>
      <c r="FI545" s="663"/>
      <c r="FJ545" s="663"/>
      <c r="FK545" s="663"/>
      <c r="FL545" s="663"/>
      <c r="FM545" s="663"/>
      <c r="FN545" s="663"/>
      <c r="FO545" s="663"/>
      <c r="FP545" s="663"/>
      <c r="FQ545" s="663"/>
      <c r="FR545" s="663"/>
      <c r="FS545" s="663"/>
      <c r="FT545" s="663"/>
      <c r="FU545" s="663"/>
      <c r="FV545" s="663"/>
      <c r="FW545" s="663"/>
      <c r="FX545" s="663"/>
      <c r="FY545" s="663"/>
      <c r="FZ545" s="663"/>
      <c r="GA545" s="663"/>
      <c r="GB545" s="663"/>
      <c r="GC545" s="663"/>
      <c r="GD545" s="663"/>
      <c r="GE545" s="663"/>
      <c r="GF545" s="663"/>
      <c r="GG545" s="663"/>
    </row>
    <row r="546" spans="1:189">
      <c r="A546" s="670"/>
      <c r="B546" s="670"/>
      <c r="C546" s="670"/>
      <c r="D546" s="670"/>
      <c r="E546" s="670"/>
      <c r="F546" s="670"/>
      <c r="G546" s="673"/>
      <c r="H546" s="627"/>
      <c r="I546" s="627"/>
      <c r="J546" s="672"/>
      <c r="K546" s="663"/>
      <c r="L546" s="663"/>
      <c r="M546" s="663"/>
      <c r="N546" s="663"/>
      <c r="O546" s="663"/>
      <c r="P546" s="663"/>
      <c r="Q546" s="663"/>
      <c r="R546" s="663"/>
      <c r="S546" s="663"/>
      <c r="T546" s="663"/>
      <c r="U546" s="663"/>
      <c r="V546" s="663"/>
      <c r="W546" s="663"/>
      <c r="X546" s="663"/>
      <c r="Y546" s="663"/>
      <c r="Z546" s="663"/>
      <c r="AA546" s="663"/>
      <c r="AB546" s="663"/>
      <c r="AC546" s="663"/>
      <c r="AD546" s="663"/>
      <c r="AE546" s="663"/>
      <c r="AF546" s="663"/>
      <c r="AG546" s="663"/>
      <c r="AH546" s="663"/>
      <c r="AI546" s="663"/>
      <c r="AJ546" s="663"/>
      <c r="AK546" s="663"/>
      <c r="AL546" s="663"/>
      <c r="AM546" s="663"/>
      <c r="AN546" s="663"/>
      <c r="AO546" s="663"/>
      <c r="AP546" s="663"/>
      <c r="AQ546" s="663"/>
      <c r="AR546" s="663"/>
      <c r="AS546" s="663"/>
      <c r="AT546" s="663"/>
      <c r="AU546" s="663"/>
      <c r="AV546" s="663"/>
      <c r="AW546" s="663"/>
      <c r="AX546" s="663"/>
      <c r="AY546" s="663"/>
      <c r="AZ546" s="663"/>
      <c r="BA546" s="663"/>
      <c r="BB546" s="663"/>
      <c r="BC546" s="663"/>
      <c r="BD546" s="663"/>
      <c r="BE546" s="663"/>
      <c r="BF546" s="663"/>
      <c r="BG546" s="663"/>
      <c r="BH546" s="663"/>
      <c r="BI546" s="663"/>
      <c r="BJ546" s="663"/>
      <c r="BK546" s="663"/>
      <c r="BL546" s="663"/>
      <c r="BM546" s="663"/>
      <c r="BN546" s="663"/>
      <c r="BO546" s="663"/>
      <c r="BP546" s="663"/>
      <c r="BQ546" s="663"/>
      <c r="BR546" s="663"/>
      <c r="BS546" s="663"/>
      <c r="BT546" s="663"/>
      <c r="BU546" s="663"/>
      <c r="BV546" s="663"/>
      <c r="BW546" s="663"/>
      <c r="BX546" s="663"/>
      <c r="BY546" s="663"/>
      <c r="BZ546" s="663"/>
      <c r="CA546" s="663"/>
      <c r="CB546" s="663"/>
      <c r="CC546" s="663"/>
      <c r="CD546" s="663"/>
      <c r="CE546" s="663"/>
      <c r="CF546" s="663"/>
      <c r="CG546" s="663"/>
      <c r="CH546" s="663"/>
      <c r="CI546" s="663"/>
      <c r="CJ546" s="663"/>
      <c r="CK546" s="663"/>
      <c r="CL546" s="663"/>
      <c r="CM546" s="663"/>
      <c r="CN546" s="663"/>
      <c r="CO546" s="663"/>
      <c r="CP546" s="663"/>
      <c r="CQ546" s="663"/>
      <c r="CR546" s="663"/>
      <c r="CS546" s="663"/>
      <c r="CT546" s="663"/>
      <c r="CU546" s="663"/>
      <c r="CV546" s="663"/>
      <c r="CW546" s="663"/>
      <c r="CX546" s="663"/>
      <c r="CY546" s="663"/>
      <c r="CZ546" s="663"/>
      <c r="DA546" s="663"/>
      <c r="DB546" s="663"/>
      <c r="DC546" s="663"/>
      <c r="DD546" s="663"/>
      <c r="DE546" s="663"/>
      <c r="DF546" s="663"/>
      <c r="DG546" s="663"/>
      <c r="DH546" s="663"/>
      <c r="DI546" s="663"/>
      <c r="DJ546" s="663"/>
      <c r="DK546" s="663"/>
      <c r="DL546" s="663"/>
      <c r="DM546" s="663"/>
      <c r="DN546" s="663"/>
      <c r="DO546" s="663"/>
      <c r="DP546" s="663"/>
      <c r="DQ546" s="663"/>
      <c r="DR546" s="663"/>
      <c r="DS546" s="663"/>
      <c r="DT546" s="663"/>
      <c r="DU546" s="663"/>
      <c r="DV546" s="663"/>
      <c r="DW546" s="663"/>
      <c r="DX546" s="663"/>
      <c r="DY546" s="663"/>
      <c r="DZ546" s="663"/>
      <c r="EA546" s="663"/>
      <c r="EB546" s="663"/>
      <c r="EC546" s="663"/>
      <c r="ED546" s="663"/>
      <c r="EE546" s="663"/>
      <c r="EF546" s="663"/>
      <c r="EG546" s="663"/>
      <c r="EH546" s="663"/>
      <c r="EI546" s="663"/>
      <c r="EJ546" s="663"/>
      <c r="EK546" s="663"/>
      <c r="EL546" s="663"/>
      <c r="EM546" s="663"/>
      <c r="EN546" s="663"/>
      <c r="EO546" s="663"/>
      <c r="EP546" s="663"/>
      <c r="EQ546" s="663"/>
      <c r="ER546" s="663"/>
      <c r="ES546" s="663"/>
      <c r="ET546" s="663"/>
      <c r="EU546" s="663"/>
      <c r="EV546" s="663"/>
      <c r="EW546" s="663"/>
      <c r="EX546" s="663"/>
      <c r="EY546" s="663"/>
      <c r="EZ546" s="663"/>
      <c r="FA546" s="663"/>
      <c r="FB546" s="663"/>
      <c r="FC546" s="663"/>
      <c r="FD546" s="663"/>
      <c r="FE546" s="663"/>
      <c r="FF546" s="663"/>
      <c r="FG546" s="663"/>
      <c r="FH546" s="663"/>
      <c r="FI546" s="663"/>
      <c r="FJ546" s="663"/>
      <c r="FK546" s="663"/>
      <c r="FL546" s="663"/>
      <c r="FM546" s="663"/>
      <c r="FN546" s="663"/>
      <c r="FO546" s="663"/>
      <c r="FP546" s="663"/>
      <c r="FQ546" s="663"/>
      <c r="FR546" s="663"/>
      <c r="FS546" s="663"/>
      <c r="FT546" s="663"/>
      <c r="FU546" s="663"/>
      <c r="FV546" s="663"/>
      <c r="FW546" s="663"/>
      <c r="FX546" s="663"/>
      <c r="FY546" s="663"/>
      <c r="FZ546" s="663"/>
      <c r="GA546" s="663"/>
      <c r="GB546" s="663"/>
      <c r="GC546" s="663"/>
      <c r="GD546" s="663"/>
      <c r="GE546" s="663"/>
      <c r="GF546" s="663"/>
      <c r="GG546" s="663"/>
    </row>
    <row r="547" spans="1:189">
      <c r="A547" s="670"/>
      <c r="B547" s="670"/>
      <c r="C547" s="670"/>
      <c r="D547" s="670"/>
      <c r="E547" s="670"/>
      <c r="F547" s="670"/>
      <c r="G547" s="673"/>
      <c r="H547" s="627"/>
      <c r="I547" s="627"/>
      <c r="J547" s="672"/>
      <c r="K547" s="663"/>
      <c r="L547" s="663"/>
      <c r="M547" s="663"/>
      <c r="N547" s="663"/>
      <c r="O547" s="663"/>
      <c r="P547" s="663"/>
      <c r="Q547" s="663"/>
      <c r="R547" s="663"/>
      <c r="S547" s="663"/>
      <c r="T547" s="663"/>
      <c r="U547" s="663"/>
      <c r="V547" s="663"/>
      <c r="W547" s="663"/>
      <c r="X547" s="663"/>
      <c r="Y547" s="663"/>
      <c r="Z547" s="663"/>
      <c r="AA547" s="663"/>
      <c r="AB547" s="663"/>
      <c r="AC547" s="663"/>
      <c r="AD547" s="663"/>
      <c r="AE547" s="663"/>
      <c r="AF547" s="663"/>
      <c r="AG547" s="663"/>
      <c r="AH547" s="663"/>
      <c r="AI547" s="663"/>
      <c r="AJ547" s="663"/>
      <c r="AK547" s="663"/>
      <c r="AL547" s="663"/>
      <c r="AM547" s="663"/>
      <c r="AN547" s="663"/>
      <c r="AO547" s="663"/>
      <c r="AP547" s="663"/>
      <c r="AQ547" s="663"/>
      <c r="AR547" s="663"/>
      <c r="AS547" s="663"/>
      <c r="AT547" s="663"/>
      <c r="AU547" s="663"/>
      <c r="AV547" s="663"/>
      <c r="AW547" s="663"/>
      <c r="AX547" s="663"/>
      <c r="AY547" s="663"/>
      <c r="AZ547" s="663"/>
      <c r="BA547" s="663"/>
      <c r="BB547" s="663"/>
      <c r="BC547" s="663"/>
      <c r="BD547" s="663"/>
      <c r="BE547" s="663"/>
      <c r="BF547" s="663"/>
      <c r="BG547" s="663"/>
      <c r="BH547" s="663"/>
      <c r="BI547" s="663"/>
      <c r="BJ547" s="663"/>
      <c r="BK547" s="663"/>
      <c r="BL547" s="663"/>
      <c r="BM547" s="663"/>
      <c r="BN547" s="663"/>
      <c r="BO547" s="663"/>
      <c r="BP547" s="663"/>
      <c r="BQ547" s="663"/>
      <c r="BR547" s="663"/>
      <c r="BS547" s="663"/>
      <c r="BT547" s="663"/>
      <c r="BU547" s="663"/>
      <c r="BV547" s="663"/>
      <c r="BW547" s="663"/>
      <c r="BX547" s="663"/>
      <c r="BY547" s="663"/>
      <c r="BZ547" s="663"/>
      <c r="CA547" s="663"/>
      <c r="CB547" s="663"/>
      <c r="CC547" s="663"/>
      <c r="CD547" s="663"/>
      <c r="CE547" s="663"/>
      <c r="CF547" s="663"/>
      <c r="CG547" s="663"/>
      <c r="CH547" s="663"/>
      <c r="CI547" s="663"/>
      <c r="CJ547" s="663"/>
      <c r="CK547" s="663"/>
      <c r="CL547" s="663"/>
      <c r="CM547" s="663"/>
      <c r="CN547" s="663"/>
      <c r="CO547" s="663"/>
      <c r="CP547" s="663"/>
      <c r="CQ547" s="663"/>
      <c r="CR547" s="663"/>
      <c r="CS547" s="663"/>
      <c r="CT547" s="663"/>
      <c r="CU547" s="663"/>
      <c r="CV547" s="663"/>
      <c r="CW547" s="663"/>
      <c r="CX547" s="663"/>
      <c r="CY547" s="663"/>
      <c r="CZ547" s="663"/>
      <c r="DA547" s="663"/>
      <c r="DB547" s="663"/>
      <c r="DC547" s="663"/>
      <c r="DD547" s="663"/>
      <c r="DE547" s="663"/>
      <c r="DF547" s="663"/>
      <c r="DG547" s="663"/>
      <c r="DH547" s="663"/>
      <c r="DI547" s="663"/>
      <c r="DJ547" s="663"/>
      <c r="DK547" s="663"/>
      <c r="DL547" s="663"/>
      <c r="DM547" s="663"/>
      <c r="DN547" s="663"/>
      <c r="DO547" s="663"/>
      <c r="DP547" s="663"/>
      <c r="DQ547" s="663"/>
      <c r="DR547" s="663"/>
      <c r="DS547" s="663"/>
      <c r="DT547" s="663"/>
      <c r="DU547" s="663"/>
      <c r="DV547" s="663"/>
      <c r="DW547" s="663"/>
      <c r="DX547" s="663"/>
      <c r="DY547" s="663"/>
      <c r="DZ547" s="663"/>
      <c r="EA547" s="663"/>
      <c r="EB547" s="663"/>
      <c r="EC547" s="663"/>
      <c r="ED547" s="663"/>
      <c r="EE547" s="663"/>
      <c r="EF547" s="663"/>
      <c r="EG547" s="663"/>
      <c r="EH547" s="663"/>
      <c r="EI547" s="663"/>
      <c r="EJ547" s="663"/>
      <c r="EK547" s="663"/>
      <c r="EL547" s="663"/>
      <c r="EM547" s="663"/>
      <c r="EN547" s="663"/>
      <c r="EO547" s="663"/>
      <c r="EP547" s="663"/>
      <c r="EQ547" s="663"/>
      <c r="ER547" s="663"/>
      <c r="ES547" s="663"/>
      <c r="ET547" s="663"/>
      <c r="EU547" s="663"/>
      <c r="EV547" s="663"/>
      <c r="EW547" s="663"/>
      <c r="EX547" s="663"/>
      <c r="EY547" s="663"/>
      <c r="EZ547" s="663"/>
      <c r="FA547" s="663"/>
      <c r="FB547" s="663"/>
      <c r="FC547" s="663"/>
      <c r="FD547" s="663"/>
      <c r="FE547" s="663"/>
      <c r="FF547" s="663"/>
      <c r="FG547" s="663"/>
      <c r="FH547" s="663"/>
      <c r="FI547" s="663"/>
      <c r="FJ547" s="663"/>
      <c r="FK547" s="663"/>
      <c r="FL547" s="663"/>
      <c r="FM547" s="663"/>
      <c r="FN547" s="663"/>
      <c r="FO547" s="663"/>
      <c r="FP547" s="663"/>
      <c r="FQ547" s="663"/>
      <c r="FR547" s="663"/>
      <c r="FS547" s="663"/>
      <c r="FT547" s="663"/>
      <c r="FU547" s="663"/>
      <c r="FV547" s="663"/>
      <c r="FW547" s="663"/>
      <c r="FX547" s="663"/>
      <c r="FY547" s="663"/>
      <c r="FZ547" s="663"/>
      <c r="GA547" s="663"/>
      <c r="GB547" s="663"/>
      <c r="GC547" s="663"/>
      <c r="GD547" s="663"/>
      <c r="GE547" s="663"/>
      <c r="GF547" s="663"/>
      <c r="GG547" s="663"/>
    </row>
    <row r="548" spans="1:189">
      <c r="A548" s="670"/>
      <c r="B548" s="670"/>
      <c r="C548" s="670"/>
      <c r="D548" s="670"/>
      <c r="E548" s="670"/>
      <c r="F548" s="670"/>
      <c r="G548" s="673"/>
      <c r="H548" s="627"/>
      <c r="I548" s="627"/>
      <c r="J548" s="672"/>
      <c r="K548" s="663"/>
      <c r="L548" s="663"/>
      <c r="M548" s="663"/>
      <c r="N548" s="663"/>
      <c r="O548" s="663"/>
      <c r="P548" s="663"/>
      <c r="Q548" s="663"/>
      <c r="R548" s="663"/>
      <c r="S548" s="663"/>
      <c r="T548" s="663"/>
      <c r="U548" s="663"/>
      <c r="V548" s="663"/>
      <c r="W548" s="663"/>
      <c r="X548" s="663"/>
      <c r="Y548" s="663"/>
      <c r="Z548" s="663"/>
      <c r="AA548" s="663"/>
      <c r="AB548" s="663"/>
      <c r="AC548" s="663"/>
      <c r="AD548" s="663"/>
      <c r="AE548" s="663"/>
      <c r="AF548" s="663"/>
      <c r="AG548" s="663"/>
      <c r="AH548" s="663"/>
      <c r="AI548" s="663"/>
      <c r="AJ548" s="663"/>
      <c r="AK548" s="663"/>
      <c r="AL548" s="663"/>
      <c r="AM548" s="663"/>
      <c r="AN548" s="663"/>
      <c r="AO548" s="663"/>
      <c r="AP548" s="663"/>
      <c r="AQ548" s="663"/>
      <c r="AR548" s="663"/>
      <c r="AS548" s="663"/>
      <c r="AT548" s="663"/>
      <c r="AU548" s="663"/>
      <c r="AV548" s="663"/>
      <c r="AW548" s="663"/>
      <c r="AX548" s="663"/>
      <c r="AY548" s="663"/>
      <c r="AZ548" s="663"/>
      <c r="BA548" s="663"/>
      <c r="BB548" s="663"/>
      <c r="BC548" s="663"/>
      <c r="BD548" s="663"/>
      <c r="BE548" s="663"/>
      <c r="BF548" s="663"/>
      <c r="BG548" s="663"/>
      <c r="BH548" s="663"/>
      <c r="BI548" s="663"/>
      <c r="BJ548" s="663"/>
      <c r="BK548" s="663"/>
      <c r="BL548" s="663"/>
      <c r="BM548" s="663"/>
      <c r="BN548" s="663"/>
      <c r="BO548" s="663"/>
      <c r="BP548" s="663"/>
      <c r="BQ548" s="663"/>
      <c r="BR548" s="663"/>
      <c r="BS548" s="663"/>
      <c r="BT548" s="663"/>
      <c r="BU548" s="663"/>
      <c r="BV548" s="663"/>
      <c r="BW548" s="663"/>
      <c r="BX548" s="663"/>
      <c r="BY548" s="663"/>
      <c r="BZ548" s="663"/>
      <c r="CA548" s="663"/>
      <c r="CB548" s="663"/>
      <c r="CC548" s="663"/>
      <c r="CD548" s="663"/>
      <c r="CE548" s="663"/>
      <c r="CF548" s="663"/>
      <c r="CG548" s="663"/>
      <c r="CH548" s="663"/>
      <c r="CI548" s="663"/>
      <c r="CJ548" s="663"/>
      <c r="CK548" s="663"/>
      <c r="CL548" s="663"/>
      <c r="CM548" s="663"/>
      <c r="CN548" s="663"/>
      <c r="CO548" s="663"/>
      <c r="CP548" s="663"/>
      <c r="CQ548" s="663"/>
      <c r="CR548" s="663"/>
      <c r="CS548" s="663"/>
      <c r="CT548" s="663"/>
      <c r="CU548" s="663"/>
      <c r="CV548" s="663"/>
      <c r="CW548" s="663"/>
      <c r="CX548" s="663"/>
      <c r="CY548" s="663"/>
      <c r="CZ548" s="663"/>
      <c r="DA548" s="663"/>
      <c r="DB548" s="663"/>
      <c r="DC548" s="663"/>
      <c r="DD548" s="663"/>
      <c r="DE548" s="663"/>
      <c r="DF548" s="663"/>
      <c r="DG548" s="663"/>
      <c r="DH548" s="663"/>
      <c r="DI548" s="663"/>
      <c r="DJ548" s="663"/>
      <c r="DK548" s="663"/>
      <c r="DL548" s="663"/>
      <c r="DM548" s="663"/>
      <c r="DN548" s="663"/>
      <c r="DO548" s="663"/>
      <c r="DP548" s="663"/>
      <c r="DQ548" s="663"/>
      <c r="DR548" s="663"/>
      <c r="DS548" s="663"/>
      <c r="DT548" s="663"/>
      <c r="DU548" s="663"/>
      <c r="DV548" s="663"/>
      <c r="DW548" s="663"/>
      <c r="DX548" s="663"/>
      <c r="DY548" s="663"/>
      <c r="DZ548" s="663"/>
      <c r="EA548" s="663"/>
      <c r="EB548" s="663"/>
      <c r="EC548" s="663"/>
      <c r="ED548" s="663"/>
      <c r="EE548" s="663"/>
      <c r="EF548" s="663"/>
      <c r="EG548" s="663"/>
      <c r="EH548" s="663"/>
      <c r="EI548" s="663"/>
      <c r="EJ548" s="663"/>
      <c r="EK548" s="663"/>
      <c r="EL548" s="663"/>
      <c r="EM548" s="663"/>
      <c r="EN548" s="663"/>
      <c r="EO548" s="663"/>
      <c r="EP548" s="663"/>
      <c r="EQ548" s="663"/>
      <c r="ER548" s="663"/>
      <c r="ES548" s="663"/>
      <c r="ET548" s="663"/>
      <c r="EU548" s="663"/>
      <c r="EV548" s="663"/>
      <c r="EW548" s="663"/>
      <c r="EX548" s="663"/>
      <c r="EY548" s="663"/>
      <c r="EZ548" s="663"/>
      <c r="FA548" s="663"/>
      <c r="FB548" s="663"/>
      <c r="FC548" s="663"/>
      <c r="FD548" s="663"/>
      <c r="FE548" s="663"/>
      <c r="FF548" s="663"/>
      <c r="FG548" s="663"/>
      <c r="FH548" s="663"/>
      <c r="FI548" s="663"/>
      <c r="FJ548" s="663"/>
      <c r="FK548" s="663"/>
      <c r="FL548" s="663"/>
      <c r="FM548" s="663"/>
      <c r="FN548" s="663"/>
      <c r="FO548" s="663"/>
      <c r="FP548" s="663"/>
      <c r="FQ548" s="663"/>
      <c r="FR548" s="663"/>
      <c r="FS548" s="663"/>
      <c r="FT548" s="663"/>
      <c r="FU548" s="663"/>
      <c r="FV548" s="663"/>
      <c r="FW548" s="663"/>
      <c r="FX548" s="663"/>
      <c r="FY548" s="663"/>
      <c r="FZ548" s="663"/>
      <c r="GA548" s="663"/>
      <c r="GB548" s="663"/>
      <c r="GC548" s="663"/>
      <c r="GD548" s="663"/>
      <c r="GE548" s="663"/>
      <c r="GF548" s="663"/>
      <c r="GG548" s="663"/>
    </row>
    <row r="549" spans="1:189">
      <c r="A549" s="670"/>
      <c r="B549" s="670"/>
      <c r="C549" s="670"/>
      <c r="D549" s="670"/>
      <c r="E549" s="670"/>
      <c r="F549" s="670"/>
      <c r="G549" s="673"/>
      <c r="H549" s="627"/>
      <c r="I549" s="627"/>
      <c r="J549" s="672"/>
      <c r="K549" s="663"/>
      <c r="L549" s="663"/>
      <c r="M549" s="663"/>
      <c r="N549" s="663"/>
      <c r="O549" s="663"/>
      <c r="P549" s="663"/>
      <c r="Q549" s="663"/>
      <c r="R549" s="663"/>
      <c r="S549" s="663"/>
      <c r="T549" s="663"/>
      <c r="U549" s="663"/>
      <c r="V549" s="663"/>
      <c r="W549" s="663"/>
      <c r="X549" s="663"/>
      <c r="Y549" s="663"/>
      <c r="Z549" s="663"/>
      <c r="AA549" s="663"/>
      <c r="AB549" s="663"/>
      <c r="AC549" s="663"/>
      <c r="AD549" s="663"/>
      <c r="AE549" s="663"/>
      <c r="AF549" s="663"/>
      <c r="AG549" s="663"/>
      <c r="AH549" s="663"/>
      <c r="AI549" s="663"/>
      <c r="AJ549" s="663"/>
      <c r="AK549" s="663"/>
      <c r="AL549" s="663"/>
      <c r="AM549" s="663"/>
      <c r="AN549" s="663"/>
      <c r="AO549" s="663"/>
      <c r="AP549" s="663"/>
      <c r="AQ549" s="663"/>
      <c r="AR549" s="663"/>
      <c r="AS549" s="663"/>
      <c r="AT549" s="663"/>
      <c r="AU549" s="663"/>
      <c r="AV549" s="663"/>
      <c r="AW549" s="663"/>
      <c r="AX549" s="663"/>
      <c r="AY549" s="663"/>
      <c r="AZ549" s="663"/>
      <c r="BA549" s="663"/>
      <c r="BB549" s="663"/>
      <c r="BC549" s="663"/>
      <c r="BD549" s="663"/>
      <c r="BE549" s="663"/>
      <c r="BF549" s="663"/>
      <c r="BG549" s="663"/>
      <c r="BH549" s="663"/>
      <c r="BI549" s="663"/>
      <c r="BJ549" s="663"/>
      <c r="BK549" s="663"/>
      <c r="BL549" s="663"/>
      <c r="BM549" s="663"/>
      <c r="BN549" s="663"/>
      <c r="BO549" s="663"/>
      <c r="BP549" s="663"/>
      <c r="BQ549" s="663"/>
      <c r="BR549" s="663"/>
      <c r="BS549" s="663"/>
      <c r="BT549" s="663"/>
      <c r="BU549" s="663"/>
      <c r="BV549" s="663"/>
      <c r="BW549" s="663"/>
      <c r="BX549" s="663"/>
      <c r="BY549" s="663"/>
      <c r="BZ549" s="663"/>
      <c r="CA549" s="663"/>
      <c r="CB549" s="663"/>
      <c r="CC549" s="663"/>
      <c r="CD549" s="663"/>
      <c r="CE549" s="663"/>
      <c r="CF549" s="663"/>
      <c r="CG549" s="663"/>
      <c r="CH549" s="663"/>
      <c r="CI549" s="663"/>
      <c r="CJ549" s="663"/>
      <c r="CK549" s="663"/>
      <c r="CL549" s="663"/>
      <c r="CM549" s="663"/>
      <c r="CN549" s="663"/>
      <c r="CO549" s="663"/>
      <c r="CP549" s="663"/>
      <c r="CQ549" s="663"/>
      <c r="CR549" s="663"/>
      <c r="CS549" s="663"/>
      <c r="CT549" s="663"/>
      <c r="CU549" s="663"/>
      <c r="CV549" s="663"/>
      <c r="CW549" s="663"/>
      <c r="CX549" s="663"/>
      <c r="CY549" s="663"/>
      <c r="CZ549" s="663"/>
      <c r="DA549" s="663"/>
      <c r="DB549" s="663"/>
      <c r="DC549" s="663"/>
      <c r="DD549" s="663"/>
      <c r="DE549" s="663"/>
      <c r="DF549" s="663"/>
      <c r="DG549" s="663"/>
      <c r="DH549" s="663"/>
      <c r="DI549" s="663"/>
      <c r="DJ549" s="663"/>
      <c r="DK549" s="663"/>
      <c r="DL549" s="663"/>
      <c r="DM549" s="663"/>
      <c r="DN549" s="663"/>
      <c r="DO549" s="663"/>
      <c r="DP549" s="663"/>
      <c r="DQ549" s="663"/>
      <c r="DR549" s="663"/>
      <c r="DS549" s="663"/>
      <c r="DT549" s="663"/>
      <c r="DU549" s="663"/>
      <c r="DV549" s="663"/>
      <c r="DW549" s="663"/>
      <c r="DX549" s="663"/>
      <c r="DY549" s="663"/>
      <c r="DZ549" s="663"/>
      <c r="EA549" s="663"/>
      <c r="EB549" s="663"/>
      <c r="EC549" s="663"/>
      <c r="ED549" s="663"/>
      <c r="EE549" s="663"/>
      <c r="EF549" s="663"/>
      <c r="EG549" s="663"/>
      <c r="EH549" s="663"/>
      <c r="EI549" s="663"/>
      <c r="EJ549" s="663"/>
      <c r="EK549" s="663"/>
      <c r="EL549" s="663"/>
      <c r="EM549" s="663"/>
      <c r="EN549" s="663"/>
      <c r="EO549" s="663"/>
      <c r="EP549" s="663"/>
      <c r="EQ549" s="663"/>
      <c r="ER549" s="663"/>
      <c r="ES549" s="663"/>
      <c r="ET549" s="663"/>
      <c r="EU549" s="663"/>
      <c r="EV549" s="663"/>
      <c r="EW549" s="663"/>
      <c r="EX549" s="663"/>
      <c r="EY549" s="663"/>
      <c r="EZ549" s="663"/>
      <c r="FA549" s="663"/>
      <c r="FB549" s="663"/>
      <c r="FC549" s="663"/>
      <c r="FD549" s="663"/>
      <c r="FE549" s="663"/>
      <c r="FF549" s="663"/>
      <c r="FG549" s="663"/>
      <c r="FH549" s="663"/>
      <c r="FI549" s="663"/>
      <c r="FJ549" s="663"/>
      <c r="FK549" s="663"/>
      <c r="FL549" s="663"/>
      <c r="FM549" s="663"/>
      <c r="FN549" s="663"/>
      <c r="FO549" s="663"/>
      <c r="FP549" s="663"/>
      <c r="FQ549" s="663"/>
      <c r="FR549" s="663"/>
      <c r="FS549" s="663"/>
      <c r="FT549" s="663"/>
      <c r="FU549" s="663"/>
      <c r="FV549" s="663"/>
      <c r="FW549" s="663"/>
      <c r="FX549" s="663"/>
      <c r="FY549" s="663"/>
      <c r="FZ549" s="663"/>
      <c r="GA549" s="663"/>
      <c r="GB549" s="663"/>
      <c r="GC549" s="663"/>
      <c r="GD549" s="663"/>
      <c r="GE549" s="663"/>
      <c r="GF549" s="663"/>
      <c r="GG549" s="663"/>
    </row>
    <row r="550" spans="1:189">
      <c r="A550" s="670"/>
      <c r="B550" s="670"/>
      <c r="C550" s="670"/>
      <c r="D550" s="670"/>
      <c r="E550" s="670"/>
      <c r="F550" s="670"/>
      <c r="G550" s="673"/>
      <c r="H550" s="627"/>
      <c r="I550" s="627"/>
      <c r="J550" s="672"/>
      <c r="K550" s="663"/>
      <c r="L550" s="663"/>
      <c r="M550" s="663"/>
      <c r="N550" s="663"/>
      <c r="O550" s="663"/>
      <c r="P550" s="663"/>
      <c r="Q550" s="663"/>
      <c r="R550" s="663"/>
      <c r="S550" s="663"/>
      <c r="T550" s="663"/>
      <c r="U550" s="663"/>
      <c r="V550" s="663"/>
      <c r="W550" s="663"/>
      <c r="X550" s="663"/>
      <c r="Y550" s="663"/>
      <c r="Z550" s="663"/>
      <c r="AA550" s="663"/>
      <c r="AB550" s="663"/>
      <c r="AC550" s="663"/>
      <c r="AD550" s="663"/>
      <c r="AE550" s="663"/>
      <c r="AF550" s="663"/>
      <c r="AG550" s="663"/>
      <c r="AH550" s="663"/>
      <c r="AI550" s="663"/>
      <c r="AJ550" s="663"/>
      <c r="AK550" s="663"/>
      <c r="AL550" s="663"/>
      <c r="AM550" s="663"/>
      <c r="AN550" s="663"/>
      <c r="AO550" s="663"/>
      <c r="AP550" s="663"/>
      <c r="AQ550" s="663"/>
      <c r="AR550" s="663"/>
      <c r="AS550" s="663"/>
      <c r="AT550" s="663"/>
      <c r="AU550" s="663"/>
      <c r="AV550" s="663"/>
      <c r="AW550" s="663"/>
      <c r="AX550" s="663"/>
      <c r="AY550" s="663"/>
      <c r="AZ550" s="663"/>
      <c r="BA550" s="663"/>
      <c r="BB550" s="663"/>
      <c r="BC550" s="663"/>
      <c r="BD550" s="663"/>
      <c r="BE550" s="663"/>
      <c r="BF550" s="663"/>
      <c r="BG550" s="663"/>
      <c r="BH550" s="663"/>
      <c r="BI550" s="663"/>
      <c r="BJ550" s="663"/>
      <c r="BK550" s="663"/>
      <c r="BL550" s="663"/>
      <c r="BM550" s="663"/>
      <c r="BN550" s="663"/>
      <c r="BO550" s="663"/>
      <c r="BP550" s="663"/>
      <c r="BQ550" s="663"/>
      <c r="BR550" s="663"/>
      <c r="BS550" s="663"/>
      <c r="BT550" s="663"/>
      <c r="BU550" s="663"/>
      <c r="BV550" s="663"/>
      <c r="BW550" s="663"/>
      <c r="BX550" s="663"/>
      <c r="BY550" s="663"/>
      <c r="BZ550" s="663"/>
      <c r="CA550" s="663"/>
      <c r="CB550" s="663"/>
      <c r="CC550" s="663"/>
      <c r="CD550" s="663"/>
      <c r="CE550" s="663"/>
      <c r="CF550" s="663"/>
      <c r="CG550" s="663"/>
      <c r="CH550" s="663"/>
      <c r="CI550" s="663"/>
      <c r="CJ550" s="663"/>
      <c r="CK550" s="663"/>
      <c r="CL550" s="663"/>
      <c r="CM550" s="663"/>
      <c r="CN550" s="663"/>
      <c r="CO550" s="663"/>
      <c r="CP550" s="663"/>
      <c r="CQ550" s="663"/>
      <c r="CR550" s="663"/>
      <c r="CS550" s="663"/>
      <c r="CT550" s="663"/>
      <c r="CU550" s="663"/>
      <c r="CV550" s="663"/>
      <c r="CW550" s="663"/>
      <c r="CX550" s="663"/>
      <c r="CY550" s="663"/>
      <c r="CZ550" s="663"/>
      <c r="DA550" s="663"/>
      <c r="DB550" s="663"/>
      <c r="DC550" s="663"/>
      <c r="DD550" s="663"/>
      <c r="DE550" s="663"/>
      <c r="DF550" s="663"/>
      <c r="DG550" s="663"/>
      <c r="DH550" s="663"/>
      <c r="DI550" s="663"/>
      <c r="DJ550" s="663"/>
      <c r="DK550" s="663"/>
      <c r="DL550" s="663"/>
      <c r="DM550" s="663"/>
      <c r="DN550" s="663"/>
      <c r="DO550" s="663"/>
      <c r="DP550" s="663"/>
      <c r="DQ550" s="663"/>
      <c r="DR550" s="663"/>
      <c r="DS550" s="663"/>
      <c r="DT550" s="663"/>
      <c r="DU550" s="663"/>
      <c r="DV550" s="663"/>
      <c r="DW550" s="663"/>
      <c r="DX550" s="663"/>
      <c r="DY550" s="663"/>
      <c r="DZ550" s="663"/>
      <c r="EA550" s="663"/>
      <c r="EB550" s="663"/>
      <c r="EC550" s="663"/>
      <c r="ED550" s="663"/>
      <c r="EE550" s="663"/>
      <c r="EF550" s="663"/>
      <c r="EG550" s="663"/>
      <c r="EH550" s="663"/>
      <c r="EI550" s="663"/>
      <c r="EJ550" s="663"/>
      <c r="EK550" s="663"/>
      <c r="EL550" s="663"/>
      <c r="EM550" s="663"/>
      <c r="EN550" s="663"/>
      <c r="EO550" s="663"/>
      <c r="EP550" s="663"/>
      <c r="EQ550" s="663"/>
      <c r="ER550" s="663"/>
      <c r="ES550" s="663"/>
      <c r="ET550" s="663"/>
      <c r="EU550" s="663"/>
      <c r="EV550" s="663"/>
      <c r="EW550" s="663"/>
      <c r="EX550" s="663"/>
      <c r="EY550" s="663"/>
      <c r="EZ550" s="663"/>
      <c r="FA550" s="663"/>
      <c r="FB550" s="663"/>
      <c r="FC550" s="663"/>
      <c r="FD550" s="663"/>
      <c r="FE550" s="663"/>
      <c r="FF550" s="663"/>
      <c r="FG550" s="663"/>
      <c r="FH550" s="663"/>
      <c r="FI550" s="663"/>
      <c r="FJ550" s="663"/>
      <c r="FK550" s="663"/>
      <c r="FL550" s="663"/>
      <c r="FM550" s="663"/>
      <c r="FN550" s="663"/>
      <c r="FO550" s="663"/>
      <c r="FP550" s="663"/>
      <c r="FQ550" s="663"/>
      <c r="FR550" s="663"/>
      <c r="FS550" s="663"/>
      <c r="FT550" s="663"/>
      <c r="FU550" s="663"/>
      <c r="FV550" s="663"/>
      <c r="FW550" s="663"/>
      <c r="FX550" s="663"/>
      <c r="FY550" s="663"/>
      <c r="FZ550" s="663"/>
      <c r="GA550" s="663"/>
      <c r="GB550" s="663"/>
      <c r="GC550" s="663"/>
      <c r="GD550" s="663"/>
      <c r="GE550" s="663"/>
      <c r="GF550" s="663"/>
      <c r="GG550" s="663"/>
    </row>
    <row r="551" spans="1:189">
      <c r="A551" s="670"/>
      <c r="B551" s="670"/>
      <c r="C551" s="670"/>
      <c r="D551" s="670"/>
      <c r="E551" s="670"/>
      <c r="F551" s="670"/>
      <c r="G551" s="673"/>
      <c r="H551" s="627"/>
      <c r="I551" s="627"/>
      <c r="J551" s="672"/>
      <c r="K551" s="663"/>
      <c r="L551" s="663"/>
      <c r="M551" s="663"/>
      <c r="N551" s="663"/>
      <c r="O551" s="663"/>
      <c r="P551" s="663"/>
      <c r="Q551" s="663"/>
      <c r="R551" s="663"/>
      <c r="S551" s="663"/>
      <c r="T551" s="663"/>
      <c r="U551" s="663"/>
      <c r="V551" s="663"/>
      <c r="W551" s="663"/>
      <c r="X551" s="663"/>
      <c r="Y551" s="663"/>
      <c r="Z551" s="663"/>
      <c r="AA551" s="663"/>
      <c r="AB551" s="663"/>
      <c r="AC551" s="663"/>
      <c r="AD551" s="663"/>
      <c r="AE551" s="663"/>
      <c r="AF551" s="663"/>
      <c r="AG551" s="663"/>
      <c r="AH551" s="663"/>
      <c r="AI551" s="663"/>
      <c r="AJ551" s="663"/>
      <c r="AK551" s="663"/>
      <c r="AL551" s="663"/>
      <c r="AM551" s="663"/>
      <c r="AN551" s="663"/>
      <c r="AO551" s="663"/>
      <c r="AP551" s="663"/>
      <c r="AQ551" s="663"/>
      <c r="AR551" s="663"/>
      <c r="AS551" s="663"/>
      <c r="AT551" s="663"/>
      <c r="AU551" s="663"/>
      <c r="AV551" s="663"/>
      <c r="AW551" s="663"/>
      <c r="AX551" s="663"/>
      <c r="AY551" s="663"/>
      <c r="AZ551" s="663"/>
      <c r="BA551" s="663"/>
      <c r="BB551" s="663"/>
      <c r="BC551" s="663"/>
      <c r="BD551" s="663"/>
      <c r="BE551" s="663"/>
      <c r="BF551" s="663"/>
      <c r="BG551" s="663"/>
      <c r="BH551" s="663"/>
      <c r="BI551" s="663"/>
      <c r="BJ551" s="663"/>
      <c r="BK551" s="663"/>
      <c r="BL551" s="663"/>
      <c r="BM551" s="663"/>
      <c r="BN551" s="663"/>
      <c r="BO551" s="663"/>
      <c r="BP551" s="663"/>
      <c r="BQ551" s="663"/>
      <c r="BR551" s="663"/>
      <c r="BS551" s="663"/>
      <c r="BT551" s="663"/>
      <c r="BU551" s="663"/>
      <c r="BV551" s="663"/>
      <c r="BW551" s="663"/>
      <c r="BX551" s="663"/>
      <c r="BY551" s="663"/>
      <c r="BZ551" s="663"/>
      <c r="CA551" s="663"/>
      <c r="CB551" s="663"/>
      <c r="CC551" s="663"/>
      <c r="CD551" s="663"/>
      <c r="CE551" s="663"/>
      <c r="CF551" s="663"/>
      <c r="CG551" s="663"/>
      <c r="CH551" s="663"/>
      <c r="CI551" s="663"/>
      <c r="CJ551" s="663"/>
      <c r="CK551" s="663"/>
      <c r="CL551" s="663"/>
      <c r="CM551" s="663"/>
      <c r="CN551" s="663"/>
      <c r="CO551" s="663"/>
      <c r="CP551" s="663"/>
      <c r="CQ551" s="663"/>
      <c r="CR551" s="663"/>
      <c r="CS551" s="663"/>
      <c r="CT551" s="663"/>
      <c r="CU551" s="663"/>
      <c r="CV551" s="663"/>
      <c r="CW551" s="663"/>
      <c r="CX551" s="663"/>
      <c r="CY551" s="663"/>
      <c r="CZ551" s="663"/>
      <c r="DA551" s="663"/>
      <c r="DB551" s="663"/>
      <c r="DC551" s="663"/>
      <c r="DD551" s="663"/>
      <c r="DE551" s="663"/>
      <c r="DF551" s="663"/>
      <c r="DG551" s="663"/>
      <c r="DH551" s="663"/>
      <c r="DI551" s="663"/>
      <c r="DJ551" s="663"/>
      <c r="DK551" s="663"/>
      <c r="DL551" s="663"/>
      <c r="DM551" s="663"/>
      <c r="DN551" s="663"/>
      <c r="DO551" s="663"/>
      <c r="DP551" s="663"/>
      <c r="DQ551" s="663"/>
      <c r="DR551" s="663"/>
      <c r="DS551" s="663"/>
      <c r="DT551" s="663"/>
      <c r="DU551" s="663"/>
      <c r="DV551" s="663"/>
      <c r="DW551" s="663"/>
      <c r="DX551" s="663"/>
      <c r="DY551" s="663"/>
      <c r="DZ551" s="663"/>
      <c r="EA551" s="663"/>
      <c r="EB551" s="663"/>
      <c r="EC551" s="663"/>
      <c r="ED551" s="663"/>
      <c r="EE551" s="663"/>
      <c r="EF551" s="663"/>
      <c r="EG551" s="663"/>
      <c r="EH551" s="663"/>
      <c r="EI551" s="663"/>
      <c r="EJ551" s="663"/>
      <c r="EK551" s="663"/>
      <c r="EL551" s="663"/>
      <c r="EM551" s="663"/>
      <c r="EN551" s="663"/>
      <c r="EO551" s="663"/>
      <c r="EP551" s="663"/>
      <c r="EQ551" s="663"/>
      <c r="ER551" s="663"/>
      <c r="ES551" s="663"/>
      <c r="ET551" s="663"/>
      <c r="EU551" s="663"/>
      <c r="EV551" s="663"/>
      <c r="EW551" s="663"/>
      <c r="EX551" s="663"/>
      <c r="EY551" s="663"/>
      <c r="EZ551" s="663"/>
      <c r="FA551" s="663"/>
      <c r="FB551" s="663"/>
      <c r="FC551" s="663"/>
      <c r="FD551" s="663"/>
      <c r="FE551" s="663"/>
      <c r="FF551" s="663"/>
      <c r="FG551" s="663"/>
      <c r="FH551" s="663"/>
      <c r="FI551" s="663"/>
      <c r="FJ551" s="663"/>
      <c r="FK551" s="663"/>
      <c r="FL551" s="663"/>
      <c r="FM551" s="663"/>
      <c r="FN551" s="663"/>
      <c r="FO551" s="663"/>
      <c r="FP551" s="663"/>
      <c r="FQ551" s="663"/>
      <c r="FR551" s="663"/>
      <c r="FS551" s="663"/>
      <c r="FT551" s="663"/>
      <c r="FU551" s="663"/>
      <c r="FV551" s="663"/>
      <c r="FW551" s="663"/>
      <c r="FX551" s="663"/>
      <c r="FY551" s="663"/>
      <c r="FZ551" s="663"/>
      <c r="GA551" s="663"/>
      <c r="GB551" s="663"/>
      <c r="GC551" s="663"/>
      <c r="GD551" s="663"/>
      <c r="GE551" s="663"/>
      <c r="GF551" s="663"/>
      <c r="GG551" s="663"/>
    </row>
    <row r="552" spans="1:189">
      <c r="A552" s="670"/>
      <c r="B552" s="670"/>
      <c r="C552" s="670"/>
      <c r="D552" s="670"/>
      <c r="E552" s="670"/>
      <c r="F552" s="670"/>
      <c r="G552" s="673"/>
      <c r="H552" s="627"/>
      <c r="I552" s="627"/>
      <c r="J552" s="672"/>
      <c r="K552" s="663"/>
      <c r="L552" s="663"/>
      <c r="M552" s="663"/>
      <c r="N552" s="663"/>
      <c r="O552" s="663"/>
      <c r="P552" s="663"/>
      <c r="Q552" s="663"/>
      <c r="R552" s="663"/>
      <c r="S552" s="663"/>
      <c r="T552" s="663"/>
      <c r="U552" s="663"/>
      <c r="V552" s="663"/>
      <c r="W552" s="663"/>
      <c r="X552" s="663"/>
      <c r="Y552" s="663"/>
      <c r="Z552" s="663"/>
      <c r="AA552" s="663"/>
      <c r="AB552" s="663"/>
      <c r="AC552" s="663"/>
      <c r="AD552" s="663"/>
      <c r="AE552" s="663"/>
      <c r="AF552" s="663"/>
      <c r="AG552" s="663"/>
      <c r="AH552" s="663"/>
      <c r="AI552" s="663"/>
      <c r="AJ552" s="663"/>
      <c r="AK552" s="663"/>
      <c r="AL552" s="663"/>
      <c r="AM552" s="663"/>
      <c r="AN552" s="663"/>
      <c r="AO552" s="663"/>
      <c r="AP552" s="663"/>
      <c r="AQ552" s="663"/>
      <c r="AR552" s="663"/>
      <c r="AS552" s="663"/>
      <c r="AT552" s="663"/>
      <c r="AU552" s="663"/>
      <c r="AV552" s="663"/>
      <c r="AW552" s="663"/>
      <c r="AX552" s="663"/>
      <c r="AY552" s="663"/>
      <c r="AZ552" s="663"/>
      <c r="BA552" s="663"/>
      <c r="BB552" s="663"/>
      <c r="BC552" s="663"/>
      <c r="BD552" s="663"/>
      <c r="BE552" s="663"/>
      <c r="BF552" s="663"/>
      <c r="BG552" s="663"/>
      <c r="BH552" s="663"/>
      <c r="BI552" s="663"/>
      <c r="BJ552" s="663"/>
      <c r="BK552" s="663"/>
      <c r="BL552" s="663"/>
      <c r="BM552" s="663"/>
      <c r="BN552" s="663"/>
      <c r="BO552" s="663"/>
      <c r="BP552" s="663"/>
      <c r="BQ552" s="663"/>
      <c r="BR552" s="663"/>
      <c r="BS552" s="663"/>
      <c r="BT552" s="663"/>
      <c r="BU552" s="663"/>
      <c r="BV552" s="663"/>
      <c r="BW552" s="663"/>
      <c r="BX552" s="663"/>
      <c r="BY552" s="663"/>
      <c r="BZ552" s="663"/>
      <c r="CA552" s="663"/>
      <c r="CB552" s="663"/>
      <c r="CC552" s="663"/>
      <c r="CD552" s="663"/>
      <c r="CE552" s="663"/>
      <c r="CF552" s="663"/>
      <c r="CG552" s="663"/>
      <c r="CH552" s="663"/>
      <c r="CI552" s="663"/>
      <c r="CJ552" s="663"/>
      <c r="CK552" s="663"/>
      <c r="CL552" s="663"/>
      <c r="CM552" s="663"/>
      <c r="CN552" s="663"/>
      <c r="CO552" s="663"/>
      <c r="CP552" s="663"/>
      <c r="CQ552" s="663"/>
      <c r="CR552" s="663"/>
      <c r="CS552" s="663"/>
      <c r="CT552" s="663"/>
      <c r="CU552" s="663"/>
      <c r="CV552" s="663"/>
      <c r="CW552" s="663"/>
      <c r="CX552" s="663"/>
      <c r="CY552" s="663"/>
      <c r="CZ552" s="663"/>
      <c r="DA552" s="663"/>
      <c r="DB552" s="663"/>
      <c r="DC552" s="663"/>
      <c r="DD552" s="663"/>
      <c r="DE552" s="663"/>
      <c r="DF552" s="663"/>
      <c r="DG552" s="663"/>
      <c r="DH552" s="663"/>
      <c r="DI552" s="663"/>
      <c r="DJ552" s="663"/>
      <c r="DK552" s="663"/>
      <c r="DL552" s="663"/>
      <c r="DM552" s="663"/>
      <c r="DN552" s="663"/>
      <c r="DO552" s="663"/>
      <c r="DP552" s="663"/>
      <c r="DQ552" s="663"/>
      <c r="DR552" s="663"/>
      <c r="DS552" s="663"/>
      <c r="DT552" s="663"/>
      <c r="DU552" s="663"/>
      <c r="DV552" s="663"/>
      <c r="DW552" s="663"/>
      <c r="DX552" s="663"/>
      <c r="DY552" s="663"/>
      <c r="DZ552" s="663"/>
      <c r="EA552" s="663"/>
      <c r="EB552" s="663"/>
      <c r="EC552" s="663"/>
      <c r="ED552" s="663"/>
      <c r="EE552" s="663"/>
      <c r="EF552" s="663"/>
      <c r="EG552" s="663"/>
      <c r="EH552" s="663"/>
      <c r="EI552" s="663"/>
      <c r="EJ552" s="663"/>
      <c r="EK552" s="663"/>
      <c r="EL552" s="663"/>
      <c r="EM552" s="663"/>
      <c r="EN552" s="663"/>
      <c r="EO552" s="663"/>
      <c r="EP552" s="663"/>
      <c r="EQ552" s="663"/>
      <c r="ER552" s="663"/>
      <c r="ES552" s="663"/>
      <c r="ET552" s="663"/>
      <c r="EU552" s="663"/>
      <c r="EV552" s="663"/>
      <c r="EW552" s="663"/>
      <c r="EX552" s="663"/>
      <c r="EY552" s="663"/>
      <c r="EZ552" s="663"/>
      <c r="FA552" s="663"/>
      <c r="FB552" s="663"/>
      <c r="FC552" s="663"/>
      <c r="FD552" s="663"/>
      <c r="FE552" s="663"/>
      <c r="FF552" s="663"/>
      <c r="FG552" s="663"/>
      <c r="FH552" s="663"/>
      <c r="FI552" s="663"/>
      <c r="FJ552" s="663"/>
      <c r="FK552" s="663"/>
      <c r="FL552" s="663"/>
      <c r="FM552" s="663"/>
      <c r="FN552" s="663"/>
      <c r="FO552" s="663"/>
      <c r="FP552" s="663"/>
      <c r="FQ552" s="663"/>
      <c r="FR552" s="663"/>
      <c r="FS552" s="663"/>
      <c r="FT552" s="663"/>
      <c r="FU552" s="663"/>
      <c r="FV552" s="663"/>
      <c r="FW552" s="663"/>
      <c r="FX552" s="663"/>
      <c r="FY552" s="663"/>
      <c r="FZ552" s="663"/>
      <c r="GA552" s="663"/>
      <c r="GB552" s="663"/>
      <c r="GC552" s="663"/>
      <c r="GD552" s="663"/>
      <c r="GE552" s="663"/>
      <c r="GF552" s="663"/>
      <c r="GG552" s="663"/>
    </row>
    <row r="553" spans="1:189">
      <c r="A553" s="670"/>
      <c r="B553" s="670"/>
      <c r="C553" s="670"/>
      <c r="D553" s="670"/>
      <c r="E553" s="670"/>
      <c r="F553" s="670"/>
      <c r="G553" s="673"/>
      <c r="H553" s="627"/>
      <c r="I553" s="627"/>
      <c r="J553" s="672"/>
      <c r="K553" s="663"/>
      <c r="L553" s="663"/>
      <c r="M553" s="663"/>
      <c r="N553" s="663"/>
      <c r="O553" s="663"/>
      <c r="P553" s="663"/>
      <c r="Q553" s="663"/>
      <c r="R553" s="663"/>
      <c r="S553" s="663"/>
      <c r="T553" s="663"/>
      <c r="U553" s="663"/>
      <c r="V553" s="663"/>
      <c r="W553" s="663"/>
      <c r="X553" s="663"/>
      <c r="Y553" s="663"/>
      <c r="Z553" s="663"/>
      <c r="AA553" s="663"/>
      <c r="AB553" s="663"/>
      <c r="AC553" s="663"/>
      <c r="AD553" s="663"/>
      <c r="AE553" s="663"/>
      <c r="AF553" s="663"/>
      <c r="AG553" s="663"/>
      <c r="AH553" s="663"/>
      <c r="AI553" s="663"/>
      <c r="AJ553" s="663"/>
      <c r="AK553" s="663"/>
      <c r="AL553" s="663"/>
      <c r="AM553" s="663"/>
      <c r="AN553" s="663"/>
      <c r="AO553" s="663"/>
      <c r="AP553" s="663"/>
      <c r="AQ553" s="663"/>
      <c r="AR553" s="663"/>
      <c r="AS553" s="663"/>
      <c r="AT553" s="663"/>
      <c r="AU553" s="663"/>
      <c r="AV553" s="663"/>
      <c r="AW553" s="663"/>
      <c r="AX553" s="663"/>
      <c r="AY553" s="663"/>
      <c r="AZ553" s="663"/>
      <c r="BA553" s="663"/>
      <c r="BB553" s="663"/>
      <c r="BC553" s="663"/>
      <c r="BD553" s="663"/>
      <c r="BE553" s="663"/>
      <c r="BF553" s="663"/>
      <c r="BG553" s="663"/>
      <c r="BH553" s="663"/>
      <c r="BI553" s="663"/>
      <c r="BJ553" s="663"/>
      <c r="BK553" s="663"/>
      <c r="BL553" s="663"/>
      <c r="BM553" s="663"/>
      <c r="BN553" s="663"/>
      <c r="BO553" s="663"/>
      <c r="BP553" s="663"/>
      <c r="BQ553" s="663"/>
      <c r="BR553" s="663"/>
      <c r="BS553" s="663"/>
      <c r="BT553" s="663"/>
      <c r="BU553" s="663"/>
      <c r="BV553" s="663"/>
      <c r="BW553" s="663"/>
      <c r="BX553" s="663"/>
      <c r="BY553" s="663"/>
      <c r="BZ553" s="663"/>
      <c r="CA553" s="663"/>
      <c r="CB553" s="663"/>
      <c r="CC553" s="663"/>
      <c r="CD553" s="663"/>
      <c r="CE553" s="663"/>
      <c r="CF553" s="663"/>
      <c r="CG553" s="663"/>
      <c r="CH553" s="663"/>
      <c r="CI553" s="663"/>
      <c r="CJ553" s="663"/>
      <c r="CK553" s="663"/>
      <c r="CL553" s="663"/>
      <c r="CM553" s="663"/>
      <c r="CN553" s="663"/>
      <c r="CO553" s="663"/>
      <c r="CP553" s="663"/>
      <c r="CQ553" s="663"/>
      <c r="CR553" s="663"/>
      <c r="CS553" s="663"/>
      <c r="CT553" s="663"/>
      <c r="CU553" s="663"/>
      <c r="CV553" s="663"/>
      <c r="CW553" s="663"/>
      <c r="CX553" s="663"/>
      <c r="CY553" s="663"/>
      <c r="CZ553" s="663"/>
      <c r="DA553" s="663"/>
      <c r="DB553" s="663"/>
      <c r="DC553" s="663"/>
      <c r="DD553" s="663"/>
      <c r="DE553" s="663"/>
      <c r="DF553" s="663"/>
      <c r="DG553" s="663"/>
      <c r="DH553" s="663"/>
      <c r="DI553" s="663"/>
      <c r="DJ553" s="663"/>
      <c r="DK553" s="663"/>
      <c r="DL553" s="663"/>
      <c r="DM553" s="663"/>
      <c r="DN553" s="663"/>
      <c r="DO553" s="663"/>
      <c r="DP553" s="663"/>
      <c r="DQ553" s="663"/>
      <c r="DR553" s="663"/>
      <c r="DS553" s="663"/>
      <c r="DT553" s="663"/>
      <c r="DU553" s="663"/>
      <c r="DV553" s="663"/>
      <c r="DW553" s="663"/>
      <c r="DX553" s="663"/>
      <c r="DY553" s="663"/>
      <c r="DZ553" s="663"/>
      <c r="EA553" s="663"/>
      <c r="EB553" s="663"/>
      <c r="EC553" s="663"/>
      <c r="ED553" s="663"/>
      <c r="EE553" s="663"/>
      <c r="EF553" s="663"/>
      <c r="EG553" s="663"/>
      <c r="EH553" s="663"/>
      <c r="EI553" s="663"/>
      <c r="EJ553" s="663"/>
      <c r="EK553" s="663"/>
      <c r="EL553" s="663"/>
      <c r="EM553" s="663"/>
      <c r="EN553" s="663"/>
      <c r="EO553" s="663"/>
      <c r="EP553" s="663"/>
      <c r="EQ553" s="663"/>
      <c r="ER553" s="663"/>
      <c r="ES553" s="663"/>
      <c r="ET553" s="663"/>
      <c r="EU553" s="663"/>
      <c r="EV553" s="663"/>
      <c r="EW553" s="663"/>
      <c r="EX553" s="663"/>
      <c r="EY553" s="663"/>
      <c r="EZ553" s="663"/>
      <c r="FA553" s="663"/>
      <c r="FB553" s="663"/>
      <c r="FC553" s="663"/>
      <c r="FD553" s="663"/>
      <c r="FE553" s="663"/>
      <c r="FF553" s="663"/>
      <c r="FG553" s="663"/>
      <c r="FH553" s="663"/>
      <c r="FI553" s="663"/>
      <c r="FJ553" s="663"/>
      <c r="FK553" s="663"/>
      <c r="FL553" s="663"/>
      <c r="FM553" s="663"/>
      <c r="FN553" s="663"/>
      <c r="FO553" s="663"/>
      <c r="FP553" s="663"/>
      <c r="FQ553" s="663"/>
      <c r="FR553" s="663"/>
      <c r="FS553" s="663"/>
      <c r="FT553" s="663"/>
      <c r="FU553" s="663"/>
      <c r="FV553" s="663"/>
      <c r="FW553" s="663"/>
      <c r="FX553" s="663"/>
      <c r="FY553" s="663"/>
      <c r="FZ553" s="663"/>
      <c r="GA553" s="663"/>
      <c r="GB553" s="663"/>
      <c r="GC553" s="663"/>
      <c r="GD553" s="663"/>
      <c r="GE553" s="663"/>
      <c r="GF553" s="663"/>
      <c r="GG553" s="663"/>
    </row>
    <row r="554" spans="1:189">
      <c r="A554" s="670"/>
      <c r="B554" s="670"/>
      <c r="C554" s="670"/>
      <c r="D554" s="670"/>
      <c r="E554" s="670"/>
      <c r="F554" s="670"/>
      <c r="G554" s="673"/>
      <c r="H554" s="627"/>
      <c r="I554" s="627"/>
      <c r="J554" s="672"/>
      <c r="K554" s="663"/>
      <c r="L554" s="663"/>
      <c r="M554" s="663"/>
      <c r="N554" s="663"/>
      <c r="O554" s="663"/>
      <c r="P554" s="663"/>
      <c r="Q554" s="663"/>
      <c r="R554" s="663"/>
      <c r="S554" s="663"/>
      <c r="T554" s="663"/>
      <c r="U554" s="663"/>
      <c r="V554" s="663"/>
      <c r="W554" s="663"/>
      <c r="X554" s="663"/>
      <c r="Y554" s="663"/>
      <c r="Z554" s="663"/>
      <c r="AA554" s="663"/>
      <c r="AB554" s="663"/>
      <c r="AC554" s="663"/>
      <c r="AD554" s="663"/>
      <c r="AE554" s="663"/>
      <c r="AF554" s="663"/>
      <c r="AG554" s="663"/>
      <c r="AH554" s="663"/>
      <c r="AI554" s="663"/>
      <c r="AJ554" s="663"/>
      <c r="AK554" s="663"/>
      <c r="AL554" s="663"/>
      <c r="AM554" s="663"/>
      <c r="AN554" s="663"/>
      <c r="AO554" s="663"/>
      <c r="AP554" s="663"/>
      <c r="AQ554" s="663"/>
      <c r="AR554" s="663"/>
      <c r="AS554" s="663"/>
      <c r="AT554" s="663"/>
      <c r="AU554" s="663"/>
      <c r="AV554" s="663"/>
      <c r="AW554" s="663"/>
      <c r="AX554" s="663"/>
      <c r="AY554" s="663"/>
      <c r="AZ554" s="663"/>
      <c r="BA554" s="663"/>
      <c r="BB554" s="663"/>
      <c r="BC554" s="663"/>
      <c r="BD554" s="663"/>
      <c r="BE554" s="663"/>
      <c r="BF554" s="663"/>
      <c r="BG554" s="663"/>
      <c r="BH554" s="663"/>
      <c r="BI554" s="663"/>
      <c r="BJ554" s="663"/>
      <c r="BK554" s="663"/>
      <c r="BL554" s="663"/>
      <c r="BM554" s="663"/>
      <c r="BN554" s="663"/>
      <c r="BO554" s="663"/>
      <c r="BP554" s="663"/>
      <c r="BQ554" s="663"/>
      <c r="BR554" s="663"/>
      <c r="BS554" s="663"/>
      <c r="BT554" s="663"/>
      <c r="BU554" s="663"/>
      <c r="BV554" s="663"/>
      <c r="BW554" s="663"/>
      <c r="BX554" s="663"/>
      <c r="BY554" s="663"/>
      <c r="BZ554" s="663"/>
      <c r="CA554" s="663"/>
      <c r="CB554" s="663"/>
      <c r="CC554" s="663"/>
      <c r="CD554" s="663"/>
      <c r="CE554" s="663"/>
      <c r="CF554" s="663"/>
      <c r="CG554" s="663"/>
      <c r="CH554" s="663"/>
      <c r="CI554" s="663"/>
      <c r="CJ554" s="663"/>
      <c r="CK554" s="663"/>
      <c r="CL554" s="663"/>
      <c r="CM554" s="663"/>
      <c r="CN554" s="663"/>
      <c r="CO554" s="663"/>
      <c r="CP554" s="663"/>
      <c r="CQ554" s="663"/>
      <c r="CR554" s="663"/>
      <c r="CS554" s="663"/>
      <c r="CT554" s="663"/>
      <c r="CU554" s="663"/>
      <c r="CV554" s="663"/>
      <c r="CW554" s="663"/>
      <c r="CX554" s="663"/>
      <c r="CY554" s="663"/>
      <c r="CZ554" s="663"/>
      <c r="DA554" s="663"/>
      <c r="DB554" s="663"/>
      <c r="DC554" s="663"/>
      <c r="DD554" s="663"/>
      <c r="DE554" s="663"/>
      <c r="DF554" s="663"/>
      <c r="DG554" s="663"/>
      <c r="DH554" s="663"/>
      <c r="DI554" s="663"/>
      <c r="DJ554" s="663"/>
      <c r="DK554" s="663"/>
      <c r="DL554" s="663"/>
      <c r="DM554" s="663"/>
      <c r="DN554" s="663"/>
      <c r="DO554" s="663"/>
      <c r="DP554" s="663"/>
      <c r="DQ554" s="663"/>
      <c r="DR554" s="663"/>
      <c r="DS554" s="663"/>
      <c r="DT554" s="663"/>
      <c r="DU554" s="663"/>
      <c r="DV554" s="663"/>
      <c r="DW554" s="663"/>
      <c r="DX554" s="663"/>
      <c r="DY554" s="663"/>
      <c r="DZ554" s="663"/>
      <c r="EA554" s="663"/>
      <c r="EB554" s="663"/>
      <c r="EC554" s="663"/>
      <c r="ED554" s="663"/>
      <c r="EE554" s="663"/>
      <c r="EF554" s="663"/>
      <c r="EG554" s="663"/>
      <c r="EH554" s="663"/>
      <c r="EI554" s="663"/>
      <c r="EJ554" s="663"/>
      <c r="EK554" s="663"/>
      <c r="EL554" s="663"/>
      <c r="EM554" s="663"/>
      <c r="EN554" s="663"/>
      <c r="EO554" s="663"/>
      <c r="EP554" s="663"/>
      <c r="EQ554" s="663"/>
      <c r="ER554" s="663"/>
      <c r="ES554" s="663"/>
      <c r="ET554" s="663"/>
      <c r="EU554" s="663"/>
      <c r="EV554" s="663"/>
      <c r="EW554" s="663"/>
      <c r="EX554" s="663"/>
      <c r="EY554" s="663"/>
      <c r="EZ554" s="663"/>
      <c r="FA554" s="663"/>
      <c r="FB554" s="663"/>
      <c r="FC554" s="663"/>
      <c r="FD554" s="663"/>
      <c r="FE554" s="663"/>
      <c r="FF554" s="663"/>
      <c r="FG554" s="663"/>
      <c r="FH554" s="663"/>
      <c r="FI554" s="663"/>
      <c r="FJ554" s="663"/>
      <c r="FK554" s="663"/>
      <c r="FL554" s="663"/>
      <c r="FM554" s="663"/>
      <c r="FN554" s="663"/>
      <c r="FO554" s="663"/>
      <c r="FP554" s="663"/>
      <c r="FQ554" s="663"/>
      <c r="FR554" s="663"/>
      <c r="FS554" s="663"/>
      <c r="FT554" s="663"/>
      <c r="FU554" s="663"/>
      <c r="FV554" s="663"/>
      <c r="FW554" s="663"/>
      <c r="FX554" s="663"/>
      <c r="FY554" s="663"/>
      <c r="FZ554" s="663"/>
      <c r="GA554" s="663"/>
      <c r="GB554" s="663"/>
      <c r="GC554" s="663"/>
      <c r="GD554" s="663"/>
      <c r="GE554" s="663"/>
      <c r="GF554" s="663"/>
      <c r="GG554" s="663"/>
    </row>
    <row r="555" spans="1:189">
      <c r="A555" s="670"/>
      <c r="B555" s="670"/>
      <c r="C555" s="670"/>
      <c r="D555" s="670"/>
      <c r="E555" s="670"/>
      <c r="F555" s="670"/>
      <c r="G555" s="673"/>
      <c r="H555" s="627"/>
      <c r="I555" s="627"/>
      <c r="J555" s="672"/>
      <c r="K555" s="663"/>
      <c r="L555" s="663"/>
      <c r="M555" s="663"/>
      <c r="N555" s="663"/>
      <c r="O555" s="663"/>
      <c r="P555" s="663"/>
      <c r="Q555" s="663"/>
      <c r="R555" s="663"/>
      <c r="S555" s="663"/>
      <c r="T555" s="663"/>
      <c r="U555" s="663"/>
      <c r="V555" s="663"/>
      <c r="W555" s="663"/>
      <c r="X555" s="663"/>
      <c r="Y555" s="663"/>
      <c r="Z555" s="663"/>
      <c r="AA555" s="663"/>
      <c r="AB555" s="663"/>
      <c r="AC555" s="663"/>
      <c r="AD555" s="663"/>
      <c r="AE555" s="663"/>
      <c r="AF555" s="663"/>
      <c r="AG555" s="663"/>
      <c r="AH555" s="663"/>
      <c r="AI555" s="663"/>
      <c r="AJ555" s="663"/>
      <c r="AK555" s="663"/>
      <c r="AL555" s="663"/>
      <c r="AM555" s="663"/>
      <c r="AN555" s="663"/>
      <c r="AO555" s="663"/>
      <c r="AP555" s="663"/>
      <c r="AQ555" s="663"/>
      <c r="AR555" s="663"/>
      <c r="AS555" s="663"/>
      <c r="AT555" s="663"/>
      <c r="AU555" s="663"/>
      <c r="AV555" s="663"/>
      <c r="AW555" s="663"/>
      <c r="AX555" s="663"/>
      <c r="AY555" s="663"/>
      <c r="AZ555" s="663"/>
      <c r="BA555" s="663"/>
      <c r="BB555" s="663"/>
      <c r="BC555" s="663"/>
      <c r="BD555" s="663"/>
      <c r="BE555" s="663"/>
      <c r="BF555" s="663"/>
      <c r="BG555" s="663"/>
      <c r="BH555" s="663"/>
      <c r="BI555" s="663"/>
      <c r="BJ555" s="663"/>
      <c r="BK555" s="663"/>
      <c r="BL555" s="663"/>
      <c r="BM555" s="663"/>
      <c r="BN555" s="663"/>
      <c r="BO555" s="663"/>
      <c r="BP555" s="663"/>
      <c r="BQ555" s="663"/>
      <c r="BR555" s="663"/>
      <c r="BS555" s="663"/>
      <c r="BT555" s="663"/>
      <c r="BU555" s="663"/>
      <c r="BV555" s="663"/>
      <c r="BW555" s="663"/>
      <c r="BX555" s="663"/>
      <c r="BY555" s="663"/>
      <c r="BZ555" s="663"/>
      <c r="CA555" s="663"/>
      <c r="CB555" s="663"/>
      <c r="CC555" s="663"/>
      <c r="CD555" s="663"/>
      <c r="CE555" s="663"/>
      <c r="CF555" s="663"/>
      <c r="CG555" s="663"/>
      <c r="CH555" s="663"/>
      <c r="CI555" s="663"/>
      <c r="CJ555" s="663"/>
      <c r="CK555" s="663"/>
      <c r="CL555" s="663"/>
      <c r="CM555" s="663"/>
      <c r="CN555" s="663"/>
      <c r="CO555" s="663"/>
      <c r="CP555" s="663"/>
      <c r="CQ555" s="663"/>
      <c r="CR555" s="663"/>
      <c r="CS555" s="663"/>
      <c r="CT555" s="663"/>
      <c r="CU555" s="663"/>
      <c r="CV555" s="663"/>
      <c r="CW555" s="663"/>
      <c r="CX555" s="663"/>
      <c r="CY555" s="663"/>
      <c r="CZ555" s="663"/>
      <c r="DA555" s="663"/>
      <c r="DB555" s="663"/>
      <c r="DC555" s="663"/>
      <c r="DD555" s="663"/>
      <c r="DE555" s="663"/>
      <c r="DF555" s="663"/>
      <c r="DG555" s="663"/>
      <c r="DH555" s="663"/>
      <c r="DI555" s="663"/>
      <c r="DJ555" s="663"/>
      <c r="DK555" s="663"/>
      <c r="DL555" s="663"/>
      <c r="DM555" s="663"/>
      <c r="DN555" s="663"/>
      <c r="DO555" s="663"/>
      <c r="DP555" s="663"/>
      <c r="DQ555" s="663"/>
      <c r="DR555" s="663"/>
      <c r="DS555" s="663"/>
      <c r="DT555" s="663"/>
      <c r="DU555" s="663"/>
      <c r="DV555" s="663"/>
      <c r="DW555" s="663"/>
      <c r="DX555" s="663"/>
      <c r="DY555" s="663"/>
      <c r="DZ555" s="663"/>
      <c r="EA555" s="663"/>
      <c r="EB555" s="663"/>
      <c r="EC555" s="663"/>
      <c r="ED555" s="663"/>
      <c r="EE555" s="663"/>
      <c r="EF555" s="663"/>
      <c r="EG555" s="663"/>
      <c r="EH555" s="663"/>
      <c r="EI555" s="663"/>
      <c r="EJ555" s="663"/>
      <c r="EK555" s="663"/>
      <c r="EL555" s="663"/>
      <c r="EM555" s="663"/>
      <c r="EN555" s="663"/>
      <c r="EO555" s="663"/>
      <c r="EP555" s="663"/>
      <c r="EQ555" s="663"/>
      <c r="ER555" s="663"/>
      <c r="ES555" s="663"/>
      <c r="ET555" s="663"/>
      <c r="EU555" s="663"/>
      <c r="EV555" s="663"/>
      <c r="EW555" s="663"/>
      <c r="EX555" s="663"/>
      <c r="EY555" s="663"/>
      <c r="EZ555" s="663"/>
      <c r="FA555" s="663"/>
      <c r="FB555" s="663"/>
      <c r="FC555" s="663"/>
      <c r="FD555" s="663"/>
      <c r="FE555" s="663"/>
      <c r="FF555" s="663"/>
      <c r="FG555" s="663"/>
      <c r="FH555" s="663"/>
      <c r="FI555" s="663"/>
      <c r="FJ555" s="663"/>
      <c r="FK555" s="663"/>
      <c r="FL555" s="663"/>
      <c r="FM555" s="663"/>
      <c r="FN555" s="663"/>
      <c r="FO555" s="663"/>
      <c r="FP555" s="663"/>
      <c r="FQ555" s="663"/>
      <c r="FR555" s="663"/>
      <c r="FS555" s="663"/>
      <c r="FT555" s="663"/>
      <c r="FU555" s="663"/>
      <c r="FV555" s="663"/>
      <c r="FW555" s="663"/>
      <c r="FX555" s="663"/>
      <c r="FY555" s="663"/>
      <c r="FZ555" s="663"/>
      <c r="GA555" s="663"/>
      <c r="GB555" s="663"/>
      <c r="GC555" s="663"/>
      <c r="GD555" s="663"/>
      <c r="GE555" s="663"/>
      <c r="GF555" s="663"/>
      <c r="GG555" s="663"/>
    </row>
    <row r="556" spans="1:189">
      <c r="A556" s="670"/>
      <c r="B556" s="670"/>
      <c r="C556" s="670"/>
      <c r="D556" s="670"/>
      <c r="E556" s="670"/>
      <c r="F556" s="670"/>
      <c r="G556" s="673"/>
      <c r="H556" s="627"/>
      <c r="I556" s="627"/>
      <c r="J556" s="672"/>
      <c r="K556" s="663"/>
      <c r="L556" s="663"/>
      <c r="M556" s="663"/>
      <c r="N556" s="663"/>
      <c r="O556" s="663"/>
      <c r="P556" s="663"/>
      <c r="Q556" s="663"/>
      <c r="R556" s="663"/>
      <c r="S556" s="663"/>
      <c r="T556" s="663"/>
      <c r="U556" s="663"/>
      <c r="V556" s="663"/>
      <c r="W556" s="663"/>
      <c r="X556" s="663"/>
      <c r="Y556" s="663"/>
      <c r="Z556" s="663"/>
      <c r="AA556" s="663"/>
      <c r="AB556" s="663"/>
      <c r="AC556" s="663"/>
      <c r="AD556" s="663"/>
      <c r="AE556" s="663"/>
      <c r="AF556" s="663"/>
      <c r="AG556" s="663"/>
      <c r="AH556" s="663"/>
      <c r="AI556" s="663"/>
      <c r="AJ556" s="663"/>
      <c r="AK556" s="663"/>
      <c r="AL556" s="663"/>
      <c r="AM556" s="663"/>
      <c r="AN556" s="663"/>
      <c r="AO556" s="663"/>
      <c r="AP556" s="663"/>
      <c r="AQ556" s="663"/>
      <c r="AR556" s="663"/>
      <c r="AS556" s="663"/>
      <c r="AT556" s="663"/>
      <c r="AU556" s="663"/>
      <c r="AV556" s="663"/>
      <c r="AW556" s="663"/>
      <c r="AX556" s="663"/>
      <c r="AY556" s="663"/>
      <c r="AZ556" s="663"/>
      <c r="BA556" s="663"/>
      <c r="BB556" s="663"/>
      <c r="BC556" s="663"/>
      <c r="BD556" s="663"/>
      <c r="BE556" s="663"/>
      <c r="BF556" s="663"/>
      <c r="BG556" s="663"/>
      <c r="BH556" s="663"/>
      <c r="BI556" s="663"/>
      <c r="BJ556" s="663"/>
      <c r="BK556" s="663"/>
      <c r="BL556" s="663"/>
      <c r="BM556" s="663"/>
      <c r="BN556" s="663"/>
      <c r="BO556" s="663"/>
      <c r="BP556" s="663"/>
      <c r="BQ556" s="663"/>
      <c r="BR556" s="663"/>
      <c r="BS556" s="663"/>
      <c r="BT556" s="663"/>
      <c r="BU556" s="663"/>
      <c r="BV556" s="663"/>
      <c r="BW556" s="663"/>
      <c r="BX556" s="663"/>
      <c r="BY556" s="663"/>
      <c r="BZ556" s="663"/>
      <c r="CA556" s="663"/>
      <c r="CB556" s="663"/>
      <c r="CC556" s="663"/>
      <c r="CD556" s="663"/>
      <c r="CE556" s="663"/>
      <c r="CF556" s="663"/>
      <c r="CG556" s="663"/>
      <c r="CH556" s="663"/>
      <c r="CI556" s="663"/>
      <c r="CJ556" s="663"/>
      <c r="CK556" s="663"/>
      <c r="CL556" s="663"/>
      <c r="CM556" s="663"/>
      <c r="CN556" s="663"/>
      <c r="CO556" s="663"/>
      <c r="CP556" s="663"/>
      <c r="CQ556" s="663"/>
      <c r="CR556" s="663"/>
      <c r="CS556" s="663"/>
      <c r="CT556" s="663"/>
      <c r="CU556" s="663"/>
      <c r="CV556" s="663"/>
      <c r="CW556" s="663"/>
      <c r="CX556" s="663"/>
      <c r="CY556" s="663"/>
      <c r="CZ556" s="663"/>
      <c r="DA556" s="663"/>
      <c r="DB556" s="663"/>
      <c r="DC556" s="663"/>
      <c r="DD556" s="663"/>
      <c r="DE556" s="663"/>
      <c r="DF556" s="663"/>
      <c r="DG556" s="663"/>
      <c r="DH556" s="663"/>
      <c r="DI556" s="663"/>
      <c r="DJ556" s="663"/>
      <c r="DK556" s="663"/>
      <c r="DL556" s="663"/>
      <c r="DM556" s="663"/>
      <c r="DN556" s="663"/>
      <c r="DO556" s="663"/>
      <c r="DP556" s="663"/>
      <c r="DQ556" s="663"/>
      <c r="DR556" s="663"/>
      <c r="DS556" s="663"/>
      <c r="DT556" s="663"/>
      <c r="DU556" s="663"/>
      <c r="DV556" s="663"/>
      <c r="DW556" s="663"/>
      <c r="DX556" s="663"/>
      <c r="DY556" s="663"/>
      <c r="DZ556" s="663"/>
      <c r="EA556" s="663"/>
      <c r="EB556" s="663"/>
      <c r="EC556" s="663"/>
      <c r="ED556" s="663"/>
      <c r="EE556" s="663"/>
      <c r="EF556" s="663"/>
      <c r="EG556" s="663"/>
      <c r="EH556" s="663"/>
      <c r="EI556" s="663"/>
      <c r="EJ556" s="663"/>
      <c r="EK556" s="663"/>
      <c r="EL556" s="663"/>
      <c r="EM556" s="663"/>
      <c r="EN556" s="663"/>
      <c r="EO556" s="663"/>
      <c r="EP556" s="663"/>
      <c r="EQ556" s="663"/>
      <c r="ER556" s="663"/>
      <c r="ES556" s="663"/>
      <c r="ET556" s="663"/>
      <c r="EU556" s="663"/>
      <c r="EV556" s="663"/>
      <c r="EW556" s="663"/>
      <c r="EX556" s="663"/>
      <c r="EY556" s="663"/>
      <c r="EZ556" s="663"/>
      <c r="FA556" s="663"/>
      <c r="FB556" s="663"/>
      <c r="FC556" s="663"/>
      <c r="FD556" s="663"/>
      <c r="FE556" s="663"/>
      <c r="FF556" s="663"/>
      <c r="FG556" s="663"/>
      <c r="FH556" s="663"/>
      <c r="FI556" s="663"/>
      <c r="FJ556" s="663"/>
      <c r="FK556" s="663"/>
      <c r="FL556" s="663"/>
      <c r="FM556" s="663"/>
      <c r="FN556" s="663"/>
      <c r="FO556" s="663"/>
      <c r="FP556" s="663"/>
      <c r="FQ556" s="663"/>
      <c r="FR556" s="663"/>
      <c r="FS556" s="663"/>
      <c r="FT556" s="663"/>
      <c r="FU556" s="663"/>
      <c r="FV556" s="663"/>
      <c r="FW556" s="663"/>
      <c r="FX556" s="663"/>
      <c r="FY556" s="663"/>
      <c r="FZ556" s="663"/>
      <c r="GA556" s="663"/>
      <c r="GB556" s="663"/>
      <c r="GC556" s="663"/>
      <c r="GD556" s="663"/>
      <c r="GE556" s="663"/>
      <c r="GF556" s="663"/>
      <c r="GG556" s="663"/>
    </row>
    <row r="557" spans="1:189">
      <c r="A557" s="670"/>
      <c r="B557" s="670"/>
      <c r="C557" s="670"/>
      <c r="D557" s="670"/>
      <c r="E557" s="670"/>
      <c r="F557" s="670"/>
      <c r="G557" s="673"/>
      <c r="H557" s="627"/>
      <c r="I557" s="627"/>
      <c r="J557" s="672"/>
      <c r="K557" s="663"/>
      <c r="L557" s="663"/>
      <c r="M557" s="663"/>
      <c r="N557" s="663"/>
      <c r="O557" s="663"/>
      <c r="P557" s="663"/>
      <c r="Q557" s="663"/>
      <c r="R557" s="663"/>
      <c r="S557" s="663"/>
      <c r="T557" s="663"/>
      <c r="U557" s="663"/>
      <c r="V557" s="663"/>
      <c r="W557" s="663"/>
      <c r="X557" s="663"/>
      <c r="Y557" s="663"/>
      <c r="Z557" s="663"/>
      <c r="AA557" s="663"/>
      <c r="AB557" s="663"/>
      <c r="AC557" s="663"/>
      <c r="AD557" s="663"/>
      <c r="AE557" s="663"/>
      <c r="AF557" s="663"/>
      <c r="AG557" s="663"/>
      <c r="AH557" s="663"/>
      <c r="AI557" s="663"/>
      <c r="AJ557" s="663"/>
      <c r="AK557" s="663"/>
      <c r="AL557" s="663"/>
      <c r="AM557" s="663"/>
      <c r="AN557" s="663"/>
      <c r="AO557" s="663"/>
      <c r="AP557" s="663"/>
      <c r="AQ557" s="663"/>
      <c r="AR557" s="663"/>
      <c r="AS557" s="663"/>
      <c r="AT557" s="663"/>
      <c r="AU557" s="663"/>
      <c r="AV557" s="663"/>
      <c r="AW557" s="663"/>
      <c r="AX557" s="663"/>
      <c r="AY557" s="663"/>
      <c r="AZ557" s="663"/>
      <c r="BA557" s="663"/>
      <c r="BB557" s="663"/>
      <c r="BC557" s="663"/>
      <c r="BD557" s="663"/>
      <c r="BE557" s="663"/>
      <c r="BF557" s="663"/>
      <c r="BG557" s="663"/>
      <c r="BH557" s="663"/>
      <c r="BI557" s="663"/>
      <c r="BJ557" s="663"/>
      <c r="BK557" s="663"/>
      <c r="BL557" s="663"/>
      <c r="BM557" s="663"/>
      <c r="BN557" s="663"/>
      <c r="BO557" s="663"/>
      <c r="BP557" s="663"/>
      <c r="BQ557" s="663"/>
      <c r="BR557" s="663"/>
      <c r="BS557" s="663"/>
      <c r="BT557" s="663"/>
      <c r="BU557" s="663"/>
      <c r="BV557" s="663"/>
      <c r="BW557" s="663"/>
      <c r="BX557" s="663"/>
      <c r="BY557" s="663"/>
      <c r="BZ557" s="663"/>
      <c r="CA557" s="663"/>
      <c r="CB557" s="663"/>
      <c r="CC557" s="663"/>
      <c r="CD557" s="663"/>
      <c r="CE557" s="663"/>
      <c r="CF557" s="663"/>
      <c r="CG557" s="663"/>
      <c r="CH557" s="663"/>
      <c r="CI557" s="663"/>
      <c r="CJ557" s="663"/>
      <c r="CK557" s="663"/>
      <c r="CL557" s="663"/>
      <c r="CM557" s="663"/>
      <c r="CN557" s="663"/>
      <c r="CO557" s="663"/>
      <c r="CP557" s="663"/>
      <c r="CQ557" s="663"/>
      <c r="CR557" s="663"/>
      <c r="CS557" s="663"/>
      <c r="CT557" s="663"/>
      <c r="CU557" s="663"/>
      <c r="CV557" s="663"/>
      <c r="CW557" s="663"/>
      <c r="CX557" s="663"/>
      <c r="CY557" s="663"/>
      <c r="CZ557" s="663"/>
      <c r="DA557" s="663"/>
      <c r="DB557" s="663"/>
      <c r="DC557" s="663"/>
      <c r="DD557" s="663"/>
      <c r="DE557" s="663"/>
      <c r="DF557" s="663"/>
      <c r="DG557" s="663"/>
      <c r="DH557" s="663"/>
      <c r="DI557" s="663"/>
      <c r="DJ557" s="663"/>
      <c r="DK557" s="663"/>
      <c r="DL557" s="663"/>
      <c r="DM557" s="663"/>
      <c r="DN557" s="663"/>
      <c r="DO557" s="663"/>
      <c r="DP557" s="663"/>
      <c r="DQ557" s="663"/>
      <c r="DR557" s="663"/>
      <c r="DS557" s="663"/>
      <c r="DT557" s="663"/>
      <c r="DU557" s="663"/>
      <c r="DV557" s="663"/>
      <c r="DW557" s="663"/>
      <c r="DX557" s="663"/>
      <c r="DY557" s="663"/>
      <c r="DZ557" s="663"/>
      <c r="EA557" s="663"/>
      <c r="EB557" s="663"/>
      <c r="EC557" s="663"/>
      <c r="ED557" s="663"/>
      <c r="EE557" s="663"/>
      <c r="EF557" s="663"/>
      <c r="EG557" s="663"/>
      <c r="EH557" s="663"/>
      <c r="EI557" s="663"/>
      <c r="EJ557" s="663"/>
      <c r="EK557" s="663"/>
      <c r="EL557" s="663"/>
      <c r="EM557" s="663"/>
      <c r="EN557" s="663"/>
      <c r="EO557" s="663"/>
      <c r="EP557" s="663"/>
      <c r="EQ557" s="663"/>
      <c r="ER557" s="663"/>
      <c r="ES557" s="663"/>
      <c r="ET557" s="663"/>
      <c r="EU557" s="663"/>
      <c r="EV557" s="663"/>
      <c r="EW557" s="663"/>
      <c r="EX557" s="663"/>
      <c r="EY557" s="663"/>
      <c r="EZ557" s="663"/>
      <c r="FA557" s="663"/>
      <c r="FB557" s="663"/>
      <c r="FC557" s="663"/>
      <c r="FD557" s="663"/>
      <c r="FE557" s="663"/>
      <c r="FF557" s="663"/>
      <c r="FG557" s="663"/>
      <c r="FH557" s="663"/>
      <c r="FI557" s="663"/>
      <c r="FJ557" s="663"/>
      <c r="FK557" s="663"/>
      <c r="FL557" s="663"/>
      <c r="FM557" s="663"/>
      <c r="FN557" s="663"/>
      <c r="FO557" s="663"/>
      <c r="FP557" s="663"/>
      <c r="FQ557" s="663"/>
      <c r="FR557" s="663"/>
      <c r="FS557" s="663"/>
      <c r="FT557" s="663"/>
      <c r="FU557" s="663"/>
      <c r="FV557" s="663"/>
      <c r="FW557" s="663"/>
      <c r="FX557" s="663"/>
      <c r="FY557" s="663"/>
      <c r="FZ557" s="663"/>
      <c r="GA557" s="663"/>
      <c r="GB557" s="663"/>
      <c r="GC557" s="663"/>
      <c r="GD557" s="663"/>
      <c r="GE557" s="663"/>
      <c r="GF557" s="663"/>
      <c r="GG557" s="663"/>
    </row>
    <row r="558" spans="1:189">
      <c r="A558" s="670"/>
      <c r="B558" s="670"/>
      <c r="C558" s="670"/>
      <c r="D558" s="670"/>
      <c r="E558" s="670"/>
      <c r="F558" s="670"/>
      <c r="G558" s="673"/>
      <c r="H558" s="627"/>
      <c r="I558" s="627"/>
      <c r="J558" s="672"/>
      <c r="K558" s="663"/>
      <c r="L558" s="663"/>
      <c r="M558" s="663"/>
      <c r="N558" s="663"/>
      <c r="O558" s="663"/>
      <c r="P558" s="663"/>
      <c r="Q558" s="663"/>
      <c r="R558" s="663"/>
      <c r="S558" s="663"/>
      <c r="T558" s="663"/>
      <c r="U558" s="663"/>
      <c r="V558" s="663"/>
      <c r="W558" s="663"/>
      <c r="X558" s="663"/>
      <c r="Y558" s="663"/>
      <c r="Z558" s="663"/>
      <c r="AA558" s="663"/>
      <c r="AB558" s="663"/>
      <c r="AC558" s="663"/>
      <c r="AD558" s="663"/>
      <c r="AE558" s="663"/>
      <c r="AF558" s="663"/>
      <c r="AG558" s="663"/>
      <c r="AH558" s="663"/>
      <c r="AI558" s="663"/>
      <c r="AJ558" s="663"/>
      <c r="AK558" s="663"/>
      <c r="AL558" s="663"/>
      <c r="AM558" s="663"/>
      <c r="AN558" s="663"/>
      <c r="AO558" s="663"/>
      <c r="AP558" s="663"/>
      <c r="AQ558" s="663"/>
      <c r="AR558" s="663"/>
      <c r="AS558" s="663"/>
      <c r="AT558" s="663"/>
      <c r="AU558" s="663"/>
      <c r="AV558" s="663"/>
      <c r="AW558" s="663"/>
      <c r="AX558" s="663"/>
      <c r="AY558" s="663"/>
      <c r="AZ558" s="663"/>
      <c r="BA558" s="663"/>
      <c r="BB558" s="663"/>
      <c r="BC558" s="663"/>
      <c r="BD558" s="663"/>
      <c r="BE558" s="663"/>
      <c r="BF558" s="663"/>
      <c r="BG558" s="663"/>
      <c r="BH558" s="663"/>
      <c r="BI558" s="663"/>
      <c r="BJ558" s="663"/>
      <c r="BK558" s="663"/>
      <c r="BL558" s="663"/>
      <c r="BM558" s="663"/>
      <c r="BN558" s="663"/>
      <c r="BO558" s="663"/>
      <c r="BP558" s="663"/>
      <c r="BQ558" s="663"/>
      <c r="BR558" s="663"/>
      <c r="BS558" s="663"/>
      <c r="BT558" s="663"/>
      <c r="BU558" s="663"/>
      <c r="BV558" s="663"/>
      <c r="BW558" s="663"/>
      <c r="BX558" s="663"/>
      <c r="BY558" s="663"/>
      <c r="BZ558" s="663"/>
      <c r="CA558" s="663"/>
      <c r="CB558" s="663"/>
      <c r="CC558" s="663"/>
      <c r="CD558" s="663"/>
      <c r="CE558" s="663"/>
      <c r="CF558" s="663"/>
      <c r="CG558" s="663"/>
      <c r="CH558" s="663"/>
      <c r="CI558" s="663"/>
      <c r="CJ558" s="663"/>
      <c r="CK558" s="663"/>
      <c r="CL558" s="663"/>
      <c r="CM558" s="663"/>
      <c r="CN558" s="663"/>
      <c r="CO558" s="663"/>
      <c r="CP558" s="663"/>
      <c r="CQ558" s="663"/>
      <c r="CR558" s="663"/>
      <c r="CS558" s="663"/>
      <c r="CT558" s="663"/>
      <c r="CU558" s="663"/>
      <c r="CV558" s="663"/>
      <c r="CW558" s="663"/>
      <c r="CX558" s="663"/>
      <c r="CY558" s="663"/>
      <c r="CZ558" s="663"/>
      <c r="DA558" s="663"/>
      <c r="DB558" s="663"/>
      <c r="DC558" s="663"/>
      <c r="DD558" s="663"/>
      <c r="DE558" s="663"/>
      <c r="DF558" s="663"/>
      <c r="DG558" s="663"/>
      <c r="DH558" s="663"/>
      <c r="DI558" s="663"/>
      <c r="DJ558" s="663"/>
      <c r="DK558" s="663"/>
      <c r="DL558" s="663"/>
      <c r="DM558" s="663"/>
      <c r="DN558" s="663"/>
      <c r="DO558" s="663"/>
      <c r="DP558" s="663"/>
      <c r="DQ558" s="663"/>
      <c r="DR558" s="663"/>
      <c r="DS558" s="663"/>
      <c r="DT558" s="663"/>
      <c r="DU558" s="663"/>
      <c r="DV558" s="663"/>
      <c r="DW558" s="663"/>
      <c r="DX558" s="663"/>
      <c r="DY558" s="663"/>
      <c r="DZ558" s="663"/>
      <c r="EA558" s="663"/>
      <c r="EB558" s="663"/>
      <c r="EC558" s="663"/>
      <c r="ED558" s="663"/>
      <c r="EE558" s="663"/>
      <c r="EF558" s="663"/>
      <c r="EG558" s="663"/>
      <c r="EH558" s="663"/>
      <c r="EI558" s="663"/>
      <c r="EJ558" s="663"/>
      <c r="EK558" s="663"/>
      <c r="EL558" s="663"/>
      <c r="EM558" s="663"/>
      <c r="EN558" s="663"/>
      <c r="EO558" s="663"/>
      <c r="EP558" s="663"/>
      <c r="EQ558" s="663"/>
      <c r="ER558" s="663"/>
      <c r="ES558" s="663"/>
      <c r="ET558" s="663"/>
      <c r="EU558" s="663"/>
      <c r="EV558" s="663"/>
      <c r="EW558" s="663"/>
      <c r="EX558" s="663"/>
      <c r="EY558" s="663"/>
      <c r="EZ558" s="663"/>
      <c r="FA558" s="663"/>
      <c r="FB558" s="663"/>
      <c r="FC558" s="663"/>
      <c r="FD558" s="663"/>
      <c r="FE558" s="663"/>
      <c r="FF558" s="663"/>
      <c r="FG558" s="663"/>
      <c r="FH558" s="663"/>
      <c r="FI558" s="663"/>
      <c r="FJ558" s="663"/>
      <c r="FK558" s="663"/>
      <c r="FL558" s="663"/>
      <c r="FM558" s="663"/>
      <c r="FN558" s="663"/>
      <c r="FO558" s="663"/>
      <c r="FP558" s="663"/>
      <c r="FQ558" s="663"/>
      <c r="FR558" s="663"/>
      <c r="FS558" s="663"/>
      <c r="FT558" s="663"/>
      <c r="FU558" s="663"/>
      <c r="FV558" s="663"/>
      <c r="FW558" s="663"/>
      <c r="FX558" s="663"/>
      <c r="FY558" s="663"/>
      <c r="FZ558" s="663"/>
      <c r="GA558" s="663"/>
      <c r="GB558" s="663"/>
      <c r="GC558" s="663"/>
      <c r="GD558" s="663"/>
      <c r="GE558" s="663"/>
      <c r="GF558" s="663"/>
      <c r="GG558" s="663"/>
    </row>
    <row r="559" spans="1:189">
      <c r="A559" s="670"/>
      <c r="B559" s="670"/>
      <c r="C559" s="670"/>
      <c r="D559" s="670"/>
      <c r="E559" s="670"/>
      <c r="F559" s="670"/>
      <c r="G559" s="673"/>
      <c r="H559" s="627"/>
      <c r="I559" s="627"/>
      <c r="J559" s="672"/>
      <c r="K559" s="663"/>
      <c r="L559" s="663"/>
      <c r="M559" s="663"/>
      <c r="N559" s="663"/>
      <c r="O559" s="663"/>
      <c r="P559" s="663"/>
      <c r="Q559" s="663"/>
      <c r="R559" s="663"/>
      <c r="S559" s="663"/>
      <c r="T559" s="663"/>
      <c r="U559" s="663"/>
      <c r="V559" s="663"/>
      <c r="W559" s="663"/>
      <c r="X559" s="663"/>
      <c r="Y559" s="663"/>
      <c r="Z559" s="663"/>
      <c r="AA559" s="663"/>
      <c r="AB559" s="663"/>
      <c r="AC559" s="663"/>
      <c r="AD559" s="663"/>
      <c r="AE559" s="663"/>
      <c r="AF559" s="663"/>
      <c r="AG559" s="663"/>
      <c r="AH559" s="663"/>
      <c r="AI559" s="663"/>
      <c r="AJ559" s="663"/>
      <c r="AK559" s="663"/>
      <c r="AL559" s="663"/>
      <c r="AM559" s="663"/>
      <c r="AN559" s="663"/>
      <c r="AO559" s="663"/>
      <c r="AP559" s="663"/>
      <c r="AQ559" s="663"/>
      <c r="AR559" s="663"/>
      <c r="AS559" s="663"/>
      <c r="AT559" s="663"/>
      <c r="AU559" s="663"/>
      <c r="AV559" s="663"/>
      <c r="AW559" s="663"/>
      <c r="AX559" s="663"/>
      <c r="AY559" s="663"/>
      <c r="AZ559" s="663"/>
      <c r="BA559" s="663"/>
      <c r="BB559" s="663"/>
      <c r="BC559" s="663"/>
      <c r="BD559" s="663"/>
      <c r="BE559" s="663"/>
      <c r="BF559" s="663"/>
      <c r="BG559" s="663"/>
      <c r="BH559" s="663"/>
      <c r="BI559" s="663"/>
      <c r="BJ559" s="663"/>
      <c r="BK559" s="663"/>
      <c r="BL559" s="663"/>
      <c r="BM559" s="663"/>
      <c r="BN559" s="663"/>
      <c r="BO559" s="663"/>
      <c r="BP559" s="663"/>
      <c r="BQ559" s="663"/>
      <c r="BR559" s="663"/>
      <c r="BS559" s="663"/>
      <c r="BT559" s="663"/>
      <c r="BU559" s="663"/>
      <c r="BV559" s="663"/>
      <c r="BW559" s="663"/>
      <c r="BX559" s="663"/>
      <c r="BY559" s="663"/>
      <c r="BZ559" s="663"/>
      <c r="CA559" s="663"/>
      <c r="CB559" s="663"/>
      <c r="CC559" s="663"/>
      <c r="CD559" s="663"/>
      <c r="CE559" s="663"/>
      <c r="CF559" s="663"/>
      <c r="CG559" s="663"/>
      <c r="CH559" s="663"/>
      <c r="CI559" s="663"/>
      <c r="CJ559" s="663"/>
      <c r="CK559" s="663"/>
      <c r="CL559" s="663"/>
      <c r="CM559" s="663"/>
      <c r="CN559" s="663"/>
      <c r="CO559" s="663"/>
      <c r="CP559" s="663"/>
      <c r="CQ559" s="663"/>
      <c r="CR559" s="663"/>
      <c r="CS559" s="663"/>
      <c r="CT559" s="663"/>
      <c r="CU559" s="663"/>
      <c r="CV559" s="663"/>
      <c r="CW559" s="663"/>
      <c r="CX559" s="663"/>
      <c r="CY559" s="663"/>
      <c r="CZ559" s="663"/>
      <c r="DA559" s="663"/>
      <c r="DB559" s="663"/>
      <c r="DC559" s="663"/>
      <c r="DD559" s="663"/>
      <c r="DE559" s="663"/>
      <c r="DF559" s="663"/>
      <c r="DG559" s="663"/>
      <c r="DH559" s="663"/>
      <c r="DI559" s="663"/>
      <c r="DJ559" s="663"/>
      <c r="DK559" s="663"/>
      <c r="DL559" s="663"/>
      <c r="DM559" s="663"/>
      <c r="DN559" s="663"/>
      <c r="DO559" s="663"/>
      <c r="DP559" s="663"/>
      <c r="DQ559" s="663"/>
      <c r="DR559" s="663"/>
      <c r="DS559" s="663"/>
      <c r="DT559" s="663"/>
      <c r="DU559" s="663"/>
      <c r="DV559" s="663"/>
      <c r="DW559" s="663"/>
      <c r="DX559" s="663"/>
      <c r="DY559" s="663"/>
      <c r="DZ559" s="663"/>
      <c r="EA559" s="663"/>
      <c r="EB559" s="663"/>
      <c r="EC559" s="663"/>
      <c r="ED559" s="663"/>
      <c r="EE559" s="663"/>
      <c r="EF559" s="663"/>
      <c r="EG559" s="663"/>
      <c r="EH559" s="663"/>
      <c r="EI559" s="663"/>
      <c r="EJ559" s="663"/>
      <c r="EK559" s="663"/>
      <c r="EL559" s="663"/>
      <c r="EM559" s="663"/>
      <c r="EN559" s="663"/>
      <c r="EO559" s="663"/>
      <c r="EP559" s="663"/>
      <c r="EQ559" s="663"/>
      <c r="ER559" s="663"/>
      <c r="ES559" s="663"/>
      <c r="ET559" s="663"/>
      <c r="EU559" s="663"/>
      <c r="EV559" s="663"/>
      <c r="EW559" s="663"/>
      <c r="EX559" s="663"/>
      <c r="EY559" s="663"/>
      <c r="EZ559" s="663"/>
      <c r="FA559" s="663"/>
      <c r="FB559" s="663"/>
      <c r="FC559" s="663"/>
      <c r="FD559" s="663"/>
      <c r="FE559" s="663"/>
      <c r="FF559" s="663"/>
      <c r="FG559" s="663"/>
      <c r="FH559" s="663"/>
      <c r="FI559" s="663"/>
      <c r="FJ559" s="663"/>
      <c r="FK559" s="663"/>
      <c r="FL559" s="663"/>
      <c r="FM559" s="663"/>
      <c r="FN559" s="663"/>
      <c r="FO559" s="663"/>
      <c r="FP559" s="663"/>
      <c r="FQ559" s="663"/>
      <c r="FR559" s="663"/>
      <c r="FS559" s="663"/>
      <c r="FT559" s="663"/>
      <c r="FU559" s="663"/>
      <c r="FV559" s="663"/>
      <c r="FW559" s="663"/>
      <c r="FX559" s="663"/>
      <c r="FY559" s="663"/>
      <c r="FZ559" s="663"/>
      <c r="GA559" s="663"/>
      <c r="GB559" s="663"/>
      <c r="GC559" s="663"/>
      <c r="GD559" s="663"/>
      <c r="GE559" s="663"/>
      <c r="GF559" s="663"/>
      <c r="GG559" s="663"/>
    </row>
    <row r="560" spans="1:189">
      <c r="A560" s="670"/>
      <c r="B560" s="670"/>
      <c r="C560" s="670"/>
      <c r="D560" s="670"/>
      <c r="E560" s="670"/>
      <c r="F560" s="670"/>
      <c r="G560" s="673"/>
      <c r="H560" s="627"/>
      <c r="I560" s="627"/>
      <c r="J560" s="672"/>
      <c r="K560" s="663"/>
      <c r="L560" s="663"/>
      <c r="M560" s="663"/>
      <c r="N560" s="663"/>
      <c r="O560" s="663"/>
      <c r="P560" s="663"/>
      <c r="Q560" s="663"/>
      <c r="R560" s="663"/>
      <c r="S560" s="663"/>
      <c r="T560" s="663"/>
      <c r="U560" s="663"/>
      <c r="V560" s="663"/>
      <c r="W560" s="663"/>
      <c r="X560" s="663"/>
      <c r="Y560" s="663"/>
      <c r="Z560" s="663"/>
      <c r="AA560" s="663"/>
      <c r="AB560" s="663"/>
      <c r="AC560" s="663"/>
      <c r="AD560" s="663"/>
      <c r="AE560" s="663"/>
      <c r="AF560" s="663"/>
      <c r="AG560" s="663"/>
      <c r="AH560" s="663"/>
      <c r="AI560" s="663"/>
      <c r="AJ560" s="663"/>
      <c r="AK560" s="663"/>
      <c r="AL560" s="663"/>
      <c r="AM560" s="663"/>
      <c r="AN560" s="663"/>
      <c r="AO560" s="663"/>
      <c r="AP560" s="663"/>
      <c r="AQ560" s="663"/>
      <c r="AR560" s="663"/>
      <c r="AS560" s="663"/>
      <c r="AT560" s="663"/>
      <c r="AU560" s="663"/>
      <c r="AV560" s="663"/>
      <c r="AW560" s="663"/>
      <c r="AX560" s="663"/>
      <c r="AY560" s="663"/>
      <c r="AZ560" s="663"/>
      <c r="BA560" s="663"/>
      <c r="BB560" s="663"/>
      <c r="BC560" s="663"/>
      <c r="BD560" s="663"/>
      <c r="BE560" s="663"/>
      <c r="BF560" s="663"/>
      <c r="BG560" s="663"/>
      <c r="BH560" s="663"/>
      <c r="BI560" s="663"/>
      <c r="BJ560" s="663"/>
      <c r="BK560" s="663"/>
      <c r="BL560" s="663"/>
      <c r="BM560" s="663"/>
      <c r="BN560" s="663"/>
      <c r="BO560" s="663"/>
      <c r="BP560" s="663"/>
      <c r="BQ560" s="663"/>
      <c r="BR560" s="663"/>
      <c r="BS560" s="663"/>
      <c r="BT560" s="663"/>
      <c r="BU560" s="663"/>
      <c r="BV560" s="663"/>
      <c r="BW560" s="663"/>
      <c r="BX560" s="663"/>
      <c r="BY560" s="663"/>
      <c r="BZ560" s="663"/>
      <c r="CA560" s="663"/>
      <c r="CB560" s="663"/>
      <c r="CC560" s="663"/>
      <c r="CD560" s="663"/>
      <c r="CE560" s="663"/>
      <c r="CF560" s="663"/>
      <c r="CG560" s="663"/>
      <c r="CH560" s="663"/>
      <c r="CI560" s="663"/>
      <c r="CJ560" s="663"/>
      <c r="CK560" s="663"/>
      <c r="CL560" s="663"/>
      <c r="CM560" s="663"/>
      <c r="CN560" s="663"/>
      <c r="CO560" s="663"/>
      <c r="CP560" s="663"/>
      <c r="CQ560" s="663"/>
      <c r="CR560" s="663"/>
      <c r="CS560" s="663"/>
      <c r="CT560" s="663"/>
      <c r="CU560" s="663"/>
      <c r="CV560" s="663"/>
      <c r="CW560" s="663"/>
      <c r="CX560" s="663"/>
      <c r="CY560" s="663"/>
      <c r="CZ560" s="663"/>
      <c r="DA560" s="663"/>
      <c r="DB560" s="663"/>
      <c r="DC560" s="663"/>
      <c r="DD560" s="663"/>
      <c r="DE560" s="663"/>
      <c r="DF560" s="663"/>
      <c r="DG560" s="663"/>
      <c r="DH560" s="663"/>
      <c r="DI560" s="663"/>
      <c r="DJ560" s="663"/>
      <c r="DK560" s="663"/>
      <c r="DL560" s="663"/>
      <c r="DM560" s="663"/>
      <c r="DN560" s="663"/>
      <c r="DO560" s="663"/>
      <c r="DP560" s="663"/>
      <c r="DQ560" s="663"/>
      <c r="DR560" s="663"/>
      <c r="DS560" s="663"/>
      <c r="DT560" s="663"/>
      <c r="DU560" s="663"/>
      <c r="DV560" s="663"/>
      <c r="DW560" s="663"/>
      <c r="DX560" s="663"/>
      <c r="DY560" s="663"/>
      <c r="DZ560" s="663"/>
      <c r="EA560" s="663"/>
      <c r="EB560" s="663"/>
      <c r="EC560" s="663"/>
      <c r="ED560" s="663"/>
      <c r="EE560" s="663"/>
      <c r="EF560" s="663"/>
      <c r="EG560" s="663"/>
      <c r="EH560" s="663"/>
      <c r="EI560" s="663"/>
      <c r="EJ560" s="663"/>
      <c r="EK560" s="663"/>
      <c r="EL560" s="663"/>
      <c r="EM560" s="663"/>
      <c r="EN560" s="663"/>
      <c r="EO560" s="663"/>
      <c r="EP560" s="663"/>
      <c r="EQ560" s="663"/>
      <c r="ER560" s="663"/>
      <c r="ES560" s="663"/>
      <c r="ET560" s="663"/>
      <c r="EU560" s="663"/>
      <c r="EV560" s="663"/>
      <c r="EW560" s="663"/>
      <c r="EX560" s="663"/>
      <c r="EY560" s="663"/>
      <c r="EZ560" s="663"/>
      <c r="FA560" s="663"/>
      <c r="FB560" s="663"/>
      <c r="FC560" s="663"/>
      <c r="FD560" s="663"/>
      <c r="FE560" s="663"/>
      <c r="FF560" s="663"/>
      <c r="FG560" s="663"/>
      <c r="FH560" s="663"/>
      <c r="FI560" s="663"/>
      <c r="FJ560" s="663"/>
      <c r="FK560" s="663"/>
      <c r="FL560" s="663"/>
      <c r="FM560" s="663"/>
      <c r="FN560" s="663"/>
      <c r="FO560" s="663"/>
      <c r="FP560" s="663"/>
      <c r="FQ560" s="663"/>
      <c r="FR560" s="663"/>
      <c r="FS560" s="663"/>
      <c r="FT560" s="663"/>
      <c r="FU560" s="663"/>
      <c r="FV560" s="663"/>
      <c r="FW560" s="663"/>
      <c r="FX560" s="663"/>
      <c r="FY560" s="663"/>
      <c r="FZ560" s="663"/>
      <c r="GA560" s="663"/>
      <c r="GB560" s="663"/>
      <c r="GC560" s="663"/>
      <c r="GD560" s="663"/>
      <c r="GE560" s="663"/>
      <c r="GF560" s="663"/>
      <c r="GG560" s="663"/>
    </row>
    <row r="561" spans="1:189">
      <c r="A561" s="670"/>
      <c r="B561" s="670"/>
      <c r="C561" s="670"/>
      <c r="D561" s="670"/>
      <c r="E561" s="670"/>
      <c r="F561" s="670"/>
      <c r="G561" s="673"/>
      <c r="H561" s="627"/>
      <c r="I561" s="627"/>
      <c r="J561" s="672"/>
      <c r="K561" s="663"/>
      <c r="L561" s="663"/>
      <c r="M561" s="663"/>
      <c r="N561" s="663"/>
      <c r="O561" s="663"/>
      <c r="P561" s="663"/>
      <c r="Q561" s="663"/>
      <c r="R561" s="663"/>
      <c r="S561" s="663"/>
      <c r="T561" s="663"/>
      <c r="U561" s="663"/>
      <c r="V561" s="663"/>
      <c r="W561" s="663"/>
      <c r="X561" s="663"/>
      <c r="Y561" s="663"/>
      <c r="Z561" s="663"/>
      <c r="AA561" s="663"/>
      <c r="AB561" s="663"/>
      <c r="AC561" s="663"/>
      <c r="AD561" s="663"/>
      <c r="AE561" s="663"/>
      <c r="AF561" s="663"/>
      <c r="AG561" s="663"/>
      <c r="AH561" s="663"/>
      <c r="AI561" s="663"/>
      <c r="AJ561" s="663"/>
      <c r="AK561" s="663"/>
      <c r="AL561" s="663"/>
      <c r="AM561" s="663"/>
      <c r="AN561" s="663"/>
      <c r="AO561" s="663"/>
      <c r="AP561" s="663"/>
      <c r="AQ561" s="663"/>
      <c r="AR561" s="663"/>
      <c r="AS561" s="663"/>
      <c r="AT561" s="663"/>
      <c r="AU561" s="663"/>
      <c r="AV561" s="663"/>
      <c r="AW561" s="663"/>
      <c r="AX561" s="663"/>
      <c r="AY561" s="663"/>
      <c r="AZ561" s="663"/>
      <c r="BA561" s="663"/>
      <c r="BB561" s="663"/>
      <c r="BC561" s="663"/>
      <c r="BD561" s="663"/>
      <c r="BE561" s="663"/>
      <c r="BF561" s="663"/>
      <c r="BG561" s="663"/>
      <c r="BH561" s="663"/>
      <c r="BI561" s="663"/>
      <c r="BJ561" s="663"/>
      <c r="BK561" s="663"/>
      <c r="BL561" s="663"/>
      <c r="BM561" s="663"/>
      <c r="BN561" s="663"/>
      <c r="BO561" s="663"/>
      <c r="BP561" s="663"/>
      <c r="BQ561" s="663"/>
      <c r="BR561" s="663"/>
      <c r="BS561" s="663"/>
      <c r="BT561" s="663"/>
      <c r="BU561" s="663"/>
      <c r="BV561" s="663"/>
      <c r="BW561" s="663"/>
      <c r="BX561" s="663"/>
      <c r="BY561" s="663"/>
      <c r="BZ561" s="663"/>
      <c r="CA561" s="663"/>
      <c r="CB561" s="663"/>
      <c r="CC561" s="663"/>
      <c r="CD561" s="663"/>
      <c r="CE561" s="663"/>
      <c r="CF561" s="663"/>
      <c r="CG561" s="663"/>
      <c r="CH561" s="663"/>
      <c r="CI561" s="663"/>
      <c r="CJ561" s="663"/>
      <c r="CK561" s="663"/>
      <c r="CL561" s="663"/>
      <c r="CM561" s="663"/>
      <c r="CN561" s="663"/>
      <c r="CO561" s="663"/>
      <c r="CP561" s="663"/>
      <c r="CQ561" s="663"/>
      <c r="CR561" s="663"/>
      <c r="CS561" s="663"/>
      <c r="CT561" s="663"/>
      <c r="CU561" s="663"/>
      <c r="CV561" s="663"/>
      <c r="CW561" s="663"/>
      <c r="CX561" s="663"/>
      <c r="CY561" s="663"/>
      <c r="CZ561" s="663"/>
      <c r="DA561" s="663"/>
      <c r="DB561" s="663"/>
      <c r="DC561" s="663"/>
      <c r="DD561" s="663"/>
      <c r="DE561" s="663"/>
      <c r="DF561" s="663"/>
      <c r="DG561" s="663"/>
      <c r="DH561" s="663"/>
      <c r="DI561" s="663"/>
      <c r="DJ561" s="663"/>
      <c r="DK561" s="663"/>
      <c r="DL561" s="663"/>
      <c r="DM561" s="663"/>
      <c r="DN561" s="663"/>
      <c r="DO561" s="663"/>
      <c r="DP561" s="663"/>
      <c r="DQ561" s="663"/>
      <c r="DR561" s="663"/>
      <c r="DS561" s="663"/>
      <c r="DT561" s="663"/>
      <c r="DU561" s="663"/>
      <c r="DV561" s="663"/>
      <c r="DW561" s="663"/>
      <c r="DX561" s="663"/>
      <c r="DY561" s="663"/>
      <c r="DZ561" s="663"/>
      <c r="EA561" s="663"/>
      <c r="EB561" s="663"/>
      <c r="EC561" s="663"/>
      <c r="ED561" s="663"/>
      <c r="EE561" s="663"/>
      <c r="EF561" s="663"/>
      <c r="EG561" s="663"/>
      <c r="EH561" s="663"/>
      <c r="EI561" s="663"/>
      <c r="EJ561" s="663"/>
      <c r="EK561" s="663"/>
      <c r="EL561" s="663"/>
      <c r="EM561" s="663"/>
      <c r="EN561" s="663"/>
      <c r="EO561" s="663"/>
      <c r="EP561" s="663"/>
      <c r="EQ561" s="663"/>
      <c r="ER561" s="663"/>
      <c r="ES561" s="663"/>
      <c r="ET561" s="663"/>
      <c r="EU561" s="663"/>
      <c r="EV561" s="663"/>
      <c r="EW561" s="663"/>
      <c r="EX561" s="663"/>
      <c r="EY561" s="663"/>
      <c r="EZ561" s="663"/>
      <c r="FA561" s="663"/>
      <c r="FB561" s="663"/>
      <c r="FC561" s="663"/>
      <c r="FD561" s="663"/>
      <c r="FE561" s="663"/>
      <c r="FF561" s="663"/>
      <c r="FG561" s="663"/>
      <c r="FH561" s="663"/>
      <c r="FI561" s="663"/>
      <c r="FJ561" s="663"/>
      <c r="FK561" s="663"/>
      <c r="FL561" s="663"/>
      <c r="FM561" s="663"/>
      <c r="FN561" s="663"/>
      <c r="FO561" s="663"/>
      <c r="FP561" s="663"/>
      <c r="FQ561" s="663"/>
      <c r="FR561" s="663"/>
      <c r="FS561" s="663"/>
      <c r="FT561" s="663"/>
      <c r="FU561" s="663"/>
      <c r="FV561" s="663"/>
      <c r="FW561" s="663"/>
      <c r="FX561" s="663"/>
      <c r="FY561" s="663"/>
      <c r="FZ561" s="663"/>
      <c r="GA561" s="663"/>
      <c r="GB561" s="663"/>
      <c r="GC561" s="663"/>
      <c r="GD561" s="663"/>
      <c r="GE561" s="663"/>
      <c r="GF561" s="663"/>
      <c r="GG561" s="663"/>
    </row>
    <row r="562" spans="1:189">
      <c r="A562" s="670"/>
      <c r="B562" s="670"/>
      <c r="C562" s="670"/>
      <c r="D562" s="670"/>
      <c r="E562" s="670"/>
      <c r="F562" s="670"/>
      <c r="G562" s="673"/>
      <c r="H562" s="627"/>
      <c r="I562" s="627"/>
      <c r="J562" s="672"/>
      <c r="K562" s="663"/>
      <c r="L562" s="663"/>
      <c r="M562" s="663"/>
      <c r="N562" s="663"/>
      <c r="O562" s="663"/>
      <c r="P562" s="663"/>
      <c r="Q562" s="663"/>
      <c r="R562" s="663"/>
      <c r="S562" s="663"/>
      <c r="T562" s="663"/>
      <c r="U562" s="663"/>
      <c r="V562" s="663"/>
      <c r="W562" s="663"/>
      <c r="X562" s="663"/>
      <c r="Y562" s="663"/>
      <c r="Z562" s="663"/>
      <c r="AA562" s="663"/>
      <c r="AB562" s="663"/>
      <c r="AC562" s="663"/>
      <c r="AD562" s="663"/>
      <c r="AE562" s="663"/>
      <c r="AF562" s="663"/>
      <c r="AG562" s="663"/>
      <c r="AH562" s="663"/>
      <c r="AI562" s="663"/>
      <c r="AJ562" s="663"/>
      <c r="AK562" s="663"/>
      <c r="AL562" s="663"/>
      <c r="AM562" s="663"/>
      <c r="AN562" s="663"/>
      <c r="AO562" s="663"/>
      <c r="AP562" s="663"/>
      <c r="AQ562" s="663"/>
      <c r="AR562" s="663"/>
      <c r="AS562" s="663"/>
      <c r="AT562" s="663"/>
      <c r="AU562" s="663"/>
      <c r="AV562" s="663"/>
      <c r="AW562" s="663"/>
      <c r="AX562" s="663"/>
      <c r="AY562" s="663"/>
      <c r="AZ562" s="663"/>
      <c r="BA562" s="663"/>
      <c r="BB562" s="663"/>
      <c r="BC562" s="663"/>
      <c r="BD562" s="663"/>
      <c r="BE562" s="663"/>
      <c r="BF562" s="663"/>
      <c r="BG562" s="663"/>
      <c r="BH562" s="663"/>
      <c r="BI562" s="663"/>
      <c r="BJ562" s="663"/>
      <c r="BK562" s="663"/>
      <c r="BL562" s="663"/>
      <c r="BM562" s="663"/>
      <c r="BN562" s="663"/>
      <c r="BO562" s="663"/>
      <c r="BP562" s="663"/>
      <c r="BQ562" s="663"/>
      <c r="BR562" s="663"/>
      <c r="BS562" s="663"/>
      <c r="BT562" s="663"/>
      <c r="BU562" s="663"/>
      <c r="BV562" s="663"/>
      <c r="BW562" s="663"/>
      <c r="BX562" s="663"/>
      <c r="BY562" s="663"/>
      <c r="BZ562" s="663"/>
      <c r="CA562" s="663"/>
      <c r="CB562" s="663"/>
      <c r="CC562" s="663"/>
      <c r="CD562" s="663"/>
      <c r="CE562" s="663"/>
      <c r="CF562" s="663"/>
      <c r="CG562" s="663"/>
      <c r="CH562" s="663"/>
      <c r="CI562" s="663"/>
      <c r="CJ562" s="663"/>
      <c r="CK562" s="663"/>
      <c r="CL562" s="663"/>
      <c r="CM562" s="663"/>
      <c r="CN562" s="663"/>
      <c r="CO562" s="663"/>
      <c r="CP562" s="663"/>
      <c r="CQ562" s="663"/>
      <c r="CR562" s="663"/>
      <c r="CS562" s="663"/>
      <c r="CT562" s="663"/>
      <c r="CU562" s="663"/>
      <c r="CV562" s="663"/>
      <c r="CW562" s="663"/>
      <c r="CX562" s="663"/>
      <c r="CY562" s="663"/>
      <c r="CZ562" s="663"/>
      <c r="DA562" s="663"/>
      <c r="DB562" s="663"/>
      <c r="DC562" s="663"/>
      <c r="DD562" s="663"/>
      <c r="DE562" s="663"/>
      <c r="DF562" s="663"/>
      <c r="DG562" s="663"/>
      <c r="DH562" s="663"/>
      <c r="DI562" s="663"/>
      <c r="DJ562" s="663"/>
      <c r="DK562" s="663"/>
      <c r="DL562" s="663"/>
      <c r="DM562" s="663"/>
      <c r="DN562" s="663"/>
      <c r="DO562" s="663"/>
      <c r="DP562" s="663"/>
      <c r="DQ562" s="663"/>
      <c r="DR562" s="663"/>
      <c r="DS562" s="663"/>
      <c r="DT562" s="663"/>
      <c r="DU562" s="663"/>
      <c r="DV562" s="663"/>
      <c r="DW562" s="663"/>
      <c r="DX562" s="663"/>
      <c r="DY562" s="663"/>
      <c r="DZ562" s="663"/>
      <c r="EA562" s="663"/>
      <c r="EB562" s="663"/>
      <c r="EC562" s="663"/>
      <c r="ED562" s="663"/>
      <c r="EE562" s="663"/>
      <c r="EF562" s="663"/>
      <c r="EG562" s="663"/>
      <c r="EH562" s="663"/>
      <c r="EI562" s="663"/>
      <c r="EJ562" s="663"/>
      <c r="EK562" s="663"/>
      <c r="EL562" s="663"/>
      <c r="EM562" s="663"/>
      <c r="EN562" s="663"/>
      <c r="EO562" s="663"/>
      <c r="EP562" s="663"/>
      <c r="EQ562" s="663"/>
      <c r="ER562" s="663"/>
      <c r="ES562" s="663"/>
      <c r="ET562" s="663"/>
      <c r="EU562" s="663"/>
      <c r="EV562" s="663"/>
      <c r="EW562" s="663"/>
      <c r="EX562" s="663"/>
      <c r="EY562" s="663"/>
      <c r="EZ562" s="663"/>
      <c r="FA562" s="663"/>
      <c r="FB562" s="663"/>
      <c r="FC562" s="663"/>
      <c r="FD562" s="663"/>
      <c r="FE562" s="663"/>
      <c r="FF562" s="663"/>
      <c r="FG562" s="663"/>
      <c r="FH562" s="663"/>
      <c r="FI562" s="663"/>
      <c r="FJ562" s="663"/>
      <c r="FK562" s="663"/>
      <c r="FL562" s="663"/>
      <c r="FM562" s="663"/>
      <c r="FN562" s="663"/>
      <c r="FO562" s="663"/>
      <c r="FP562" s="663"/>
      <c r="FQ562" s="663"/>
      <c r="FR562" s="663"/>
      <c r="FS562" s="663"/>
      <c r="FT562" s="663"/>
      <c r="FU562" s="663"/>
      <c r="FV562" s="663"/>
      <c r="FW562" s="663"/>
      <c r="FX562" s="663"/>
      <c r="FY562" s="663"/>
      <c r="FZ562" s="663"/>
      <c r="GA562" s="663"/>
      <c r="GB562" s="663"/>
      <c r="GC562" s="663"/>
      <c r="GD562" s="663"/>
      <c r="GE562" s="663"/>
      <c r="GF562" s="663"/>
      <c r="GG562" s="663"/>
    </row>
    <row r="563" spans="1:189">
      <c r="A563" s="670"/>
      <c r="B563" s="670"/>
      <c r="C563" s="670"/>
      <c r="D563" s="670"/>
      <c r="E563" s="670"/>
      <c r="F563" s="670"/>
      <c r="G563" s="673"/>
      <c r="H563" s="627"/>
      <c r="I563" s="627"/>
      <c r="J563" s="672"/>
      <c r="K563" s="663"/>
      <c r="L563" s="663"/>
      <c r="M563" s="663"/>
      <c r="N563" s="663"/>
      <c r="O563" s="663"/>
      <c r="P563" s="663"/>
      <c r="Q563" s="663"/>
      <c r="R563" s="663"/>
      <c r="S563" s="663"/>
      <c r="T563" s="663"/>
      <c r="U563" s="663"/>
      <c r="V563" s="663"/>
      <c r="W563" s="663"/>
      <c r="X563" s="663"/>
      <c r="Y563" s="663"/>
      <c r="Z563" s="663"/>
      <c r="AA563" s="663"/>
      <c r="AB563" s="663"/>
      <c r="AC563" s="663"/>
      <c r="AD563" s="663"/>
      <c r="AE563" s="663"/>
      <c r="AF563" s="663"/>
      <c r="AG563" s="663"/>
      <c r="AH563" s="663"/>
      <c r="AI563" s="663"/>
      <c r="AJ563" s="663"/>
      <c r="AK563" s="663"/>
      <c r="AL563" s="663"/>
      <c r="AM563" s="663"/>
      <c r="AN563" s="663"/>
      <c r="AO563" s="663"/>
      <c r="AP563" s="663"/>
      <c r="AQ563" s="663"/>
      <c r="AR563" s="663"/>
      <c r="AS563" s="663"/>
      <c r="AT563" s="663"/>
      <c r="AU563" s="663"/>
      <c r="AV563" s="663"/>
      <c r="AW563" s="663"/>
      <c r="AX563" s="663"/>
      <c r="AY563" s="663"/>
      <c r="AZ563" s="663"/>
      <c r="BA563" s="663"/>
      <c r="BB563" s="663"/>
      <c r="BC563" s="663"/>
      <c r="BD563" s="663"/>
      <c r="BE563" s="663"/>
      <c r="BF563" s="663"/>
      <c r="BG563" s="663"/>
      <c r="BH563" s="663"/>
      <c r="BI563" s="663"/>
      <c r="BJ563" s="663"/>
      <c r="BK563" s="663"/>
      <c r="BL563" s="663"/>
      <c r="BM563" s="663"/>
      <c r="BN563" s="663"/>
      <c r="BO563" s="663"/>
      <c r="BP563" s="663"/>
      <c r="BQ563" s="663"/>
      <c r="BR563" s="663"/>
      <c r="BS563" s="663"/>
      <c r="BT563" s="663"/>
      <c r="BU563" s="663"/>
      <c r="BV563" s="663"/>
      <c r="BW563" s="663"/>
      <c r="BX563" s="663"/>
      <c r="BY563" s="663"/>
      <c r="BZ563" s="663"/>
      <c r="CA563" s="663"/>
      <c r="CB563" s="663"/>
      <c r="CC563" s="663"/>
      <c r="CD563" s="663"/>
      <c r="CE563" s="663"/>
      <c r="CF563" s="663"/>
      <c r="CG563" s="663"/>
      <c r="CH563" s="663"/>
      <c r="CI563" s="663"/>
      <c r="CJ563" s="663"/>
      <c r="CK563" s="663"/>
      <c r="CL563" s="663"/>
      <c r="CM563" s="663"/>
      <c r="CN563" s="663"/>
      <c r="CO563" s="663"/>
      <c r="CP563" s="663"/>
      <c r="CQ563" s="663"/>
      <c r="CR563" s="663"/>
      <c r="CS563" s="663"/>
      <c r="CT563" s="663"/>
      <c r="CU563" s="663"/>
      <c r="CV563" s="663"/>
      <c r="CW563" s="663"/>
      <c r="CX563" s="663"/>
      <c r="CY563" s="663"/>
      <c r="CZ563" s="663"/>
      <c r="DA563" s="663"/>
      <c r="DB563" s="663"/>
      <c r="DC563" s="663"/>
      <c r="DD563" s="663"/>
      <c r="DE563" s="663"/>
      <c r="DF563" s="663"/>
      <c r="DG563" s="663"/>
      <c r="DH563" s="663"/>
      <c r="DI563" s="663"/>
      <c r="DJ563" s="663"/>
      <c r="DK563" s="663"/>
      <c r="DL563" s="663"/>
      <c r="DM563" s="663"/>
      <c r="DN563" s="663"/>
      <c r="DO563" s="663"/>
      <c r="DP563" s="663"/>
      <c r="DQ563" s="663"/>
      <c r="DR563" s="663"/>
      <c r="DS563" s="663"/>
      <c r="DT563" s="663"/>
      <c r="DU563" s="663"/>
      <c r="DV563" s="663"/>
      <c r="DW563" s="663"/>
      <c r="DX563" s="663"/>
      <c r="DY563" s="663"/>
      <c r="DZ563" s="663"/>
      <c r="EA563" s="663"/>
      <c r="EB563" s="663"/>
      <c r="EC563" s="663"/>
      <c r="ED563" s="663"/>
      <c r="EE563" s="663"/>
      <c r="EF563" s="663"/>
      <c r="EG563" s="663"/>
      <c r="EH563" s="663"/>
      <c r="EI563" s="663"/>
      <c r="EJ563" s="663"/>
      <c r="EK563" s="663"/>
      <c r="EL563" s="663"/>
      <c r="EM563" s="663"/>
      <c r="EN563" s="663"/>
      <c r="EO563" s="663"/>
      <c r="EP563" s="663"/>
      <c r="EQ563" s="663"/>
      <c r="ER563" s="663"/>
      <c r="ES563" s="663"/>
      <c r="ET563" s="663"/>
      <c r="EU563" s="663"/>
      <c r="EV563" s="663"/>
      <c r="EW563" s="663"/>
      <c r="EX563" s="663"/>
      <c r="EY563" s="663"/>
      <c r="EZ563" s="663"/>
      <c r="FA563" s="663"/>
      <c r="FB563" s="663"/>
      <c r="FC563" s="663"/>
      <c r="FD563" s="663"/>
      <c r="FE563" s="663"/>
      <c r="FF563" s="663"/>
      <c r="FG563" s="663"/>
      <c r="FH563" s="663"/>
      <c r="FI563" s="663"/>
      <c r="FJ563" s="663"/>
      <c r="FK563" s="663"/>
      <c r="FL563" s="663"/>
      <c r="FM563" s="663"/>
      <c r="FN563" s="663"/>
      <c r="FO563" s="663"/>
      <c r="FP563" s="663"/>
      <c r="FQ563" s="663"/>
      <c r="FR563" s="663"/>
      <c r="FS563" s="663"/>
      <c r="FT563" s="663"/>
      <c r="FU563" s="663"/>
      <c r="FV563" s="663"/>
      <c r="FW563" s="663"/>
      <c r="FX563" s="663"/>
      <c r="FY563" s="663"/>
      <c r="FZ563" s="663"/>
      <c r="GA563" s="663"/>
      <c r="GB563" s="663"/>
      <c r="GC563" s="663"/>
      <c r="GD563" s="663"/>
      <c r="GE563" s="663"/>
      <c r="GF563" s="663"/>
      <c r="GG563" s="663"/>
    </row>
    <row r="564" spans="1:189">
      <c r="A564" s="670"/>
      <c r="B564" s="670"/>
      <c r="C564" s="670"/>
      <c r="D564" s="670"/>
      <c r="E564" s="670"/>
      <c r="F564" s="670"/>
      <c r="G564" s="673"/>
      <c r="H564" s="627"/>
      <c r="I564" s="627"/>
      <c r="J564" s="672"/>
      <c r="K564" s="663"/>
      <c r="L564" s="663"/>
      <c r="M564" s="663"/>
      <c r="N564" s="663"/>
      <c r="O564" s="663"/>
      <c r="P564" s="663"/>
      <c r="Q564" s="663"/>
      <c r="R564" s="663"/>
      <c r="S564" s="663"/>
      <c r="T564" s="663"/>
      <c r="U564" s="663"/>
      <c r="V564" s="663"/>
      <c r="W564" s="663"/>
      <c r="X564" s="663"/>
      <c r="Y564" s="663"/>
      <c r="Z564" s="663"/>
      <c r="AA564" s="663"/>
      <c r="AB564" s="663"/>
      <c r="AC564" s="663"/>
      <c r="AD564" s="663"/>
      <c r="AE564" s="663"/>
      <c r="AF564" s="663"/>
      <c r="AG564" s="663"/>
      <c r="AH564" s="663"/>
      <c r="AI564" s="663"/>
      <c r="AJ564" s="663"/>
      <c r="AK564" s="663"/>
      <c r="AL564" s="663"/>
      <c r="AM564" s="663"/>
      <c r="AN564" s="663"/>
      <c r="AO564" s="663"/>
      <c r="AP564" s="663"/>
      <c r="AQ564" s="663"/>
      <c r="AR564" s="663"/>
      <c r="AS564" s="663"/>
      <c r="AT564" s="663"/>
      <c r="AU564" s="663"/>
      <c r="AV564" s="663"/>
      <c r="AW564" s="663"/>
      <c r="AX564" s="663"/>
      <c r="AY564" s="663"/>
      <c r="AZ564" s="663"/>
      <c r="BA564" s="663"/>
      <c r="BB564" s="663"/>
      <c r="BC564" s="663"/>
      <c r="BD564" s="663"/>
      <c r="BE564" s="663"/>
      <c r="BF564" s="663"/>
      <c r="BG564" s="663"/>
      <c r="BH564" s="663"/>
      <c r="BI564" s="663"/>
      <c r="BJ564" s="663"/>
      <c r="BK564" s="663"/>
      <c r="BL564" s="663"/>
      <c r="BM564" s="663"/>
      <c r="BN564" s="663"/>
      <c r="BO564" s="663"/>
      <c r="BP564" s="663"/>
      <c r="BQ564" s="663"/>
      <c r="BR564" s="663"/>
      <c r="BS564" s="663"/>
      <c r="BT564" s="663"/>
      <c r="BU564" s="663"/>
      <c r="BV564" s="663"/>
      <c r="BW564" s="663"/>
      <c r="BX564" s="663"/>
      <c r="BY564" s="663"/>
      <c r="BZ564" s="663"/>
      <c r="CA564" s="663"/>
      <c r="CB564" s="663"/>
      <c r="CC564" s="663"/>
      <c r="CD564" s="663"/>
      <c r="CE564" s="663"/>
      <c r="CF564" s="663"/>
      <c r="CG564" s="663"/>
      <c r="CH564" s="663"/>
      <c r="CI564" s="663"/>
      <c r="CJ564" s="663"/>
      <c r="CK564" s="663"/>
      <c r="CL564" s="663"/>
      <c r="CM564" s="663"/>
      <c r="CN564" s="663"/>
      <c r="CO564" s="663"/>
      <c r="CP564" s="663"/>
      <c r="CQ564" s="663"/>
      <c r="CR564" s="663"/>
      <c r="CS564" s="663"/>
      <c r="CT564" s="663"/>
      <c r="CU564" s="663"/>
      <c r="CV564" s="663"/>
      <c r="CW564" s="663"/>
      <c r="CX564" s="663"/>
      <c r="CY564" s="663"/>
      <c r="CZ564" s="663"/>
      <c r="DA564" s="663"/>
      <c r="DB564" s="663"/>
      <c r="DC564" s="663"/>
      <c r="DD564" s="663"/>
      <c r="DE564" s="663"/>
      <c r="DF564" s="663"/>
      <c r="DG564" s="663"/>
      <c r="DH564" s="663"/>
      <c r="DI564" s="663"/>
      <c r="DJ564" s="663"/>
      <c r="DK564" s="663"/>
      <c r="DL564" s="663"/>
      <c r="DM564" s="663"/>
      <c r="DN564" s="663"/>
      <c r="DO564" s="663"/>
      <c r="DP564" s="663"/>
      <c r="DQ564" s="663"/>
      <c r="DR564" s="663"/>
      <c r="DS564" s="663"/>
      <c r="DT564" s="663"/>
      <c r="DU564" s="663"/>
      <c r="DV564" s="663"/>
      <c r="DW564" s="663"/>
      <c r="DX564" s="663"/>
      <c r="DY564" s="663"/>
      <c r="DZ564" s="663"/>
      <c r="EA564" s="663"/>
      <c r="EB564" s="663"/>
      <c r="EC564" s="663"/>
      <c r="ED564" s="663"/>
      <c r="EE564" s="663"/>
      <c r="EF564" s="663"/>
      <c r="EG564" s="663"/>
      <c r="EH564" s="663"/>
      <c r="EI564" s="663"/>
      <c r="EJ564" s="663"/>
      <c r="EK564" s="663"/>
      <c r="EL564" s="663"/>
      <c r="EM564" s="663"/>
      <c r="EN564" s="663"/>
      <c r="EO564" s="663"/>
      <c r="EP564" s="663"/>
      <c r="EQ564" s="663"/>
      <c r="ER564" s="663"/>
      <c r="ES564" s="663"/>
      <c r="ET564" s="663"/>
      <c r="EU564" s="663"/>
      <c r="EV564" s="663"/>
      <c r="EW564" s="663"/>
      <c r="EX564" s="663"/>
      <c r="EY564" s="663"/>
      <c r="EZ564" s="663"/>
      <c r="FA564" s="663"/>
      <c r="FB564" s="663"/>
      <c r="FC564" s="663"/>
      <c r="FD564" s="663"/>
      <c r="FE564" s="663"/>
      <c r="FF564" s="663"/>
      <c r="FG564" s="663"/>
      <c r="FH564" s="663"/>
      <c r="FI564" s="663"/>
      <c r="FJ564" s="663"/>
      <c r="FK564" s="663"/>
      <c r="FL564" s="663"/>
      <c r="FM564" s="663"/>
      <c r="FN564" s="663"/>
      <c r="FO564" s="663"/>
      <c r="FP564" s="663"/>
      <c r="FQ564" s="663"/>
      <c r="FR564" s="663"/>
      <c r="FS564" s="663"/>
      <c r="FT564" s="663"/>
      <c r="FU564" s="663"/>
      <c r="FV564" s="663"/>
      <c r="FW564" s="663"/>
      <c r="FX564" s="663"/>
      <c r="FY564" s="663"/>
      <c r="FZ564" s="663"/>
      <c r="GA564" s="663"/>
      <c r="GB564" s="663"/>
      <c r="GC564" s="663"/>
      <c r="GD564" s="663"/>
      <c r="GE564" s="663"/>
      <c r="GF564" s="663"/>
      <c r="GG564" s="663"/>
    </row>
    <row r="565" spans="1:189">
      <c r="A565" s="670"/>
      <c r="B565" s="670"/>
      <c r="C565" s="670"/>
      <c r="D565" s="670"/>
      <c r="E565" s="670"/>
      <c r="F565" s="670"/>
      <c r="G565" s="673"/>
      <c r="H565" s="627"/>
      <c r="I565" s="627"/>
      <c r="J565" s="672"/>
      <c r="K565" s="663"/>
      <c r="L565" s="663"/>
      <c r="M565" s="663"/>
      <c r="N565" s="663"/>
      <c r="O565" s="663"/>
      <c r="P565" s="663"/>
      <c r="Q565" s="663"/>
      <c r="R565" s="663"/>
      <c r="S565" s="663"/>
      <c r="T565" s="663"/>
      <c r="U565" s="663"/>
      <c r="V565" s="663"/>
      <c r="W565" s="663"/>
      <c r="X565" s="663"/>
      <c r="Y565" s="663"/>
      <c r="Z565" s="663"/>
      <c r="AA565" s="663"/>
      <c r="AB565" s="663"/>
      <c r="AC565" s="663"/>
      <c r="AD565" s="663"/>
      <c r="AE565" s="663"/>
      <c r="AF565" s="663"/>
      <c r="AG565" s="663"/>
      <c r="AH565" s="663"/>
      <c r="AI565" s="663"/>
      <c r="AJ565" s="663"/>
      <c r="AK565" s="663"/>
      <c r="AL565" s="663"/>
      <c r="AM565" s="663"/>
      <c r="AN565" s="663"/>
      <c r="AO565" s="663"/>
      <c r="AP565" s="663"/>
      <c r="AQ565" s="663"/>
      <c r="AR565" s="663"/>
      <c r="AS565" s="663"/>
      <c r="AT565" s="663"/>
      <c r="AU565" s="663"/>
      <c r="AV565" s="663"/>
      <c r="AW565" s="663"/>
      <c r="AX565" s="663"/>
      <c r="AY565" s="663"/>
      <c r="AZ565" s="663"/>
      <c r="BA565" s="663"/>
      <c r="BB565" s="663"/>
      <c r="BC565" s="663"/>
      <c r="BD565" s="663"/>
      <c r="BE565" s="663"/>
      <c r="BF565" s="663"/>
      <c r="BG565" s="663"/>
      <c r="BH565" s="663"/>
      <c r="BI565" s="663"/>
      <c r="BJ565" s="663"/>
      <c r="BK565" s="663"/>
      <c r="BL565" s="663"/>
      <c r="BM565" s="663"/>
      <c r="BN565" s="663"/>
      <c r="BO565" s="663"/>
      <c r="BP565" s="663"/>
      <c r="BQ565" s="663"/>
      <c r="BR565" s="663"/>
      <c r="BS565" s="663"/>
      <c r="BT565" s="663"/>
      <c r="BU565" s="663"/>
      <c r="BV565" s="663"/>
      <c r="BW565" s="663"/>
      <c r="BX565" s="663"/>
      <c r="BY565" s="663"/>
      <c r="BZ565" s="663"/>
      <c r="CA565" s="663"/>
      <c r="CB565" s="663"/>
      <c r="CC565" s="663"/>
      <c r="CD565" s="663"/>
      <c r="CE565" s="663"/>
      <c r="CF565" s="663"/>
      <c r="CG565" s="663"/>
      <c r="CH565" s="663"/>
      <c r="CI565" s="663"/>
      <c r="CJ565" s="663"/>
      <c r="CK565" s="663"/>
      <c r="CL565" s="663"/>
      <c r="CM565" s="663"/>
      <c r="CN565" s="663"/>
      <c r="CO565" s="663"/>
      <c r="CP565" s="663"/>
      <c r="CQ565" s="663"/>
      <c r="CR565" s="663"/>
      <c r="CS565" s="663"/>
      <c r="CT565" s="663"/>
      <c r="CU565" s="663"/>
      <c r="CV565" s="663"/>
      <c r="CW565" s="663"/>
      <c r="CX565" s="663"/>
      <c r="CY565" s="663"/>
      <c r="CZ565" s="663"/>
      <c r="DA565" s="663"/>
      <c r="DB565" s="663"/>
      <c r="DC565" s="663"/>
      <c r="DD565" s="663"/>
      <c r="DE565" s="663"/>
      <c r="DF565" s="663"/>
      <c r="DG565" s="663"/>
      <c r="DH565" s="663"/>
      <c r="DI565" s="663"/>
      <c r="DJ565" s="663"/>
      <c r="DK565" s="663"/>
      <c r="DL565" s="663"/>
      <c r="DM565" s="663"/>
      <c r="DN565" s="663"/>
      <c r="DO565" s="663"/>
      <c r="DP565" s="663"/>
      <c r="DQ565" s="663"/>
      <c r="DR565" s="663"/>
      <c r="DS565" s="663"/>
      <c r="DT565" s="663"/>
      <c r="DU565" s="663"/>
      <c r="DV565" s="663"/>
      <c r="DW565" s="663"/>
      <c r="DX565" s="663"/>
      <c r="DY565" s="663"/>
      <c r="DZ565" s="663"/>
      <c r="EA565" s="663"/>
      <c r="EB565" s="663"/>
      <c r="EC565" s="663"/>
      <c r="ED565" s="663"/>
      <c r="EE565" s="663"/>
      <c r="EF565" s="663"/>
      <c r="EG565" s="663"/>
      <c r="EH565" s="663"/>
      <c r="EI565" s="663"/>
      <c r="EJ565" s="663"/>
      <c r="EK565" s="663"/>
      <c r="EL565" s="663"/>
      <c r="EM565" s="663"/>
      <c r="EN565" s="663"/>
      <c r="EO565" s="663"/>
      <c r="EP565" s="663"/>
      <c r="EQ565" s="663"/>
      <c r="ER565" s="663"/>
      <c r="ES565" s="663"/>
      <c r="ET565" s="663"/>
      <c r="EU565" s="663"/>
      <c r="EV565" s="663"/>
      <c r="EW565" s="663"/>
      <c r="EX565" s="663"/>
      <c r="EY565" s="663"/>
      <c r="EZ565" s="663"/>
      <c r="FA565" s="663"/>
      <c r="FB565" s="663"/>
      <c r="FC565" s="663"/>
      <c r="FD565" s="663"/>
      <c r="FE565" s="663"/>
      <c r="FF565" s="663"/>
      <c r="FG565" s="663"/>
      <c r="FH565" s="663"/>
      <c r="FI565" s="663"/>
      <c r="FJ565" s="663"/>
      <c r="FK565" s="663"/>
      <c r="FL565" s="663"/>
      <c r="FM565" s="663"/>
      <c r="FN565" s="663"/>
      <c r="FO565" s="663"/>
      <c r="FP565" s="663"/>
      <c r="FQ565" s="663"/>
      <c r="FR565" s="663"/>
      <c r="FS565" s="663"/>
      <c r="FT565" s="663"/>
      <c r="FU565" s="663"/>
      <c r="FV565" s="663"/>
      <c r="FW565" s="663"/>
      <c r="FX565" s="663"/>
      <c r="FY565" s="663"/>
      <c r="FZ565" s="663"/>
      <c r="GA565" s="663"/>
      <c r="GB565" s="663"/>
      <c r="GC565" s="663"/>
      <c r="GD565" s="663"/>
      <c r="GE565" s="663"/>
      <c r="GF565" s="663"/>
      <c r="GG565" s="663"/>
    </row>
    <row r="566" spans="1:189">
      <c r="A566" s="670"/>
      <c r="B566" s="670"/>
      <c r="C566" s="670"/>
      <c r="D566" s="670"/>
      <c r="E566" s="670"/>
      <c r="F566" s="670"/>
      <c r="G566" s="673"/>
      <c r="H566" s="627"/>
      <c r="I566" s="627"/>
      <c r="J566" s="672"/>
      <c r="K566" s="663"/>
      <c r="L566" s="663"/>
      <c r="M566" s="663"/>
      <c r="N566" s="663"/>
      <c r="O566" s="663"/>
      <c r="P566" s="663"/>
      <c r="Q566" s="663"/>
      <c r="R566" s="663"/>
      <c r="S566" s="663"/>
      <c r="T566" s="663"/>
      <c r="U566" s="663"/>
      <c r="V566" s="663"/>
      <c r="W566" s="663"/>
      <c r="X566" s="663"/>
      <c r="Y566" s="663"/>
      <c r="Z566" s="663"/>
      <c r="AA566" s="663"/>
      <c r="AB566" s="663"/>
      <c r="AC566" s="663"/>
      <c r="AD566" s="663"/>
      <c r="AE566" s="663"/>
      <c r="AF566" s="663"/>
      <c r="AG566" s="663"/>
      <c r="AH566" s="663"/>
      <c r="AI566" s="663"/>
      <c r="AJ566" s="663"/>
      <c r="AK566" s="663"/>
      <c r="AL566" s="663"/>
      <c r="AM566" s="663"/>
      <c r="AN566" s="663"/>
      <c r="AO566" s="663"/>
      <c r="AP566" s="663"/>
      <c r="AQ566" s="663"/>
      <c r="AR566" s="663"/>
      <c r="AS566" s="663"/>
      <c r="AT566" s="663"/>
      <c r="AU566" s="663"/>
      <c r="AV566" s="663"/>
      <c r="AW566" s="663"/>
      <c r="AX566" s="663"/>
      <c r="AY566" s="663"/>
      <c r="AZ566" s="663"/>
      <c r="BA566" s="663"/>
      <c r="BB566" s="663"/>
      <c r="BC566" s="663"/>
      <c r="BD566" s="663"/>
      <c r="BE566" s="663"/>
      <c r="BF566" s="663"/>
      <c r="BG566" s="663"/>
      <c r="BH566" s="663"/>
      <c r="BI566" s="663"/>
      <c r="BJ566" s="663"/>
      <c r="BK566" s="663"/>
      <c r="BL566" s="663"/>
      <c r="BM566" s="663"/>
      <c r="BN566" s="663"/>
      <c r="BO566" s="663"/>
      <c r="BP566" s="663"/>
      <c r="BQ566" s="663"/>
      <c r="BR566" s="663"/>
      <c r="BS566" s="663"/>
      <c r="BT566" s="663"/>
      <c r="BU566" s="663"/>
      <c r="BV566" s="663"/>
      <c r="BW566" s="663"/>
      <c r="BX566" s="663"/>
      <c r="BY566" s="663"/>
      <c r="BZ566" s="663"/>
      <c r="CA566" s="663"/>
      <c r="CB566" s="663"/>
      <c r="CC566" s="663"/>
      <c r="CD566" s="663"/>
      <c r="CE566" s="663"/>
      <c r="CF566" s="663"/>
      <c r="CG566" s="663"/>
      <c r="CH566" s="663"/>
      <c r="CI566" s="663"/>
      <c r="CJ566" s="663"/>
      <c r="CK566" s="663"/>
      <c r="CL566" s="663"/>
      <c r="CM566" s="663"/>
      <c r="CN566" s="663"/>
      <c r="CO566" s="663"/>
      <c r="CP566" s="663"/>
      <c r="CQ566" s="663"/>
      <c r="CR566" s="663"/>
      <c r="CS566" s="663"/>
      <c r="CT566" s="663"/>
      <c r="CU566" s="663"/>
      <c r="CV566" s="663"/>
      <c r="CW566" s="663"/>
      <c r="CX566" s="663"/>
      <c r="CY566" s="663"/>
      <c r="CZ566" s="663"/>
      <c r="DA566" s="663"/>
      <c r="DB566" s="663"/>
      <c r="DC566" s="663"/>
      <c r="DD566" s="663"/>
      <c r="DE566" s="663"/>
      <c r="DF566" s="663"/>
      <c r="DG566" s="663"/>
      <c r="DH566" s="663"/>
      <c r="DI566" s="663"/>
      <c r="DJ566" s="663"/>
      <c r="DK566" s="663"/>
      <c r="DL566" s="663"/>
      <c r="DM566" s="663"/>
      <c r="DN566" s="663"/>
      <c r="DO566" s="663"/>
      <c r="DP566" s="663"/>
      <c r="DQ566" s="663"/>
      <c r="DR566" s="663"/>
      <c r="DS566" s="663"/>
      <c r="DT566" s="663"/>
      <c r="DU566" s="663"/>
      <c r="DV566" s="663"/>
      <c r="DW566" s="663"/>
      <c r="DX566" s="663"/>
      <c r="DY566" s="663"/>
      <c r="DZ566" s="663"/>
      <c r="EA566" s="663"/>
      <c r="EB566" s="663"/>
      <c r="EC566" s="663"/>
      <c r="ED566" s="663"/>
      <c r="EE566" s="663"/>
      <c r="EF566" s="663"/>
      <c r="EG566" s="663"/>
      <c r="EH566" s="663"/>
      <c r="EI566" s="663"/>
      <c r="EJ566" s="663"/>
      <c r="EK566" s="663"/>
      <c r="EL566" s="663"/>
      <c r="EM566" s="663"/>
      <c r="EN566" s="663"/>
      <c r="EO566" s="663"/>
      <c r="EP566" s="663"/>
      <c r="EQ566" s="663"/>
      <c r="ER566" s="663"/>
      <c r="ES566" s="663"/>
      <c r="ET566" s="663"/>
      <c r="EU566" s="663"/>
      <c r="EV566" s="663"/>
      <c r="EW566" s="663"/>
      <c r="EX566" s="663"/>
      <c r="EY566" s="663"/>
      <c r="EZ566" s="663"/>
      <c r="FA566" s="663"/>
      <c r="FB566" s="663"/>
      <c r="FC566" s="663"/>
      <c r="FD566" s="663"/>
      <c r="FE566" s="663"/>
      <c r="FF566" s="663"/>
      <c r="FG566" s="663"/>
      <c r="FH566" s="663"/>
      <c r="FI566" s="663"/>
      <c r="FJ566" s="663"/>
      <c r="FK566" s="663"/>
      <c r="FL566" s="663"/>
      <c r="FM566" s="663"/>
      <c r="FN566" s="663"/>
      <c r="FO566" s="663"/>
      <c r="FP566" s="663"/>
      <c r="FQ566" s="663"/>
      <c r="FR566" s="663"/>
      <c r="FS566" s="663"/>
      <c r="FT566" s="663"/>
      <c r="FU566" s="663"/>
      <c r="FV566" s="663"/>
      <c r="FW566" s="663"/>
      <c r="FX566" s="663"/>
      <c r="FY566" s="663"/>
      <c r="FZ566" s="663"/>
      <c r="GA566" s="663"/>
      <c r="GB566" s="663"/>
      <c r="GC566" s="663"/>
      <c r="GD566" s="663"/>
      <c r="GE566" s="663"/>
      <c r="GF566" s="663"/>
      <c r="GG566" s="663"/>
    </row>
    <row r="567" spans="1:189">
      <c r="A567" s="670"/>
      <c r="B567" s="670"/>
      <c r="C567" s="670"/>
      <c r="D567" s="670"/>
      <c r="E567" s="670"/>
      <c r="F567" s="670"/>
      <c r="G567" s="673"/>
      <c r="H567" s="627"/>
      <c r="I567" s="627"/>
      <c r="J567" s="672"/>
      <c r="K567" s="663"/>
      <c r="L567" s="663"/>
      <c r="M567" s="663"/>
      <c r="N567" s="663"/>
      <c r="O567" s="663"/>
      <c r="P567" s="663"/>
      <c r="Q567" s="663"/>
      <c r="R567" s="663"/>
      <c r="S567" s="663"/>
      <c r="T567" s="663"/>
      <c r="U567" s="663"/>
      <c r="V567" s="663"/>
      <c r="W567" s="663"/>
      <c r="X567" s="663"/>
      <c r="Y567" s="663"/>
      <c r="Z567" s="663"/>
      <c r="AA567" s="663"/>
      <c r="AB567" s="663"/>
      <c r="AC567" s="663"/>
      <c r="AD567" s="663"/>
      <c r="AE567" s="663"/>
      <c r="AF567" s="663"/>
      <c r="AG567" s="663"/>
      <c r="AH567" s="663"/>
      <c r="AI567" s="663"/>
      <c r="AJ567" s="663"/>
      <c r="AK567" s="663"/>
      <c r="AL567" s="663"/>
      <c r="AM567" s="663"/>
      <c r="AN567" s="663"/>
      <c r="AO567" s="663"/>
      <c r="AP567" s="663"/>
      <c r="AQ567" s="663"/>
      <c r="AR567" s="663"/>
      <c r="AS567" s="663"/>
      <c r="AT567" s="663"/>
      <c r="AU567" s="663"/>
      <c r="AV567" s="663"/>
      <c r="AW567" s="663"/>
      <c r="AX567" s="663"/>
      <c r="AY567" s="663"/>
      <c r="AZ567" s="663"/>
      <c r="BA567" s="663"/>
      <c r="BB567" s="663"/>
      <c r="BC567" s="663"/>
      <c r="BD567" s="663"/>
      <c r="BE567" s="663"/>
      <c r="BF567" s="663"/>
      <c r="BG567" s="663"/>
      <c r="BH567" s="663"/>
      <c r="BI567" s="663"/>
      <c r="BJ567" s="663"/>
      <c r="BK567" s="663"/>
      <c r="BL567" s="663"/>
      <c r="BM567" s="663"/>
      <c r="BN567" s="663"/>
      <c r="BO567" s="663"/>
      <c r="BP567" s="663"/>
      <c r="BQ567" s="663"/>
      <c r="BR567" s="663"/>
      <c r="BS567" s="663"/>
      <c r="BT567" s="663"/>
      <c r="BU567" s="663"/>
      <c r="BV567" s="663"/>
      <c r="BW567" s="663"/>
      <c r="BX567" s="663"/>
      <c r="BY567" s="663"/>
      <c r="BZ567" s="663"/>
      <c r="CA567" s="663"/>
      <c r="CB567" s="663"/>
      <c r="CC567" s="663"/>
      <c r="CD567" s="663"/>
      <c r="CE567" s="663"/>
      <c r="CF567" s="663"/>
      <c r="CG567" s="663"/>
      <c r="CH567" s="663"/>
      <c r="CI567" s="663"/>
      <c r="CJ567" s="663"/>
      <c r="CK567" s="663"/>
      <c r="CL567" s="663"/>
      <c r="CM567" s="663"/>
      <c r="CN567" s="663"/>
      <c r="CO567" s="663"/>
      <c r="CP567" s="663"/>
      <c r="CQ567" s="663"/>
      <c r="CR567" s="663"/>
      <c r="CS567" s="663"/>
      <c r="CT567" s="663"/>
      <c r="CU567" s="663"/>
      <c r="CV567" s="663"/>
      <c r="CW567" s="663"/>
      <c r="CX567" s="663"/>
      <c r="CY567" s="663"/>
      <c r="CZ567" s="663"/>
      <c r="DA567" s="663"/>
      <c r="DB567" s="663"/>
      <c r="DC567" s="663"/>
      <c r="DD567" s="663"/>
      <c r="DE567" s="663"/>
      <c r="DF567" s="663"/>
      <c r="DG567" s="663"/>
      <c r="DH567" s="663"/>
      <c r="DI567" s="663"/>
      <c r="DJ567" s="663"/>
      <c r="DK567" s="663"/>
      <c r="DL567" s="663"/>
      <c r="DM567" s="663"/>
      <c r="DN567" s="663"/>
      <c r="DO567" s="663"/>
      <c r="DP567" s="663"/>
      <c r="DQ567" s="663"/>
      <c r="DR567" s="663"/>
      <c r="DS567" s="663"/>
      <c r="DT567" s="663"/>
      <c r="DU567" s="663"/>
      <c r="DV567" s="663"/>
      <c r="DW567" s="663"/>
      <c r="DX567" s="663"/>
      <c r="DY567" s="663"/>
      <c r="DZ567" s="663"/>
      <c r="EA567" s="663"/>
      <c r="EB567" s="663"/>
      <c r="EC567" s="663"/>
      <c r="ED567" s="663"/>
      <c r="EE567" s="663"/>
      <c r="EF567" s="663"/>
      <c r="EG567" s="663"/>
      <c r="EH567" s="663"/>
      <c r="EI567" s="663"/>
      <c r="EJ567" s="663"/>
      <c r="EK567" s="663"/>
      <c r="EL567" s="663"/>
      <c r="EM567" s="663"/>
      <c r="EN567" s="663"/>
      <c r="EO567" s="663"/>
      <c r="EP567" s="663"/>
      <c r="EQ567" s="663"/>
      <c r="ER567" s="663"/>
      <c r="ES567" s="663"/>
      <c r="ET567" s="663"/>
      <c r="EU567" s="663"/>
      <c r="EV567" s="663"/>
      <c r="EW567" s="663"/>
      <c r="EX567" s="663"/>
      <c r="EY567" s="663"/>
      <c r="EZ567" s="663"/>
      <c r="FA567" s="663"/>
      <c r="FB567" s="663"/>
      <c r="FC567" s="663"/>
      <c r="FD567" s="663"/>
      <c r="FE567" s="663"/>
      <c r="FF567" s="663"/>
      <c r="FG567" s="663"/>
      <c r="FH567" s="663"/>
      <c r="FI567" s="663"/>
      <c r="FJ567" s="663"/>
      <c r="FK567" s="663"/>
      <c r="FL567" s="663"/>
      <c r="FM567" s="663"/>
      <c r="FN567" s="663"/>
      <c r="FO567" s="663"/>
      <c r="FP567" s="663"/>
      <c r="FQ567" s="663"/>
      <c r="FR567" s="663"/>
      <c r="FS567" s="663"/>
      <c r="FT567" s="663"/>
      <c r="FU567" s="663"/>
      <c r="FV567" s="663"/>
      <c r="FW567" s="663"/>
      <c r="FX567" s="663"/>
      <c r="FY567" s="663"/>
      <c r="FZ567" s="663"/>
      <c r="GA567" s="663"/>
      <c r="GB567" s="663"/>
      <c r="GC567" s="663"/>
      <c r="GD567" s="663"/>
      <c r="GE567" s="663"/>
      <c r="GF567" s="663"/>
      <c r="GG567" s="663"/>
    </row>
    <row r="568" spans="1:189">
      <c r="A568" s="670"/>
      <c r="B568" s="670"/>
      <c r="C568" s="670"/>
      <c r="D568" s="670"/>
      <c r="E568" s="670"/>
      <c r="F568" s="670"/>
      <c r="G568" s="673"/>
      <c r="H568" s="627"/>
      <c r="I568" s="627"/>
      <c r="J568" s="672"/>
      <c r="K568" s="663"/>
      <c r="L568" s="663"/>
      <c r="M568" s="663"/>
      <c r="N568" s="663"/>
      <c r="O568" s="663"/>
      <c r="P568" s="663"/>
      <c r="Q568" s="663"/>
      <c r="R568" s="663"/>
      <c r="S568" s="663"/>
      <c r="T568" s="663"/>
      <c r="U568" s="663"/>
      <c r="V568" s="663"/>
      <c r="W568" s="663"/>
      <c r="X568" s="663"/>
      <c r="Y568" s="663"/>
      <c r="Z568" s="663"/>
      <c r="AA568" s="663"/>
      <c r="AB568" s="663"/>
      <c r="AC568" s="663"/>
      <c r="AD568" s="663"/>
      <c r="AE568" s="663"/>
      <c r="AF568" s="663"/>
      <c r="AG568" s="663"/>
      <c r="AH568" s="663"/>
      <c r="AI568" s="663"/>
      <c r="AJ568" s="663"/>
      <c r="AK568" s="663"/>
      <c r="AL568" s="663"/>
      <c r="AM568" s="663"/>
      <c r="AN568" s="663"/>
      <c r="AO568" s="663"/>
      <c r="AP568" s="663"/>
      <c r="AQ568" s="663"/>
      <c r="AR568" s="663"/>
      <c r="AS568" s="663"/>
      <c r="AT568" s="663"/>
      <c r="AU568" s="663"/>
      <c r="AV568" s="663"/>
      <c r="AW568" s="663"/>
      <c r="AX568" s="663"/>
      <c r="AY568" s="663"/>
      <c r="AZ568" s="663"/>
      <c r="BA568" s="663"/>
      <c r="BB568" s="663"/>
      <c r="BC568" s="663"/>
      <c r="BD568" s="663"/>
      <c r="BE568" s="663"/>
      <c r="BF568" s="663"/>
      <c r="BG568" s="663"/>
      <c r="BH568" s="663"/>
      <c r="BI568" s="663"/>
      <c r="BJ568" s="663"/>
      <c r="BK568" s="663"/>
      <c r="BL568" s="663"/>
      <c r="BM568" s="663"/>
      <c r="BN568" s="663"/>
      <c r="BO568" s="663"/>
      <c r="BP568" s="663"/>
      <c r="BQ568" s="663"/>
      <c r="BR568" s="663"/>
      <c r="BS568" s="663"/>
      <c r="BT568" s="663"/>
      <c r="BU568" s="663"/>
      <c r="BV568" s="663"/>
      <c r="BW568" s="663"/>
      <c r="BX568" s="663"/>
      <c r="BY568" s="663"/>
      <c r="BZ568" s="663"/>
      <c r="CA568" s="663"/>
      <c r="CB568" s="663"/>
      <c r="CC568" s="663"/>
      <c r="CD568" s="663"/>
      <c r="CE568" s="663"/>
      <c r="CF568" s="663"/>
      <c r="CG568" s="663"/>
      <c r="CH568" s="663"/>
      <c r="CI568" s="663"/>
      <c r="CJ568" s="663"/>
      <c r="CK568" s="663"/>
      <c r="CL568" s="663"/>
      <c r="CM568" s="663"/>
      <c r="CN568" s="663"/>
      <c r="CO568" s="663"/>
      <c r="CP568" s="663"/>
      <c r="CQ568" s="663"/>
      <c r="CR568" s="663"/>
      <c r="CS568" s="663"/>
      <c r="CT568" s="663"/>
      <c r="CU568" s="663"/>
      <c r="CV568" s="663"/>
      <c r="CW568" s="663"/>
      <c r="CX568" s="663"/>
      <c r="CY568" s="663"/>
      <c r="CZ568" s="663"/>
      <c r="DA568" s="663"/>
      <c r="DB568" s="663"/>
      <c r="DC568" s="663"/>
      <c r="DD568" s="663"/>
      <c r="DE568" s="663"/>
      <c r="DF568" s="663"/>
      <c r="DG568" s="663"/>
      <c r="DH568" s="663"/>
      <c r="DI568" s="663"/>
      <c r="DJ568" s="663"/>
      <c r="DK568" s="663"/>
      <c r="DL568" s="663"/>
      <c r="DM568" s="663"/>
      <c r="DN568" s="663"/>
      <c r="DO568" s="663"/>
      <c r="DP568" s="663"/>
      <c r="DQ568" s="663"/>
      <c r="DR568" s="663"/>
      <c r="DS568" s="663"/>
      <c r="DT568" s="663"/>
      <c r="DU568" s="663"/>
      <c r="DV568" s="663"/>
      <c r="DW568" s="663"/>
      <c r="DX568" s="663"/>
      <c r="DY568" s="663"/>
      <c r="DZ568" s="663"/>
      <c r="EA568" s="663"/>
      <c r="EB568" s="663"/>
      <c r="EC568" s="663"/>
      <c r="ED568" s="663"/>
      <c r="EE568" s="663"/>
      <c r="EF568" s="663"/>
      <c r="EG568" s="663"/>
      <c r="EH568" s="663"/>
      <c r="EI568" s="663"/>
      <c r="EJ568" s="663"/>
      <c r="EK568" s="663"/>
      <c r="EL568" s="663"/>
      <c r="EM568" s="663"/>
      <c r="EN568" s="663"/>
      <c r="EO568" s="663"/>
      <c r="EP568" s="663"/>
      <c r="EQ568" s="663"/>
      <c r="ER568" s="663"/>
      <c r="ES568" s="663"/>
      <c r="ET568" s="663"/>
      <c r="EU568" s="663"/>
      <c r="EV568" s="663"/>
      <c r="EW568" s="663"/>
      <c r="EX568" s="663"/>
      <c r="EY568" s="663"/>
      <c r="EZ568" s="663"/>
      <c r="FA568" s="663"/>
      <c r="FB568" s="663"/>
      <c r="FC568" s="663"/>
      <c r="FD568" s="663"/>
      <c r="FE568" s="663"/>
      <c r="FF568" s="663"/>
      <c r="FG568" s="663"/>
      <c r="FH568" s="663"/>
      <c r="FI568" s="663"/>
      <c r="FJ568" s="663"/>
      <c r="FK568" s="663"/>
      <c r="FL568" s="663"/>
      <c r="FM568" s="663"/>
      <c r="FN568" s="663"/>
      <c r="FO568" s="663"/>
      <c r="FP568" s="663"/>
      <c r="FQ568" s="663"/>
      <c r="FR568" s="663"/>
      <c r="FS568" s="663"/>
      <c r="FT568" s="663"/>
      <c r="FU568" s="663"/>
      <c r="FV568" s="663"/>
      <c r="FW568" s="663"/>
      <c r="FX568" s="663"/>
      <c r="FY568" s="663"/>
      <c r="FZ568" s="663"/>
      <c r="GA568" s="663"/>
      <c r="GB568" s="663"/>
      <c r="GC568" s="663"/>
      <c r="GD568" s="663"/>
      <c r="GE568" s="663"/>
      <c r="GF568" s="663"/>
      <c r="GG568" s="663"/>
    </row>
    <row r="569" spans="1:189">
      <c r="A569" s="670"/>
      <c r="B569" s="670"/>
      <c r="C569" s="670"/>
      <c r="D569" s="670"/>
      <c r="E569" s="670"/>
      <c r="F569" s="670"/>
      <c r="G569" s="673"/>
      <c r="H569" s="627"/>
      <c r="I569" s="627"/>
      <c r="J569" s="672"/>
      <c r="K569" s="663"/>
      <c r="L569" s="663"/>
      <c r="M569" s="663"/>
      <c r="N569" s="663"/>
      <c r="O569" s="663"/>
      <c r="P569" s="663"/>
      <c r="Q569" s="663"/>
      <c r="R569" s="663"/>
      <c r="S569" s="663"/>
      <c r="T569" s="663"/>
      <c r="U569" s="663"/>
      <c r="V569" s="663"/>
      <c r="W569" s="663"/>
      <c r="X569" s="663"/>
      <c r="Y569" s="663"/>
      <c r="Z569" s="663"/>
      <c r="AA569" s="663"/>
      <c r="AB569" s="663"/>
      <c r="AC569" s="663"/>
      <c r="AD569" s="663"/>
      <c r="AE569" s="663"/>
      <c r="AF569" s="663"/>
      <c r="AG569" s="663"/>
      <c r="AH569" s="663"/>
      <c r="AI569" s="663"/>
      <c r="AJ569" s="663"/>
      <c r="AK569" s="663"/>
      <c r="AL569" s="663"/>
      <c r="AM569" s="663"/>
      <c r="AN569" s="663"/>
      <c r="AO569" s="663"/>
      <c r="AP569" s="663"/>
      <c r="AQ569" s="663"/>
      <c r="AR569" s="663"/>
      <c r="AS569" s="663"/>
      <c r="AT569" s="663"/>
      <c r="AU569" s="663"/>
      <c r="AV569" s="663"/>
      <c r="AW569" s="663"/>
      <c r="AX569" s="663"/>
      <c r="AY569" s="663"/>
      <c r="AZ569" s="663"/>
      <c r="BA569" s="663"/>
      <c r="BB569" s="663"/>
      <c r="BC569" s="663"/>
      <c r="BD569" s="663"/>
      <c r="BE569" s="663"/>
      <c r="BF569" s="663"/>
      <c r="BG569" s="663"/>
      <c r="BH569" s="663"/>
      <c r="BI569" s="663"/>
      <c r="BJ569" s="663"/>
      <c r="BK569" s="663"/>
      <c r="BL569" s="663"/>
      <c r="BM569" s="663"/>
      <c r="BN569" s="663"/>
      <c r="BO569" s="663"/>
      <c r="BP569" s="663"/>
      <c r="BQ569" s="663"/>
      <c r="BR569" s="663"/>
      <c r="BS569" s="663"/>
      <c r="BT569" s="663"/>
      <c r="BU569" s="663"/>
      <c r="BV569" s="663"/>
      <c r="BW569" s="663"/>
      <c r="BX569" s="663"/>
      <c r="BY569" s="663"/>
      <c r="BZ569" s="663"/>
      <c r="CA569" s="663"/>
      <c r="CB569" s="663"/>
      <c r="CC569" s="663"/>
      <c r="CD569" s="663"/>
      <c r="CE569" s="663"/>
      <c r="CF569" s="663"/>
      <c r="CG569" s="663"/>
      <c r="CH569" s="663"/>
      <c r="CI569" s="663"/>
      <c r="CJ569" s="663"/>
      <c r="CK569" s="663"/>
      <c r="CL569" s="663"/>
      <c r="CM569" s="663"/>
      <c r="CN569" s="663"/>
      <c r="CO569" s="663"/>
      <c r="CP569" s="663"/>
      <c r="CQ569" s="663"/>
      <c r="CR569" s="663"/>
      <c r="CS569" s="663"/>
      <c r="CT569" s="663"/>
      <c r="CU569" s="663"/>
      <c r="CV569" s="663"/>
      <c r="CW569" s="663"/>
      <c r="CX569" s="663"/>
      <c r="CY569" s="663"/>
      <c r="CZ569" s="663"/>
      <c r="DA569" s="663"/>
      <c r="DB569" s="663"/>
      <c r="DC569" s="663"/>
      <c r="DD569" s="663"/>
      <c r="DE569" s="663"/>
      <c r="DF569" s="663"/>
      <c r="DG569" s="663"/>
      <c r="DH569" s="663"/>
      <c r="DI569" s="663"/>
      <c r="DJ569" s="663"/>
      <c r="DK569" s="663"/>
      <c r="DL569" s="663"/>
      <c r="DM569" s="663"/>
      <c r="DN569" s="663"/>
      <c r="DO569" s="663"/>
      <c r="DP569" s="663"/>
      <c r="DQ569" s="663"/>
      <c r="DR569" s="663"/>
      <c r="DS569" s="663"/>
      <c r="DT569" s="663"/>
      <c r="DU569" s="663"/>
      <c r="DV569" s="663"/>
      <c r="DW569" s="663"/>
      <c r="DX569" s="663"/>
      <c r="DY569" s="663"/>
      <c r="DZ569" s="663"/>
      <c r="EA569" s="663"/>
      <c r="EB569" s="663"/>
      <c r="EC569" s="663"/>
      <c r="ED569" s="663"/>
      <c r="EE569" s="663"/>
      <c r="EF569" s="663"/>
      <c r="EG569" s="663"/>
      <c r="EH569" s="663"/>
      <c r="EI569" s="663"/>
      <c r="EJ569" s="663"/>
      <c r="EK569" s="663"/>
      <c r="EL569" s="663"/>
      <c r="EM569" s="663"/>
      <c r="EN569" s="663"/>
      <c r="EO569" s="663"/>
      <c r="EP569" s="663"/>
      <c r="EQ569" s="663"/>
      <c r="ER569" s="663"/>
      <c r="ES569" s="663"/>
      <c r="ET569" s="663"/>
      <c r="EU569" s="663"/>
      <c r="EV569" s="663"/>
      <c r="EW569" s="663"/>
      <c r="EX569" s="663"/>
      <c r="EY569" s="663"/>
      <c r="EZ569" s="663"/>
      <c r="FA569" s="663"/>
      <c r="FB569" s="663"/>
      <c r="FC569" s="663"/>
      <c r="FD569" s="663"/>
      <c r="FE569" s="663"/>
      <c r="FF569" s="663"/>
      <c r="FG569" s="663"/>
      <c r="FH569" s="663"/>
      <c r="FI569" s="663"/>
      <c r="FJ569" s="663"/>
      <c r="FK569" s="663"/>
      <c r="FL569" s="663"/>
      <c r="FM569" s="663"/>
      <c r="FN569" s="663"/>
      <c r="FO569" s="663"/>
      <c r="FP569" s="663"/>
      <c r="FQ569" s="663"/>
      <c r="FR569" s="663"/>
      <c r="FS569" s="663"/>
      <c r="FT569" s="663"/>
      <c r="FU569" s="663"/>
      <c r="FV569" s="663"/>
      <c r="FW569" s="663"/>
      <c r="FX569" s="663"/>
      <c r="FY569" s="663"/>
      <c r="FZ569" s="663"/>
      <c r="GA569" s="663"/>
      <c r="GB569" s="663"/>
      <c r="GC569" s="663"/>
      <c r="GD569" s="663"/>
      <c r="GE569" s="663"/>
      <c r="GF569" s="663"/>
      <c r="GG569" s="663"/>
    </row>
    <row r="570" spans="1:189">
      <c r="A570" s="670"/>
      <c r="B570" s="670"/>
      <c r="C570" s="670"/>
      <c r="D570" s="670"/>
      <c r="E570" s="670"/>
      <c r="F570" s="670"/>
      <c r="G570" s="673"/>
      <c r="H570" s="627"/>
      <c r="I570" s="627"/>
      <c r="J570" s="672"/>
      <c r="K570" s="663"/>
      <c r="L570" s="663"/>
      <c r="M570" s="663"/>
      <c r="N570" s="663"/>
      <c r="O570" s="663"/>
      <c r="P570" s="663"/>
      <c r="Q570" s="663"/>
      <c r="R570" s="663"/>
      <c r="S570" s="663"/>
      <c r="T570" s="663"/>
      <c r="U570" s="663"/>
      <c r="V570" s="663"/>
      <c r="W570" s="663"/>
      <c r="X570" s="663"/>
      <c r="Y570" s="663"/>
      <c r="Z570" s="663"/>
      <c r="AA570" s="663"/>
      <c r="AB570" s="663"/>
      <c r="AC570" s="663"/>
      <c r="AD570" s="663"/>
      <c r="AE570" s="663"/>
      <c r="AF570" s="663"/>
      <c r="AG570" s="663"/>
      <c r="AH570" s="663"/>
      <c r="AI570" s="663"/>
      <c r="AJ570" s="663"/>
      <c r="AK570" s="663"/>
      <c r="AL570" s="663"/>
      <c r="AM570" s="663"/>
      <c r="AN570" s="663"/>
      <c r="AO570" s="663"/>
      <c r="AP570" s="663"/>
      <c r="AQ570" s="663"/>
      <c r="AR570" s="663"/>
      <c r="AS570" s="663"/>
      <c r="AT570" s="663"/>
      <c r="AU570" s="663"/>
      <c r="AV570" s="663"/>
      <c r="AW570" s="663"/>
      <c r="AX570" s="663"/>
      <c r="AY570" s="663"/>
      <c r="AZ570" s="663"/>
      <c r="BA570" s="663"/>
      <c r="BB570" s="663"/>
      <c r="BC570" s="663"/>
      <c r="BD570" s="663"/>
      <c r="BE570" s="663"/>
      <c r="BF570" s="663"/>
      <c r="BG570" s="663"/>
      <c r="BH570" s="663"/>
      <c r="BI570" s="663"/>
      <c r="BJ570" s="663"/>
      <c r="BK570" s="663"/>
      <c r="BL570" s="663"/>
      <c r="BM570" s="663"/>
      <c r="BN570" s="663"/>
      <c r="BO570" s="663"/>
      <c r="BP570" s="663"/>
      <c r="BQ570" s="663"/>
      <c r="BR570" s="663"/>
      <c r="BS570" s="663"/>
      <c r="BT570" s="663"/>
      <c r="BU570" s="663"/>
      <c r="BV570" s="663"/>
      <c r="BW570" s="663"/>
      <c r="BX570" s="663"/>
      <c r="BY570" s="663"/>
      <c r="BZ570" s="663"/>
      <c r="CA570" s="663"/>
      <c r="CB570" s="663"/>
      <c r="CC570" s="663"/>
      <c r="CD570" s="663"/>
      <c r="CE570" s="663"/>
      <c r="CF570" s="663"/>
      <c r="CG570" s="663"/>
      <c r="CH570" s="663"/>
      <c r="CI570" s="663"/>
      <c r="CJ570" s="663"/>
      <c r="CK570" s="663"/>
      <c r="CL570" s="663"/>
      <c r="CM570" s="663"/>
      <c r="CN570" s="663"/>
      <c r="CO570" s="663"/>
      <c r="CP570" s="663"/>
      <c r="CQ570" s="663"/>
      <c r="CR570" s="663"/>
      <c r="CS570" s="663"/>
      <c r="CT570" s="663"/>
      <c r="CU570" s="663"/>
      <c r="CV570" s="663"/>
      <c r="CW570" s="663"/>
      <c r="CX570" s="663"/>
      <c r="CY570" s="663"/>
      <c r="CZ570" s="663"/>
      <c r="DA570" s="663"/>
      <c r="DB570" s="663"/>
      <c r="DC570" s="663"/>
      <c r="DD570" s="663"/>
      <c r="DE570" s="663"/>
      <c r="DF570" s="663"/>
      <c r="DG570" s="663"/>
      <c r="DH570" s="663"/>
      <c r="DI570" s="663"/>
      <c r="DJ570" s="663"/>
      <c r="DK570" s="663"/>
      <c r="DL570" s="663"/>
      <c r="DM570" s="663"/>
      <c r="DN570" s="663"/>
      <c r="DO570" s="663"/>
      <c r="DP570" s="663"/>
      <c r="DQ570" s="663"/>
      <c r="DR570" s="663"/>
      <c r="DS570" s="663"/>
      <c r="DT570" s="663"/>
      <c r="DU570" s="663"/>
      <c r="DV570" s="663"/>
      <c r="DW570" s="663"/>
      <c r="DX570" s="663"/>
      <c r="DY570" s="663"/>
      <c r="DZ570" s="663"/>
      <c r="EA570" s="663"/>
      <c r="EB570" s="663"/>
      <c r="EC570" s="663"/>
      <c r="ED570" s="663"/>
      <c r="EE570" s="663"/>
      <c r="EF570" s="663"/>
      <c r="EG570" s="663"/>
      <c r="EH570" s="663"/>
      <c r="EI570" s="663"/>
      <c r="EJ570" s="663"/>
      <c r="EK570" s="663"/>
      <c r="EL570" s="663"/>
      <c r="EM570" s="663"/>
      <c r="EN570" s="663"/>
      <c r="EO570" s="663"/>
      <c r="EP570" s="663"/>
      <c r="EQ570" s="663"/>
      <c r="ER570" s="663"/>
      <c r="ES570" s="663"/>
      <c r="ET570" s="663"/>
      <c r="EU570" s="663"/>
      <c r="EV570" s="663"/>
      <c r="EW570" s="663"/>
      <c r="EX570" s="663"/>
      <c r="EY570" s="663"/>
      <c r="EZ570" s="663"/>
      <c r="FA570" s="663"/>
      <c r="FB570" s="663"/>
      <c r="FC570" s="663"/>
      <c r="FD570" s="663"/>
      <c r="FE570" s="663"/>
      <c r="FF570" s="663"/>
      <c r="FG570" s="663"/>
      <c r="FH570" s="663"/>
      <c r="FI570" s="663"/>
      <c r="FJ570" s="663"/>
      <c r="FK570" s="663"/>
      <c r="FL570" s="663"/>
      <c r="FM570" s="663"/>
      <c r="FN570" s="663"/>
      <c r="FO570" s="663"/>
      <c r="FP570" s="663"/>
      <c r="FQ570" s="663"/>
      <c r="FR570" s="663"/>
      <c r="FS570" s="663"/>
      <c r="FT570" s="663"/>
      <c r="FU570" s="663"/>
      <c r="FV570" s="663"/>
      <c r="FW570" s="663"/>
      <c r="FX570" s="663"/>
      <c r="FY570" s="663"/>
      <c r="FZ570" s="663"/>
      <c r="GA570" s="663"/>
      <c r="GB570" s="663"/>
      <c r="GC570" s="663"/>
      <c r="GD570" s="663"/>
      <c r="GE570" s="663"/>
      <c r="GF570" s="663"/>
      <c r="GG570" s="663"/>
    </row>
    <row r="571" spans="1:189">
      <c r="A571" s="670"/>
      <c r="B571" s="670"/>
      <c r="C571" s="670"/>
      <c r="D571" s="670"/>
      <c r="E571" s="670"/>
      <c r="F571" s="670"/>
      <c r="G571" s="673"/>
      <c r="H571" s="627"/>
      <c r="I571" s="627"/>
      <c r="J571" s="672"/>
      <c r="K571" s="663"/>
      <c r="L571" s="663"/>
      <c r="M571" s="663"/>
      <c r="N571" s="663"/>
      <c r="O571" s="663"/>
      <c r="P571" s="663"/>
      <c r="Q571" s="663"/>
      <c r="R571" s="663"/>
      <c r="S571" s="663"/>
      <c r="T571" s="663"/>
      <c r="U571" s="663"/>
      <c r="V571" s="663"/>
      <c r="W571" s="663"/>
      <c r="X571" s="663"/>
      <c r="Y571" s="663"/>
      <c r="Z571" s="663"/>
      <c r="AA571" s="663"/>
      <c r="AB571" s="663"/>
      <c r="AC571" s="663"/>
      <c r="AD571" s="663"/>
      <c r="AE571" s="663"/>
      <c r="AF571" s="663"/>
      <c r="AG571" s="663"/>
      <c r="AH571" s="663"/>
      <c r="AI571" s="663"/>
      <c r="AJ571" s="663"/>
      <c r="AK571" s="663"/>
      <c r="AL571" s="663"/>
      <c r="AM571" s="663"/>
      <c r="AN571" s="663"/>
      <c r="AO571" s="663"/>
      <c r="AP571" s="663"/>
      <c r="AQ571" s="663"/>
      <c r="AR571" s="663"/>
      <c r="AS571" s="663"/>
      <c r="AT571" s="663"/>
      <c r="AU571" s="663"/>
      <c r="AV571" s="663"/>
      <c r="AW571" s="663"/>
      <c r="AX571" s="663"/>
      <c r="AY571" s="663"/>
      <c r="AZ571" s="663"/>
      <c r="BA571" s="663"/>
      <c r="BB571" s="663"/>
      <c r="BC571" s="663"/>
      <c r="BD571" s="663"/>
      <c r="BE571" s="663"/>
      <c r="BF571" s="663"/>
      <c r="BG571" s="663"/>
      <c r="BH571" s="663"/>
      <c r="BI571" s="663"/>
      <c r="BJ571" s="663"/>
      <c r="BK571" s="663"/>
      <c r="BL571" s="663"/>
      <c r="BM571" s="663"/>
      <c r="BN571" s="663"/>
      <c r="BO571" s="663"/>
      <c r="BP571" s="663"/>
      <c r="BQ571" s="663"/>
      <c r="BR571" s="663"/>
      <c r="BS571" s="663"/>
      <c r="BT571" s="663"/>
      <c r="BU571" s="663"/>
      <c r="BV571" s="663"/>
      <c r="BW571" s="663"/>
      <c r="BX571" s="663"/>
      <c r="BY571" s="663"/>
      <c r="BZ571" s="663"/>
      <c r="CA571" s="663"/>
      <c r="CB571" s="663"/>
      <c r="CC571" s="663"/>
      <c r="CD571" s="663"/>
      <c r="CE571" s="663"/>
      <c r="CF571" s="663"/>
      <c r="CG571" s="663"/>
      <c r="CH571" s="663"/>
      <c r="CI571" s="663"/>
      <c r="CJ571" s="663"/>
      <c r="CK571" s="663"/>
      <c r="CL571" s="663"/>
      <c r="CM571" s="663"/>
      <c r="CN571" s="663"/>
      <c r="CO571" s="663"/>
      <c r="CP571" s="663"/>
      <c r="CQ571" s="663"/>
      <c r="CR571" s="663"/>
      <c r="CS571" s="663"/>
      <c r="CT571" s="663"/>
      <c r="CU571" s="663"/>
      <c r="CV571" s="663"/>
      <c r="CW571" s="663"/>
      <c r="CX571" s="663"/>
      <c r="CY571" s="663"/>
      <c r="CZ571" s="663"/>
      <c r="DA571" s="663"/>
      <c r="DB571" s="663"/>
      <c r="DC571" s="663"/>
      <c r="DD571" s="663"/>
      <c r="DE571" s="663"/>
      <c r="DF571" s="663"/>
      <c r="DG571" s="663"/>
      <c r="DH571" s="663"/>
      <c r="DI571" s="663"/>
      <c r="DJ571" s="663"/>
      <c r="DK571" s="663"/>
      <c r="DL571" s="663"/>
      <c r="DM571" s="663"/>
      <c r="DN571" s="663"/>
      <c r="DO571" s="663"/>
      <c r="DP571" s="663"/>
      <c r="DQ571" s="663"/>
      <c r="DR571" s="663"/>
      <c r="DS571" s="663"/>
      <c r="DT571" s="663"/>
      <c r="DU571" s="663"/>
      <c r="DV571" s="663"/>
      <c r="DW571" s="663"/>
      <c r="DX571" s="663"/>
      <c r="DY571" s="663"/>
      <c r="DZ571" s="663"/>
      <c r="EA571" s="663"/>
      <c r="EB571" s="663"/>
      <c r="EC571" s="663"/>
      <c r="ED571" s="663"/>
      <c r="EE571" s="663"/>
      <c r="EF571" s="663"/>
      <c r="EG571" s="663"/>
      <c r="EH571" s="663"/>
      <c r="EI571" s="663"/>
      <c r="EJ571" s="663"/>
      <c r="EK571" s="663"/>
      <c r="EL571" s="663"/>
      <c r="EM571" s="663"/>
      <c r="EN571" s="663"/>
      <c r="EO571" s="663"/>
      <c r="EP571" s="663"/>
      <c r="EQ571" s="663"/>
      <c r="ER571" s="663"/>
      <c r="ES571" s="663"/>
      <c r="ET571" s="663"/>
      <c r="EU571" s="663"/>
      <c r="EV571" s="663"/>
      <c r="EW571" s="663"/>
      <c r="EX571" s="663"/>
      <c r="EY571" s="663"/>
      <c r="EZ571" s="663"/>
      <c r="FA571" s="663"/>
      <c r="FB571" s="663"/>
      <c r="FC571" s="663"/>
      <c r="FD571" s="663"/>
      <c r="FE571" s="663"/>
      <c r="FF571" s="663"/>
      <c r="FG571" s="663"/>
      <c r="FH571" s="663"/>
      <c r="FI571" s="663"/>
      <c r="FJ571" s="663"/>
      <c r="FK571" s="663"/>
      <c r="FL571" s="663"/>
      <c r="FM571" s="663"/>
      <c r="FN571" s="663"/>
      <c r="FO571" s="663"/>
      <c r="FP571" s="663"/>
      <c r="FQ571" s="663"/>
      <c r="FR571" s="663"/>
      <c r="FS571" s="663"/>
      <c r="FT571" s="663"/>
      <c r="FU571" s="663"/>
      <c r="FV571" s="663"/>
      <c r="FW571" s="663"/>
      <c r="FX571" s="663"/>
      <c r="FY571" s="663"/>
      <c r="FZ571" s="663"/>
      <c r="GA571" s="663"/>
      <c r="GB571" s="663"/>
      <c r="GC571" s="663"/>
      <c r="GD571" s="663"/>
      <c r="GE571" s="663"/>
      <c r="GF571" s="663"/>
      <c r="GG571" s="663"/>
    </row>
    <row r="572" spans="1:189">
      <c r="A572" s="670"/>
      <c r="B572" s="670"/>
      <c r="C572" s="670"/>
      <c r="D572" s="670"/>
      <c r="E572" s="670"/>
      <c r="F572" s="670"/>
      <c r="G572" s="673"/>
      <c r="H572" s="627"/>
      <c r="I572" s="627"/>
      <c r="J572" s="672"/>
      <c r="K572" s="663"/>
      <c r="L572" s="663"/>
      <c r="M572" s="663"/>
      <c r="N572" s="663"/>
      <c r="O572" s="663"/>
      <c r="P572" s="663"/>
      <c r="Q572" s="663"/>
      <c r="R572" s="663"/>
      <c r="S572" s="663"/>
      <c r="T572" s="663"/>
      <c r="U572" s="663"/>
      <c r="V572" s="663"/>
      <c r="W572" s="663"/>
      <c r="X572" s="663"/>
      <c r="Y572" s="663"/>
      <c r="Z572" s="663"/>
      <c r="AA572" s="663"/>
      <c r="AB572" s="663"/>
      <c r="AC572" s="663"/>
      <c r="AD572" s="663"/>
      <c r="AE572" s="663"/>
      <c r="AF572" s="663"/>
      <c r="AG572" s="663"/>
      <c r="AH572" s="663"/>
      <c r="AI572" s="663"/>
      <c r="AJ572" s="663"/>
      <c r="AK572" s="663"/>
      <c r="AL572" s="663"/>
      <c r="AM572" s="663"/>
      <c r="AN572" s="663"/>
      <c r="AO572" s="663"/>
      <c r="AP572" s="663"/>
      <c r="AQ572" s="663"/>
      <c r="AR572" s="663"/>
      <c r="AS572" s="663"/>
      <c r="AT572" s="663"/>
      <c r="AU572" s="663"/>
      <c r="AV572" s="663"/>
      <c r="AW572" s="663"/>
      <c r="AX572" s="663"/>
      <c r="AY572" s="663"/>
      <c r="AZ572" s="663"/>
      <c r="BA572" s="663"/>
      <c r="BB572" s="663"/>
      <c r="BC572" s="663"/>
      <c r="BD572" s="663"/>
      <c r="BE572" s="663"/>
      <c r="BF572" s="663"/>
      <c r="BG572" s="663"/>
      <c r="BH572" s="663"/>
      <c r="BI572" s="663"/>
      <c r="BJ572" s="663"/>
      <c r="BK572" s="663"/>
      <c r="BL572" s="663"/>
      <c r="BM572" s="663"/>
      <c r="BN572" s="663"/>
      <c r="BO572" s="663"/>
      <c r="BP572" s="663"/>
      <c r="BQ572" s="663"/>
      <c r="BR572" s="663"/>
      <c r="BS572" s="663"/>
      <c r="BT572" s="663"/>
      <c r="BU572" s="663"/>
      <c r="BV572" s="663"/>
      <c r="BW572" s="663"/>
      <c r="BX572" s="663"/>
      <c r="BY572" s="663"/>
      <c r="BZ572" s="663"/>
      <c r="CA572" s="663"/>
      <c r="CB572" s="663"/>
      <c r="CC572" s="663"/>
      <c r="CD572" s="663"/>
      <c r="CE572" s="663"/>
      <c r="CF572" s="663"/>
      <c r="CG572" s="663"/>
      <c r="CH572" s="663"/>
      <c r="CI572" s="663"/>
      <c r="CJ572" s="663"/>
      <c r="CK572" s="663"/>
      <c r="CL572" s="663"/>
      <c r="CM572" s="663"/>
      <c r="CN572" s="663"/>
      <c r="CO572" s="663"/>
      <c r="CP572" s="663"/>
      <c r="CQ572" s="663"/>
      <c r="CR572" s="663"/>
      <c r="CS572" s="663"/>
      <c r="CT572" s="663"/>
      <c r="CU572" s="663"/>
      <c r="CV572" s="663"/>
      <c r="CW572" s="663"/>
      <c r="CX572" s="663"/>
      <c r="CY572" s="663"/>
      <c r="CZ572" s="663"/>
      <c r="DA572" s="663"/>
      <c r="DB572" s="663"/>
      <c r="DC572" s="663"/>
      <c r="DD572" s="663"/>
      <c r="DE572" s="663"/>
      <c r="DF572" s="663"/>
      <c r="DG572" s="663"/>
      <c r="DH572" s="663"/>
      <c r="DI572" s="663"/>
      <c r="DJ572" s="663"/>
      <c r="DK572" s="663"/>
      <c r="DL572" s="663"/>
      <c r="DM572" s="663"/>
      <c r="DN572" s="663"/>
      <c r="DO572" s="663"/>
      <c r="DP572" s="663"/>
      <c r="DQ572" s="663"/>
      <c r="DR572" s="663"/>
      <c r="DS572" s="663"/>
      <c r="DT572" s="663"/>
      <c r="DU572" s="663"/>
      <c r="DV572" s="663"/>
      <c r="DW572" s="663"/>
      <c r="DX572" s="663"/>
      <c r="DY572" s="663"/>
      <c r="DZ572" s="663"/>
      <c r="EA572" s="663"/>
      <c r="EB572" s="663"/>
      <c r="EC572" s="663"/>
      <c r="ED572" s="663"/>
      <c r="EE572" s="663"/>
      <c r="EF572" s="663"/>
      <c r="EG572" s="663"/>
      <c r="EH572" s="663"/>
      <c r="EI572" s="663"/>
      <c r="EJ572" s="663"/>
      <c r="EK572" s="663"/>
      <c r="EL572" s="663"/>
      <c r="EM572" s="663"/>
      <c r="EN572" s="663"/>
      <c r="EO572" s="663"/>
      <c r="EP572" s="663"/>
      <c r="EQ572" s="663"/>
      <c r="ER572" s="663"/>
      <c r="ES572" s="663"/>
      <c r="ET572" s="663"/>
      <c r="EU572" s="663"/>
      <c r="EV572" s="663"/>
      <c r="EW572" s="663"/>
      <c r="EX572" s="663"/>
      <c r="EY572" s="663"/>
      <c r="EZ572" s="663"/>
      <c r="FA572" s="663"/>
      <c r="FB572" s="663"/>
      <c r="FC572" s="663"/>
      <c r="FD572" s="663"/>
      <c r="FE572" s="663"/>
      <c r="FF572" s="663"/>
      <c r="FG572" s="663"/>
      <c r="FH572" s="663"/>
      <c r="FI572" s="663"/>
      <c r="FJ572" s="663"/>
      <c r="FK572" s="663"/>
      <c r="FL572" s="663"/>
      <c r="FM572" s="663"/>
      <c r="FN572" s="663"/>
      <c r="FO572" s="663"/>
      <c r="FP572" s="663"/>
      <c r="FQ572" s="663"/>
      <c r="FR572" s="663"/>
      <c r="FS572" s="663"/>
      <c r="FT572" s="663"/>
      <c r="FU572" s="663"/>
      <c r="FV572" s="663"/>
      <c r="FW572" s="663"/>
      <c r="FX572" s="663"/>
      <c r="FY572" s="663"/>
      <c r="FZ572" s="663"/>
      <c r="GA572" s="663"/>
      <c r="GB572" s="663"/>
      <c r="GC572" s="663"/>
      <c r="GD572" s="663"/>
      <c r="GE572" s="663"/>
      <c r="GF572" s="663"/>
      <c r="GG572" s="663"/>
    </row>
    <row r="573" spans="1:189">
      <c r="A573" s="670"/>
      <c r="B573" s="670"/>
      <c r="C573" s="670"/>
      <c r="D573" s="670"/>
      <c r="E573" s="670"/>
      <c r="F573" s="670"/>
      <c r="G573" s="673"/>
      <c r="H573" s="627"/>
      <c r="I573" s="627"/>
      <c r="J573" s="672"/>
      <c r="K573" s="663"/>
      <c r="L573" s="663"/>
      <c r="M573" s="663"/>
      <c r="N573" s="663"/>
      <c r="O573" s="663"/>
      <c r="P573" s="663"/>
      <c r="Q573" s="663"/>
      <c r="R573" s="663"/>
      <c r="S573" s="663"/>
      <c r="T573" s="663"/>
      <c r="U573" s="663"/>
      <c r="V573" s="663"/>
      <c r="W573" s="663"/>
      <c r="X573" s="663"/>
      <c r="Y573" s="663"/>
      <c r="Z573" s="663"/>
      <c r="AA573" s="663"/>
      <c r="AB573" s="663"/>
      <c r="AC573" s="663"/>
      <c r="AD573" s="663"/>
      <c r="AE573" s="663"/>
      <c r="AF573" s="663"/>
      <c r="AG573" s="663"/>
      <c r="AH573" s="663"/>
      <c r="AI573" s="663"/>
      <c r="AJ573" s="663"/>
      <c r="AK573" s="663"/>
      <c r="AL573" s="663"/>
      <c r="AM573" s="663"/>
      <c r="AN573" s="663"/>
      <c r="AO573" s="663"/>
      <c r="AP573" s="663"/>
      <c r="AQ573" s="663"/>
      <c r="AR573" s="663"/>
      <c r="AS573" s="663"/>
      <c r="AT573" s="663"/>
      <c r="AU573" s="663"/>
      <c r="AV573" s="663"/>
      <c r="AW573" s="663"/>
      <c r="AX573" s="663"/>
      <c r="AY573" s="663"/>
      <c r="AZ573" s="663"/>
      <c r="BA573" s="663"/>
      <c r="BB573" s="663"/>
      <c r="BC573" s="663"/>
      <c r="BD573" s="663"/>
      <c r="BE573" s="663"/>
      <c r="BF573" s="663"/>
      <c r="BG573" s="663"/>
      <c r="BH573" s="663"/>
      <c r="BI573" s="663"/>
      <c r="BJ573" s="663"/>
      <c r="BK573" s="663"/>
      <c r="BL573" s="663"/>
      <c r="BM573" s="663"/>
      <c r="BN573" s="663"/>
      <c r="BO573" s="663"/>
      <c r="BP573" s="663"/>
      <c r="BQ573" s="663"/>
      <c r="BR573" s="663"/>
      <c r="BS573" s="663"/>
      <c r="BT573" s="663"/>
      <c r="BU573" s="663"/>
      <c r="BV573" s="663"/>
      <c r="BW573" s="663"/>
      <c r="BX573" s="663"/>
      <c r="BY573" s="663"/>
      <c r="BZ573" s="663"/>
      <c r="CA573" s="663"/>
      <c r="CB573" s="663"/>
      <c r="CC573" s="663"/>
      <c r="CD573" s="663"/>
      <c r="CE573" s="663"/>
      <c r="CF573" s="663"/>
      <c r="CG573" s="663"/>
      <c r="CH573" s="663"/>
      <c r="CI573" s="663"/>
      <c r="CJ573" s="663"/>
      <c r="CK573" s="663"/>
      <c r="CL573" s="663"/>
      <c r="CM573" s="663"/>
      <c r="CN573" s="663"/>
      <c r="CO573" s="663"/>
      <c r="CP573" s="663"/>
      <c r="CQ573" s="663"/>
      <c r="CR573" s="663"/>
      <c r="CS573" s="663"/>
      <c r="CT573" s="663"/>
      <c r="CU573" s="663"/>
      <c r="CV573" s="663"/>
      <c r="CW573" s="663"/>
      <c r="CX573" s="663"/>
      <c r="CY573" s="663"/>
      <c r="CZ573" s="663"/>
      <c r="DA573" s="663"/>
      <c r="DB573" s="663"/>
      <c r="DC573" s="663"/>
      <c r="DD573" s="663"/>
      <c r="DE573" s="663"/>
      <c r="DF573" s="663"/>
      <c r="DG573" s="663"/>
      <c r="DH573" s="663"/>
      <c r="DI573" s="663"/>
      <c r="DJ573" s="663"/>
      <c r="DK573" s="663"/>
      <c r="DL573" s="663"/>
      <c r="DM573" s="663"/>
      <c r="DN573" s="663"/>
      <c r="DO573" s="663"/>
      <c r="DP573" s="663"/>
      <c r="DQ573" s="663"/>
      <c r="DR573" s="663"/>
      <c r="DS573" s="663"/>
      <c r="DT573" s="663"/>
      <c r="DU573" s="663"/>
      <c r="DV573" s="663"/>
      <c r="DW573" s="663"/>
      <c r="DX573" s="663"/>
      <c r="DY573" s="663"/>
      <c r="DZ573" s="663"/>
      <c r="EA573" s="663"/>
      <c r="EB573" s="663"/>
      <c r="EC573" s="663"/>
      <c r="ED573" s="663"/>
      <c r="EE573" s="663"/>
      <c r="EF573" s="663"/>
      <c r="EG573" s="663"/>
      <c r="EH573" s="663"/>
      <c r="EI573" s="663"/>
      <c r="EJ573" s="663"/>
      <c r="EK573" s="663"/>
      <c r="EL573" s="663"/>
      <c r="EM573" s="663"/>
      <c r="EN573" s="663"/>
      <c r="EO573" s="663"/>
      <c r="EP573" s="663"/>
      <c r="EQ573" s="663"/>
      <c r="ER573" s="663"/>
      <c r="ES573" s="663"/>
      <c r="ET573" s="663"/>
      <c r="EU573" s="663"/>
      <c r="EV573" s="663"/>
      <c r="EW573" s="663"/>
      <c r="EX573" s="663"/>
      <c r="EY573" s="663"/>
      <c r="EZ573" s="663"/>
      <c r="FA573" s="663"/>
      <c r="FB573" s="663"/>
      <c r="FC573" s="663"/>
      <c r="FD573" s="663"/>
      <c r="FE573" s="663"/>
      <c r="FF573" s="663"/>
      <c r="FG573" s="663"/>
      <c r="FH573" s="663"/>
      <c r="FI573" s="663"/>
      <c r="FJ573" s="663"/>
      <c r="FK573" s="663"/>
      <c r="FL573" s="663"/>
      <c r="FM573" s="663"/>
      <c r="FN573" s="663"/>
      <c r="FO573" s="663"/>
      <c r="FP573" s="663"/>
      <c r="FQ573" s="663"/>
      <c r="FR573" s="663"/>
      <c r="FS573" s="663"/>
      <c r="FT573" s="663"/>
      <c r="FU573" s="663"/>
      <c r="FV573" s="663"/>
      <c r="FW573" s="663"/>
      <c r="FX573" s="663"/>
      <c r="FY573" s="663"/>
      <c r="FZ573" s="663"/>
      <c r="GA573" s="663"/>
      <c r="GB573" s="663"/>
      <c r="GC573" s="663"/>
      <c r="GD573" s="663"/>
      <c r="GE573" s="663"/>
      <c r="GF573" s="663"/>
      <c r="GG573" s="663"/>
    </row>
    <row r="574" spans="1:189">
      <c r="A574" s="670"/>
      <c r="B574" s="670"/>
      <c r="C574" s="670"/>
      <c r="D574" s="670"/>
      <c r="E574" s="670"/>
      <c r="F574" s="670"/>
      <c r="G574" s="673"/>
      <c r="H574" s="627"/>
      <c r="I574" s="627"/>
      <c r="J574" s="672"/>
      <c r="K574" s="663"/>
      <c r="L574" s="663"/>
      <c r="M574" s="663"/>
      <c r="N574" s="663"/>
      <c r="O574" s="663"/>
      <c r="P574" s="663"/>
      <c r="Q574" s="663"/>
      <c r="R574" s="663"/>
      <c r="S574" s="663"/>
      <c r="T574" s="663"/>
      <c r="U574" s="663"/>
      <c r="V574" s="663"/>
      <c r="W574" s="663"/>
      <c r="X574" s="663"/>
      <c r="Y574" s="663"/>
      <c r="Z574" s="663"/>
      <c r="AA574" s="663"/>
      <c r="AB574" s="663"/>
      <c r="AC574" s="663"/>
      <c r="AD574" s="663"/>
      <c r="AE574" s="663"/>
      <c r="AF574" s="663"/>
      <c r="AG574" s="663"/>
      <c r="AH574" s="663"/>
      <c r="AI574" s="663"/>
      <c r="AJ574" s="663"/>
      <c r="AK574" s="663"/>
      <c r="AL574" s="663"/>
      <c r="AM574" s="663"/>
      <c r="AN574" s="663"/>
      <c r="AO574" s="663"/>
      <c r="AP574" s="663"/>
      <c r="AQ574" s="663"/>
      <c r="AR574" s="663"/>
      <c r="AS574" s="663"/>
      <c r="AT574" s="663"/>
      <c r="AU574" s="663"/>
      <c r="AV574" s="663"/>
      <c r="AW574" s="663"/>
      <c r="AX574" s="663"/>
      <c r="AY574" s="663"/>
      <c r="AZ574" s="663"/>
      <c r="BA574" s="663"/>
      <c r="BB574" s="663"/>
      <c r="BC574" s="663"/>
      <c r="BD574" s="663"/>
      <c r="BE574" s="663"/>
      <c r="BF574" s="663"/>
      <c r="BG574" s="663"/>
      <c r="BH574" s="663"/>
      <c r="BI574" s="663"/>
      <c r="BJ574" s="663"/>
      <c r="BK574" s="663"/>
      <c r="BL574" s="663"/>
      <c r="BM574" s="663"/>
      <c r="BN574" s="663"/>
      <c r="BO574" s="663"/>
      <c r="BP574" s="663"/>
      <c r="BQ574" s="663"/>
      <c r="BR574" s="663"/>
      <c r="BS574" s="663"/>
      <c r="BT574" s="663"/>
      <c r="BU574" s="663"/>
      <c r="BV574" s="663"/>
      <c r="BW574" s="663"/>
      <c r="BX574" s="663"/>
      <c r="BY574" s="663"/>
      <c r="BZ574" s="663"/>
      <c r="CA574" s="663"/>
      <c r="CB574" s="663"/>
      <c r="CC574" s="663"/>
      <c r="CD574" s="663"/>
      <c r="CE574" s="663"/>
      <c r="CF574" s="663"/>
      <c r="CG574" s="663"/>
      <c r="CH574" s="663"/>
      <c r="CI574" s="663"/>
      <c r="CJ574" s="663"/>
      <c r="CK574" s="663"/>
      <c r="CL574" s="663"/>
      <c r="CM574" s="663"/>
      <c r="CN574" s="663"/>
      <c r="CO574" s="663"/>
      <c r="CP574" s="663"/>
      <c r="CQ574" s="663"/>
      <c r="CR574" s="663"/>
      <c r="CS574" s="663"/>
      <c r="CT574" s="663"/>
      <c r="CU574" s="663"/>
      <c r="CV574" s="663"/>
      <c r="CW574" s="663"/>
      <c r="CX574" s="663"/>
      <c r="CY574" s="663"/>
      <c r="CZ574" s="663"/>
      <c r="DA574" s="663"/>
      <c r="DB574" s="663"/>
      <c r="DC574" s="663"/>
      <c r="DD574" s="663"/>
      <c r="DE574" s="663"/>
      <c r="DF574" s="663"/>
      <c r="DG574" s="663"/>
      <c r="DH574" s="663"/>
      <c r="DI574" s="663"/>
      <c r="DJ574" s="663"/>
      <c r="DK574" s="663"/>
      <c r="DL574" s="663"/>
      <c r="DM574" s="663"/>
      <c r="DN574" s="663"/>
      <c r="DO574" s="663"/>
      <c r="DP574" s="663"/>
      <c r="DQ574" s="663"/>
      <c r="DR574" s="663"/>
      <c r="DS574" s="663"/>
      <c r="DT574" s="663"/>
      <c r="DU574" s="663"/>
      <c r="DV574" s="663"/>
      <c r="DW574" s="663"/>
      <c r="DX574" s="663"/>
      <c r="DY574" s="663"/>
      <c r="DZ574" s="663"/>
      <c r="EA574" s="663"/>
      <c r="EB574" s="663"/>
      <c r="EC574" s="663"/>
      <c r="ED574" s="663"/>
      <c r="EE574" s="663"/>
      <c r="EF574" s="663"/>
      <c r="EG574" s="663"/>
      <c r="EH574" s="663"/>
      <c r="EI574" s="663"/>
      <c r="EJ574" s="663"/>
      <c r="EK574" s="663"/>
      <c r="EL574" s="663"/>
      <c r="EM574" s="663"/>
      <c r="EN574" s="663"/>
      <c r="EO574" s="663"/>
      <c r="EP574" s="663"/>
      <c r="EQ574" s="663"/>
      <c r="ER574" s="663"/>
      <c r="ES574" s="663"/>
      <c r="ET574" s="663"/>
      <c r="EU574" s="663"/>
      <c r="EV574" s="663"/>
      <c r="EW574" s="663"/>
      <c r="EX574" s="663"/>
      <c r="EY574" s="663"/>
      <c r="EZ574" s="663"/>
      <c r="FA574" s="663"/>
      <c r="FB574" s="663"/>
      <c r="FC574" s="663"/>
      <c r="FD574" s="663"/>
      <c r="FE574" s="663"/>
      <c r="FF574" s="663"/>
      <c r="FG574" s="663"/>
      <c r="FH574" s="663"/>
      <c r="FI574" s="663"/>
      <c r="FJ574" s="663"/>
      <c r="FK574" s="663"/>
      <c r="FL574" s="663"/>
      <c r="FM574" s="663"/>
      <c r="FN574" s="663"/>
      <c r="FO574" s="663"/>
      <c r="FP574" s="663"/>
      <c r="FQ574" s="663"/>
      <c r="FR574" s="663"/>
      <c r="FS574" s="663"/>
      <c r="FT574" s="663"/>
      <c r="FU574" s="663"/>
      <c r="FV574" s="663"/>
      <c r="FW574" s="663"/>
      <c r="FX574" s="663"/>
      <c r="FY574" s="663"/>
      <c r="FZ574" s="663"/>
      <c r="GA574" s="663"/>
      <c r="GB574" s="663"/>
      <c r="GC574" s="663"/>
      <c r="GD574" s="663"/>
      <c r="GE574" s="663"/>
      <c r="GF574" s="663"/>
      <c r="GG574" s="663"/>
    </row>
    <row r="575" spans="1:189">
      <c r="A575" s="670"/>
      <c r="B575" s="670"/>
      <c r="C575" s="670"/>
      <c r="D575" s="670"/>
      <c r="E575" s="670"/>
      <c r="F575" s="670"/>
      <c r="G575" s="673"/>
      <c r="H575" s="627"/>
      <c r="I575" s="627"/>
      <c r="J575" s="672"/>
      <c r="K575" s="663"/>
      <c r="L575" s="663"/>
      <c r="M575" s="663"/>
      <c r="N575" s="663"/>
      <c r="O575" s="663"/>
      <c r="P575" s="663"/>
      <c r="Q575" s="663"/>
      <c r="R575" s="663"/>
      <c r="S575" s="663"/>
      <c r="T575" s="663"/>
      <c r="U575" s="663"/>
      <c r="V575" s="663"/>
      <c r="W575" s="663"/>
      <c r="X575" s="663"/>
      <c r="Y575" s="663"/>
      <c r="Z575" s="663"/>
      <c r="AA575" s="663"/>
      <c r="AB575" s="663"/>
      <c r="AC575" s="663"/>
      <c r="AD575" s="663"/>
      <c r="AE575" s="663"/>
      <c r="AF575" s="663"/>
      <c r="AG575" s="663"/>
      <c r="AH575" s="663"/>
      <c r="AI575" s="663"/>
      <c r="AJ575" s="663"/>
      <c r="AK575" s="663"/>
      <c r="AL575" s="663"/>
      <c r="AM575" s="663"/>
      <c r="AN575" s="663"/>
      <c r="AO575" s="663"/>
      <c r="AP575" s="663"/>
      <c r="AQ575" s="663"/>
      <c r="AR575" s="663"/>
      <c r="AS575" s="663"/>
      <c r="AT575" s="663"/>
      <c r="AU575" s="663"/>
      <c r="AV575" s="663"/>
      <c r="AW575" s="663"/>
      <c r="AX575" s="663"/>
      <c r="AY575" s="663"/>
      <c r="AZ575" s="663"/>
      <c r="BA575" s="663"/>
      <c r="BB575" s="663"/>
      <c r="BC575" s="663"/>
      <c r="BD575" s="663"/>
      <c r="BE575" s="663"/>
      <c r="BF575" s="663"/>
      <c r="BG575" s="663"/>
      <c r="BH575" s="663"/>
      <c r="BI575" s="663"/>
      <c r="BJ575" s="663"/>
      <c r="BK575" s="663"/>
      <c r="BL575" s="663"/>
      <c r="BM575" s="663"/>
      <c r="BN575" s="663"/>
      <c r="BO575" s="663"/>
      <c r="BP575" s="663"/>
      <c r="BQ575" s="663"/>
      <c r="BR575" s="663"/>
      <c r="BS575" s="663"/>
      <c r="BT575" s="663"/>
      <c r="BU575" s="663"/>
      <c r="BV575" s="663"/>
      <c r="BW575" s="663"/>
      <c r="BX575" s="663"/>
      <c r="BY575" s="663"/>
      <c r="BZ575" s="663"/>
      <c r="CA575" s="663"/>
      <c r="CB575" s="663"/>
      <c r="CC575" s="663"/>
      <c r="CD575" s="663"/>
      <c r="CE575" s="663"/>
      <c r="CF575" s="663"/>
      <c r="CG575" s="663"/>
      <c r="CH575" s="663"/>
      <c r="CI575" s="663"/>
      <c r="CJ575" s="663"/>
      <c r="CK575" s="663"/>
      <c r="CL575" s="663"/>
      <c r="CM575" s="663"/>
      <c r="CN575" s="663"/>
      <c r="CO575" s="663"/>
      <c r="CP575" s="663"/>
      <c r="CQ575" s="663"/>
      <c r="CR575" s="663"/>
      <c r="CS575" s="663"/>
      <c r="CT575" s="663"/>
      <c r="CU575" s="663"/>
      <c r="CV575" s="663"/>
      <c r="CW575" s="663"/>
      <c r="CX575" s="663"/>
      <c r="CY575" s="663"/>
      <c r="CZ575" s="663"/>
      <c r="DA575" s="663"/>
      <c r="DB575" s="663"/>
      <c r="DC575" s="663"/>
      <c r="DD575" s="663"/>
      <c r="DE575" s="663"/>
      <c r="DF575" s="663"/>
      <c r="DG575" s="663"/>
      <c r="DH575" s="663"/>
      <c r="DI575" s="663"/>
      <c r="DJ575" s="663"/>
      <c r="DK575" s="663"/>
      <c r="DL575" s="663"/>
      <c r="DM575" s="663"/>
      <c r="DN575" s="663"/>
      <c r="DO575" s="663"/>
      <c r="DP575" s="663"/>
      <c r="DQ575" s="663"/>
      <c r="DR575" s="663"/>
      <c r="DS575" s="663"/>
      <c r="DT575" s="663"/>
      <c r="DU575" s="663"/>
      <c r="DV575" s="663"/>
      <c r="DW575" s="663"/>
      <c r="DX575" s="663"/>
      <c r="DY575" s="663"/>
      <c r="DZ575" s="663"/>
      <c r="EA575" s="663"/>
      <c r="EB575" s="663"/>
      <c r="EC575" s="663"/>
      <c r="ED575" s="663"/>
      <c r="EE575" s="663"/>
      <c r="EF575" s="663"/>
      <c r="EG575" s="663"/>
      <c r="EH575" s="663"/>
      <c r="EI575" s="663"/>
      <c r="EJ575" s="663"/>
      <c r="EK575" s="663"/>
      <c r="EL575" s="663"/>
      <c r="EM575" s="663"/>
      <c r="EN575" s="663"/>
      <c r="EO575" s="663"/>
      <c r="EP575" s="663"/>
      <c r="EQ575" s="663"/>
      <c r="ER575" s="663"/>
      <c r="ES575" s="663"/>
      <c r="ET575" s="663"/>
      <c r="EU575" s="663"/>
      <c r="EV575" s="663"/>
      <c r="EW575" s="663"/>
      <c r="EX575" s="663"/>
      <c r="EY575" s="663"/>
      <c r="EZ575" s="663"/>
      <c r="FA575" s="663"/>
      <c r="FB575" s="663"/>
      <c r="FC575" s="663"/>
      <c r="FD575" s="663"/>
      <c r="FE575" s="663"/>
      <c r="FF575" s="663"/>
      <c r="FG575" s="663"/>
      <c r="FH575" s="663"/>
      <c r="FI575" s="663"/>
      <c r="FJ575" s="663"/>
      <c r="FK575" s="663"/>
      <c r="FL575" s="663"/>
      <c r="FM575" s="663"/>
      <c r="FN575" s="663"/>
      <c r="FO575" s="663"/>
      <c r="FP575" s="663"/>
      <c r="FQ575" s="663"/>
      <c r="FR575" s="663"/>
      <c r="FS575" s="663"/>
      <c r="FT575" s="663"/>
      <c r="FU575" s="663"/>
      <c r="FV575" s="663"/>
      <c r="FW575" s="663"/>
      <c r="FX575" s="663"/>
      <c r="FY575" s="663"/>
      <c r="FZ575" s="663"/>
      <c r="GA575" s="663"/>
      <c r="GB575" s="663"/>
      <c r="GC575" s="663"/>
      <c r="GD575" s="663"/>
      <c r="GE575" s="663"/>
      <c r="GF575" s="663"/>
      <c r="GG575" s="663"/>
    </row>
    <row r="576" spans="1:189">
      <c r="A576" s="670"/>
      <c r="B576" s="670"/>
      <c r="C576" s="670"/>
      <c r="D576" s="670"/>
      <c r="E576" s="670"/>
      <c r="F576" s="670"/>
      <c r="G576" s="673"/>
      <c r="H576" s="627"/>
      <c r="I576" s="627"/>
      <c r="J576" s="672"/>
      <c r="K576" s="663"/>
      <c r="L576" s="663"/>
      <c r="M576" s="663"/>
      <c r="N576" s="663"/>
      <c r="O576" s="663"/>
      <c r="P576" s="663"/>
      <c r="Q576" s="663"/>
      <c r="R576" s="663"/>
      <c r="S576" s="663"/>
      <c r="T576" s="663"/>
      <c r="U576" s="663"/>
      <c r="V576" s="663"/>
      <c r="W576" s="663"/>
      <c r="X576" s="663"/>
      <c r="Y576" s="663"/>
      <c r="Z576" s="663"/>
      <c r="AA576" s="663"/>
      <c r="AB576" s="663"/>
      <c r="AC576" s="663"/>
      <c r="AD576" s="663"/>
      <c r="AE576" s="663"/>
      <c r="AF576" s="663"/>
      <c r="AG576" s="663"/>
      <c r="AH576" s="663"/>
      <c r="AI576" s="663"/>
      <c r="AJ576" s="663"/>
      <c r="AK576" s="663"/>
      <c r="AL576" s="663"/>
      <c r="AM576" s="663"/>
      <c r="AN576" s="663"/>
      <c r="AO576" s="663"/>
      <c r="AP576" s="663"/>
      <c r="AQ576" s="663"/>
      <c r="AR576" s="663"/>
      <c r="AS576" s="663"/>
      <c r="AT576" s="663"/>
      <c r="AU576" s="663"/>
      <c r="AV576" s="663"/>
      <c r="AW576" s="663"/>
      <c r="AX576" s="663"/>
      <c r="AY576" s="663"/>
      <c r="AZ576" s="663"/>
      <c r="BA576" s="663"/>
      <c r="BB576" s="663"/>
      <c r="BC576" s="663"/>
      <c r="BD576" s="663"/>
      <c r="BE576" s="663"/>
      <c r="BF576" s="663"/>
      <c r="BG576" s="663"/>
      <c r="BH576" s="663"/>
      <c r="BI576" s="663"/>
      <c r="BJ576" s="663"/>
      <c r="BK576" s="663"/>
      <c r="BL576" s="663"/>
      <c r="BM576" s="663"/>
      <c r="BN576" s="663"/>
      <c r="BO576" s="663"/>
      <c r="BP576" s="663"/>
      <c r="BQ576" s="663"/>
      <c r="BR576" s="663"/>
      <c r="BS576" s="663"/>
      <c r="BT576" s="663"/>
      <c r="BU576" s="663"/>
      <c r="BV576" s="663"/>
      <c r="BW576" s="663"/>
      <c r="BX576" s="663"/>
      <c r="BY576" s="663"/>
      <c r="BZ576" s="663"/>
      <c r="CA576" s="663"/>
      <c r="CB576" s="663"/>
      <c r="CC576" s="663"/>
      <c r="CD576" s="663"/>
      <c r="CE576" s="663"/>
      <c r="CF576" s="663"/>
      <c r="CG576" s="663"/>
      <c r="CH576" s="663"/>
      <c r="CI576" s="663"/>
      <c r="CJ576" s="663"/>
      <c r="CK576" s="663"/>
      <c r="CL576" s="663"/>
      <c r="CM576" s="663"/>
      <c r="CN576" s="663"/>
      <c r="CO576" s="663"/>
      <c r="CP576" s="663"/>
      <c r="CQ576" s="663"/>
      <c r="CR576" s="663"/>
      <c r="CS576" s="663"/>
      <c r="CT576" s="663"/>
      <c r="CU576" s="663"/>
      <c r="CV576" s="663"/>
      <c r="CW576" s="663"/>
      <c r="CX576" s="663"/>
      <c r="CY576" s="663"/>
      <c r="CZ576" s="663"/>
      <c r="DA576" s="663"/>
      <c r="DB576" s="663"/>
      <c r="DC576" s="663"/>
      <c r="DD576" s="663"/>
      <c r="DE576" s="663"/>
      <c r="DF576" s="663"/>
      <c r="DG576" s="663"/>
      <c r="DH576" s="663"/>
      <c r="DI576" s="663"/>
      <c r="DJ576" s="663"/>
      <c r="DK576" s="663"/>
      <c r="DL576" s="663"/>
      <c r="DM576" s="663"/>
      <c r="DN576" s="663"/>
      <c r="DO576" s="663"/>
      <c r="DP576" s="663"/>
      <c r="DQ576" s="663"/>
      <c r="DR576" s="663"/>
      <c r="DS576" s="663"/>
      <c r="DT576" s="663"/>
      <c r="DU576" s="663"/>
      <c r="DV576" s="663"/>
      <c r="DW576" s="663"/>
      <c r="DX576" s="663"/>
      <c r="DY576" s="663"/>
      <c r="DZ576" s="663"/>
      <c r="EA576" s="663"/>
      <c r="EB576" s="663"/>
      <c r="EC576" s="663"/>
      <c r="ED576" s="663"/>
      <c r="EE576" s="663"/>
      <c r="EF576" s="663"/>
      <c r="EG576" s="663"/>
      <c r="EH576" s="663"/>
      <c r="EI576" s="663"/>
      <c r="EJ576" s="663"/>
      <c r="EK576" s="663"/>
      <c r="EL576" s="663"/>
      <c r="EM576" s="663"/>
      <c r="EN576" s="663"/>
      <c r="EO576" s="663"/>
      <c r="EP576" s="663"/>
      <c r="EQ576" s="663"/>
      <c r="ER576" s="663"/>
      <c r="ES576" s="663"/>
      <c r="ET576" s="663"/>
      <c r="EU576" s="663"/>
      <c r="EV576" s="663"/>
      <c r="EW576" s="663"/>
      <c r="EX576" s="663"/>
      <c r="EY576" s="663"/>
      <c r="EZ576" s="663"/>
      <c r="FA576" s="663"/>
      <c r="FB576" s="663"/>
      <c r="FC576" s="663"/>
      <c r="FD576" s="663"/>
      <c r="FE576" s="663"/>
      <c r="FF576" s="663"/>
      <c r="FG576" s="663"/>
      <c r="FH576" s="663"/>
      <c r="FI576" s="663"/>
      <c r="FJ576" s="663"/>
      <c r="FK576" s="663"/>
      <c r="FL576" s="663"/>
      <c r="FM576" s="663"/>
      <c r="FN576" s="663"/>
      <c r="FO576" s="663"/>
      <c r="FP576" s="663"/>
      <c r="FQ576" s="663"/>
      <c r="FR576" s="663"/>
      <c r="FS576" s="663"/>
      <c r="FT576" s="663"/>
      <c r="FU576" s="663"/>
      <c r="FV576" s="663"/>
      <c r="FW576" s="663"/>
      <c r="FX576" s="663"/>
      <c r="FY576" s="663"/>
      <c r="FZ576" s="663"/>
      <c r="GA576" s="663"/>
      <c r="GB576" s="663"/>
      <c r="GC576" s="663"/>
      <c r="GD576" s="663"/>
      <c r="GE576" s="663"/>
      <c r="GF576" s="663"/>
      <c r="GG576" s="663"/>
    </row>
    <row r="577" spans="1:189">
      <c r="A577" s="670"/>
      <c r="B577" s="670"/>
      <c r="C577" s="670"/>
      <c r="D577" s="670"/>
      <c r="E577" s="670"/>
      <c r="F577" s="670"/>
      <c r="G577" s="673"/>
      <c r="H577" s="627"/>
      <c r="I577" s="627"/>
      <c r="J577" s="672"/>
      <c r="K577" s="663"/>
      <c r="L577" s="663"/>
      <c r="M577" s="663"/>
      <c r="N577" s="663"/>
      <c r="O577" s="663"/>
      <c r="P577" s="663"/>
      <c r="Q577" s="663"/>
      <c r="R577" s="663"/>
      <c r="S577" s="663"/>
      <c r="T577" s="663"/>
      <c r="U577" s="663"/>
      <c r="V577" s="663"/>
      <c r="W577" s="663"/>
      <c r="X577" s="663"/>
      <c r="Y577" s="663"/>
      <c r="Z577" s="663"/>
      <c r="AA577" s="663"/>
      <c r="AB577" s="663"/>
      <c r="AC577" s="663"/>
      <c r="AD577" s="663"/>
      <c r="AE577" s="663"/>
      <c r="AF577" s="663"/>
      <c r="AG577" s="663"/>
      <c r="AH577" s="663"/>
      <c r="AI577" s="663"/>
      <c r="AJ577" s="663"/>
      <c r="AK577" s="663"/>
      <c r="AL577" s="663"/>
      <c r="AM577" s="663"/>
      <c r="AN577" s="663"/>
      <c r="AO577" s="663"/>
      <c r="AP577" s="663"/>
      <c r="AQ577" s="663"/>
      <c r="AR577" s="663"/>
      <c r="AS577" s="663"/>
      <c r="AT577" s="663"/>
      <c r="AU577" s="663"/>
      <c r="AV577" s="663"/>
      <c r="AW577" s="663"/>
      <c r="AX577" s="663"/>
      <c r="AY577" s="663"/>
      <c r="AZ577" s="663"/>
      <c r="BA577" s="663"/>
      <c r="BB577" s="663"/>
      <c r="BC577" s="663"/>
      <c r="BD577" s="663"/>
      <c r="BE577" s="663"/>
      <c r="BF577" s="663"/>
      <c r="BG577" s="663"/>
      <c r="BH577" s="663"/>
      <c r="BI577" s="663"/>
      <c r="BJ577" s="663"/>
      <c r="BK577" s="663"/>
      <c r="BL577" s="663"/>
      <c r="BM577" s="663"/>
      <c r="BN577" s="663"/>
      <c r="BO577" s="663"/>
      <c r="BP577" s="663"/>
      <c r="BQ577" s="663"/>
      <c r="BR577" s="663"/>
      <c r="BS577" s="663"/>
      <c r="BT577" s="663"/>
      <c r="BU577" s="663"/>
      <c r="BV577" s="663"/>
      <c r="BW577" s="663"/>
      <c r="BX577" s="663"/>
      <c r="BY577" s="663"/>
      <c r="BZ577" s="663"/>
      <c r="CA577" s="663"/>
      <c r="CB577" s="663"/>
      <c r="CC577" s="663"/>
      <c r="CD577" s="663"/>
      <c r="CE577" s="663"/>
      <c r="CF577" s="663"/>
      <c r="CG577" s="663"/>
      <c r="CH577" s="663"/>
      <c r="CI577" s="663"/>
      <c r="CJ577" s="663"/>
      <c r="CK577" s="663"/>
      <c r="CL577" s="663"/>
      <c r="CM577" s="663"/>
      <c r="CN577" s="663"/>
      <c r="CO577" s="663"/>
      <c r="CP577" s="663"/>
      <c r="CQ577" s="663"/>
      <c r="CR577" s="663"/>
      <c r="CS577" s="663"/>
      <c r="CT577" s="663"/>
      <c r="CU577" s="663"/>
      <c r="CV577" s="663"/>
      <c r="CW577" s="663"/>
      <c r="CX577" s="663"/>
      <c r="CY577" s="663"/>
      <c r="CZ577" s="663"/>
      <c r="DA577" s="663"/>
      <c r="DB577" s="663"/>
      <c r="DC577" s="663"/>
      <c r="DD577" s="663"/>
      <c r="DE577" s="663"/>
      <c r="DF577" s="663"/>
      <c r="DG577" s="663"/>
      <c r="DH577" s="663"/>
      <c r="DI577" s="663"/>
      <c r="DJ577" s="663"/>
      <c r="DK577" s="663"/>
      <c r="DL577" s="663"/>
      <c r="DM577" s="663"/>
      <c r="DN577" s="663"/>
      <c r="DO577" s="663"/>
      <c r="DP577" s="663"/>
      <c r="DQ577" s="663"/>
      <c r="DR577" s="663"/>
      <c r="DS577" s="663"/>
      <c r="DT577" s="663"/>
      <c r="DU577" s="663"/>
      <c r="DV577" s="663"/>
      <c r="DW577" s="663"/>
      <c r="DX577" s="663"/>
      <c r="DY577" s="663"/>
      <c r="DZ577" s="663"/>
      <c r="EA577" s="663"/>
      <c r="EB577" s="663"/>
      <c r="EC577" s="663"/>
      <c r="ED577" s="663"/>
      <c r="EE577" s="663"/>
      <c r="EF577" s="663"/>
      <c r="EG577" s="663"/>
      <c r="EH577" s="663"/>
      <c r="EI577" s="663"/>
      <c r="EJ577" s="663"/>
      <c r="EK577" s="663"/>
      <c r="EL577" s="663"/>
      <c r="EM577" s="663"/>
      <c r="EN577" s="663"/>
      <c r="EO577" s="663"/>
      <c r="EP577" s="663"/>
      <c r="EQ577" s="663"/>
      <c r="ER577" s="663"/>
      <c r="ES577" s="663"/>
      <c r="ET577" s="663"/>
      <c r="EU577" s="663"/>
      <c r="EV577" s="663"/>
      <c r="EW577" s="663"/>
      <c r="EX577" s="663"/>
      <c r="EY577" s="663"/>
      <c r="EZ577" s="663"/>
      <c r="FA577" s="663"/>
      <c r="FB577" s="663"/>
      <c r="FC577" s="663"/>
      <c r="FD577" s="663"/>
      <c r="FE577" s="663"/>
      <c r="FF577" s="663"/>
      <c r="FG577" s="663"/>
      <c r="FH577" s="663"/>
      <c r="FI577" s="663"/>
      <c r="FJ577" s="663"/>
      <c r="FK577" s="663"/>
      <c r="FL577" s="663"/>
      <c r="FM577" s="663"/>
      <c r="FN577" s="663"/>
      <c r="FO577" s="663"/>
      <c r="FP577" s="663"/>
      <c r="FQ577" s="663"/>
      <c r="FR577" s="663"/>
      <c r="FS577" s="663"/>
      <c r="FT577" s="663"/>
      <c r="FU577" s="663"/>
      <c r="FV577" s="663"/>
      <c r="FW577" s="663"/>
      <c r="FX577" s="663"/>
      <c r="FY577" s="663"/>
      <c r="FZ577" s="663"/>
      <c r="GA577" s="663"/>
      <c r="GB577" s="663"/>
      <c r="GC577" s="663"/>
      <c r="GD577" s="663"/>
      <c r="GE577" s="663"/>
      <c r="GF577" s="663"/>
      <c r="GG577" s="663"/>
    </row>
    <row r="578" spans="1:189">
      <c r="A578" s="670"/>
      <c r="B578" s="670"/>
      <c r="C578" s="670"/>
      <c r="D578" s="670"/>
      <c r="E578" s="670"/>
      <c r="F578" s="670"/>
      <c r="G578" s="673"/>
      <c r="H578" s="627"/>
      <c r="I578" s="627"/>
      <c r="J578" s="672"/>
      <c r="K578" s="663"/>
      <c r="L578" s="663"/>
      <c r="M578" s="663"/>
      <c r="N578" s="663"/>
      <c r="O578" s="663"/>
      <c r="P578" s="663"/>
      <c r="Q578" s="663"/>
      <c r="R578" s="663"/>
      <c r="S578" s="663"/>
      <c r="T578" s="663"/>
      <c r="U578" s="663"/>
      <c r="V578" s="663"/>
      <c r="W578" s="663"/>
      <c r="X578" s="663"/>
      <c r="Y578" s="663"/>
      <c r="Z578" s="663"/>
      <c r="AA578" s="663"/>
      <c r="AB578" s="663"/>
      <c r="AC578" s="663"/>
      <c r="AD578" s="663"/>
      <c r="AE578" s="663"/>
      <c r="AF578" s="663"/>
      <c r="AG578" s="663"/>
      <c r="AH578" s="663"/>
      <c r="AI578" s="663"/>
      <c r="AJ578" s="663"/>
      <c r="AK578" s="663"/>
      <c r="AL578" s="663"/>
      <c r="AM578" s="663"/>
      <c r="AN578" s="663"/>
      <c r="AO578" s="663"/>
      <c r="AP578" s="663"/>
      <c r="AQ578" s="663"/>
      <c r="AR578" s="663"/>
      <c r="AS578" s="663"/>
      <c r="AT578" s="663"/>
      <c r="AU578" s="663"/>
      <c r="AV578" s="663"/>
      <c r="AW578" s="663"/>
      <c r="AX578" s="663"/>
      <c r="AY578" s="663"/>
      <c r="AZ578" s="663"/>
      <c r="BA578" s="663"/>
      <c r="BB578" s="663"/>
      <c r="BC578" s="663"/>
      <c r="BD578" s="663"/>
      <c r="BE578" s="663"/>
      <c r="BF578" s="663"/>
      <c r="BG578" s="663"/>
      <c r="BH578" s="663"/>
      <c r="BI578" s="663"/>
      <c r="BJ578" s="663"/>
      <c r="BK578" s="663"/>
      <c r="BL578" s="663"/>
      <c r="BM578" s="663"/>
      <c r="BN578" s="663"/>
      <c r="BO578" s="663"/>
      <c r="BP578" s="663"/>
      <c r="BQ578" s="663"/>
      <c r="BR578" s="663"/>
      <c r="BS578" s="663"/>
      <c r="BT578" s="663"/>
      <c r="BU578" s="663"/>
      <c r="BV578" s="663"/>
      <c r="BW578" s="663"/>
      <c r="BX578" s="663"/>
      <c r="BY578" s="663"/>
      <c r="BZ578" s="663"/>
      <c r="CA578" s="663"/>
      <c r="CB578" s="663"/>
      <c r="CC578" s="663"/>
      <c r="CD578" s="663"/>
      <c r="CE578" s="663"/>
      <c r="CF578" s="663"/>
      <c r="CG578" s="663"/>
      <c r="CH578" s="663"/>
      <c r="CI578" s="663"/>
      <c r="CJ578" s="663"/>
      <c r="CK578" s="663"/>
      <c r="CL578" s="663"/>
      <c r="CM578" s="663"/>
      <c r="CN578" s="663"/>
      <c r="CO578" s="663"/>
      <c r="CP578" s="663"/>
      <c r="CQ578" s="663"/>
      <c r="CR578" s="663"/>
      <c r="CS578" s="663"/>
      <c r="CT578" s="663"/>
      <c r="CU578" s="663"/>
      <c r="CV578" s="663"/>
      <c r="CW578" s="663"/>
      <c r="CX578" s="663"/>
      <c r="CY578" s="663"/>
      <c r="CZ578" s="663"/>
      <c r="DA578" s="663"/>
      <c r="DB578" s="663"/>
      <c r="DC578" s="663"/>
      <c r="DD578" s="663"/>
      <c r="DE578" s="663"/>
      <c r="DF578" s="663"/>
      <c r="DG578" s="663"/>
      <c r="DH578" s="663"/>
      <c r="DI578" s="663"/>
      <c r="DJ578" s="663"/>
      <c r="DK578" s="663"/>
      <c r="DL578" s="663"/>
      <c r="DM578" s="663"/>
      <c r="DN578" s="663"/>
      <c r="DO578" s="663"/>
      <c r="DP578" s="663"/>
      <c r="DQ578" s="663"/>
      <c r="DR578" s="663"/>
      <c r="DS578" s="663"/>
      <c r="DT578" s="663"/>
      <c r="DU578" s="663"/>
      <c r="DV578" s="663"/>
      <c r="DW578" s="663"/>
      <c r="DX578" s="663"/>
      <c r="DY578" s="663"/>
      <c r="DZ578" s="663"/>
      <c r="EA578" s="663"/>
      <c r="EB578" s="663"/>
      <c r="EC578" s="663"/>
      <c r="ED578" s="663"/>
      <c r="EE578" s="663"/>
      <c r="EF578" s="663"/>
      <c r="EG578" s="663"/>
      <c r="EH578" s="663"/>
      <c r="EI578" s="663"/>
      <c r="EJ578" s="663"/>
      <c r="EK578" s="663"/>
      <c r="EL578" s="663"/>
      <c r="EM578" s="663"/>
      <c r="EN578" s="663"/>
      <c r="EO578" s="663"/>
      <c r="EP578" s="663"/>
      <c r="EQ578" s="663"/>
      <c r="ER578" s="663"/>
      <c r="ES578" s="663"/>
      <c r="ET578" s="663"/>
      <c r="EU578" s="663"/>
      <c r="EV578" s="663"/>
      <c r="EW578" s="663"/>
      <c r="EX578" s="663"/>
      <c r="EY578" s="663"/>
      <c r="EZ578" s="663"/>
      <c r="FA578" s="663"/>
      <c r="FB578" s="663"/>
      <c r="FC578" s="663"/>
      <c r="FD578" s="663"/>
      <c r="FE578" s="663"/>
      <c r="FF578" s="663"/>
      <c r="FG578" s="663"/>
      <c r="FH578" s="663"/>
      <c r="FI578" s="663"/>
      <c r="FJ578" s="663"/>
      <c r="FK578" s="663"/>
      <c r="FL578" s="663"/>
      <c r="FM578" s="663"/>
      <c r="FN578" s="663"/>
      <c r="FO578" s="663"/>
      <c r="FP578" s="663"/>
      <c r="FQ578" s="663"/>
      <c r="FR578" s="663"/>
      <c r="FS578" s="663"/>
      <c r="FT578" s="663"/>
      <c r="FU578" s="663"/>
      <c r="FV578" s="663"/>
      <c r="FW578" s="663"/>
      <c r="FX578" s="663"/>
      <c r="FY578" s="663"/>
      <c r="FZ578" s="663"/>
      <c r="GA578" s="663"/>
      <c r="GB578" s="663"/>
      <c r="GC578" s="663"/>
      <c r="GD578" s="663"/>
      <c r="GE578" s="663"/>
      <c r="GF578" s="663"/>
      <c r="GG578" s="663"/>
    </row>
    <row r="579" spans="1:189">
      <c r="A579" s="670"/>
      <c r="B579" s="670"/>
      <c r="C579" s="670"/>
      <c r="D579" s="670"/>
      <c r="E579" s="670"/>
      <c r="F579" s="670"/>
      <c r="G579" s="673"/>
      <c r="H579" s="627"/>
      <c r="I579" s="627"/>
      <c r="J579" s="672"/>
      <c r="K579" s="663"/>
      <c r="L579" s="663"/>
      <c r="M579" s="663"/>
      <c r="N579" s="663"/>
      <c r="O579" s="663"/>
      <c r="P579" s="663"/>
      <c r="Q579" s="663"/>
      <c r="R579" s="663"/>
      <c r="S579" s="663"/>
      <c r="T579" s="663"/>
      <c r="U579" s="663"/>
      <c r="V579" s="663"/>
      <c r="W579" s="663"/>
      <c r="X579" s="663"/>
      <c r="Y579" s="663"/>
      <c r="Z579" s="663"/>
      <c r="AA579" s="663"/>
      <c r="AB579" s="663"/>
      <c r="AC579" s="663"/>
      <c r="AD579" s="663"/>
      <c r="AE579" s="663"/>
      <c r="AF579" s="663"/>
      <c r="AG579" s="663"/>
      <c r="AH579" s="663"/>
      <c r="AI579" s="663"/>
      <c r="AJ579" s="663"/>
      <c r="AK579" s="663"/>
      <c r="AL579" s="663"/>
      <c r="AM579" s="663"/>
      <c r="AN579" s="663"/>
      <c r="AO579" s="663"/>
      <c r="AP579" s="663"/>
      <c r="AQ579" s="663"/>
      <c r="AR579" s="663"/>
      <c r="AS579" s="663"/>
      <c r="AT579" s="663"/>
      <c r="AU579" s="663"/>
      <c r="AV579" s="663"/>
      <c r="AW579" s="663"/>
      <c r="AX579" s="663"/>
      <c r="AY579" s="663"/>
      <c r="AZ579" s="663"/>
      <c r="BA579" s="663"/>
      <c r="BB579" s="663"/>
      <c r="BC579" s="663"/>
      <c r="BD579" s="663"/>
      <c r="BE579" s="663"/>
      <c r="BF579" s="663"/>
      <c r="BG579" s="663"/>
      <c r="BH579" s="663"/>
      <c r="BI579" s="663"/>
      <c r="BJ579" s="663"/>
      <c r="BK579" s="663"/>
      <c r="BL579" s="663"/>
      <c r="BM579" s="663"/>
      <c r="BN579" s="663"/>
      <c r="BO579" s="663"/>
      <c r="BP579" s="663"/>
      <c r="BQ579" s="663"/>
      <c r="BR579" s="663"/>
      <c r="BS579" s="663"/>
      <c r="BT579" s="663"/>
      <c r="BU579" s="663"/>
      <c r="BV579" s="663"/>
      <c r="BW579" s="663"/>
      <c r="BX579" s="663"/>
      <c r="BY579" s="663"/>
      <c r="BZ579" s="663"/>
      <c r="CA579" s="663"/>
      <c r="CB579" s="663"/>
      <c r="CC579" s="663"/>
      <c r="CD579" s="663"/>
      <c r="CE579" s="663"/>
      <c r="CF579" s="663"/>
      <c r="CG579" s="663"/>
      <c r="CH579" s="663"/>
      <c r="CI579" s="663"/>
      <c r="CJ579" s="663"/>
      <c r="CK579" s="663"/>
      <c r="CL579" s="663"/>
      <c r="CM579" s="663"/>
      <c r="CN579" s="663"/>
      <c r="CO579" s="663"/>
      <c r="CP579" s="663"/>
      <c r="CQ579" s="663"/>
      <c r="CR579" s="663"/>
      <c r="CS579" s="663"/>
      <c r="CT579" s="663"/>
      <c r="CU579" s="663"/>
      <c r="CV579" s="663"/>
      <c r="CW579" s="663"/>
      <c r="CX579" s="663"/>
      <c r="CY579" s="663"/>
      <c r="CZ579" s="663"/>
      <c r="DA579" s="663"/>
      <c r="DB579" s="663"/>
      <c r="DC579" s="663"/>
      <c r="DD579" s="663"/>
      <c r="DE579" s="663"/>
      <c r="DF579" s="663"/>
      <c r="DG579" s="663"/>
      <c r="DH579" s="663"/>
      <c r="DI579" s="663"/>
      <c r="DJ579" s="663"/>
      <c r="DK579" s="663"/>
      <c r="DL579" s="663"/>
      <c r="DM579" s="663"/>
      <c r="DN579" s="663"/>
      <c r="DO579" s="663"/>
      <c r="DP579" s="663"/>
      <c r="DQ579" s="663"/>
      <c r="DR579" s="663"/>
      <c r="DS579" s="663"/>
      <c r="DT579" s="663"/>
      <c r="DU579" s="663"/>
      <c r="DV579" s="663"/>
      <c r="DW579" s="663"/>
      <c r="DX579" s="663"/>
      <c r="DY579" s="663"/>
      <c r="DZ579" s="663"/>
      <c r="EA579" s="663"/>
      <c r="EB579" s="663"/>
      <c r="EC579" s="663"/>
      <c r="ED579" s="663"/>
      <c r="EE579" s="663"/>
      <c r="EF579" s="663"/>
      <c r="EG579" s="663"/>
      <c r="EH579" s="663"/>
      <c r="EI579" s="663"/>
      <c r="EJ579" s="663"/>
      <c r="EK579" s="663"/>
      <c r="EL579" s="663"/>
      <c r="EM579" s="663"/>
      <c r="EN579" s="663"/>
      <c r="EO579" s="663"/>
      <c r="EP579" s="663"/>
      <c r="EQ579" s="663"/>
      <c r="ER579" s="663"/>
      <c r="ES579" s="663"/>
      <c r="ET579" s="663"/>
      <c r="EU579" s="663"/>
      <c r="EV579" s="663"/>
      <c r="EW579" s="663"/>
      <c r="EX579" s="663"/>
      <c r="EY579" s="663"/>
      <c r="EZ579" s="663"/>
      <c r="FA579" s="663"/>
      <c r="FB579" s="663"/>
      <c r="FC579" s="663"/>
      <c r="FD579" s="663"/>
      <c r="FE579" s="663"/>
      <c r="FF579" s="663"/>
      <c r="FG579" s="663"/>
      <c r="FH579" s="663"/>
      <c r="FI579" s="663"/>
      <c r="FJ579" s="663"/>
      <c r="FK579" s="663"/>
      <c r="FL579" s="663"/>
      <c r="FM579" s="663"/>
      <c r="FN579" s="663"/>
      <c r="FO579" s="663"/>
      <c r="FP579" s="663"/>
      <c r="FQ579" s="663"/>
      <c r="FR579" s="663"/>
      <c r="FS579" s="663"/>
      <c r="FT579" s="663"/>
      <c r="FU579" s="663"/>
      <c r="FV579" s="663"/>
      <c r="FW579" s="663"/>
      <c r="FX579" s="663"/>
      <c r="FY579" s="663"/>
      <c r="FZ579" s="663"/>
      <c r="GA579" s="663"/>
      <c r="GB579" s="663"/>
      <c r="GC579" s="663"/>
      <c r="GD579" s="663"/>
      <c r="GE579" s="663"/>
      <c r="GF579" s="663"/>
      <c r="GG579" s="663"/>
    </row>
    <row r="580" spans="1:189">
      <c r="A580" s="670"/>
      <c r="B580" s="670"/>
      <c r="C580" s="670"/>
      <c r="D580" s="670"/>
      <c r="E580" s="670"/>
      <c r="F580" s="670"/>
      <c r="G580" s="673"/>
      <c r="H580" s="627"/>
      <c r="I580" s="627"/>
      <c r="J580" s="672"/>
      <c r="K580" s="663"/>
      <c r="L580" s="663"/>
      <c r="M580" s="663"/>
      <c r="N580" s="663"/>
      <c r="O580" s="663"/>
      <c r="P580" s="663"/>
      <c r="Q580" s="663"/>
      <c r="R580" s="663"/>
      <c r="S580" s="663"/>
      <c r="T580" s="663"/>
      <c r="U580" s="663"/>
      <c r="V580" s="663"/>
      <c r="W580" s="663"/>
      <c r="X580" s="663"/>
      <c r="Y580" s="663"/>
      <c r="Z580" s="663"/>
      <c r="AA580" s="663"/>
      <c r="AB580" s="663"/>
      <c r="AC580" s="663"/>
      <c r="AD580" s="663"/>
      <c r="AE580" s="663"/>
      <c r="AF580" s="663"/>
      <c r="AG580" s="663"/>
      <c r="AH580" s="663"/>
      <c r="AI580" s="663"/>
      <c r="AJ580" s="663"/>
      <c r="AK580" s="663"/>
      <c r="AL580" s="663"/>
      <c r="AM580" s="663"/>
      <c r="AN580" s="663"/>
      <c r="AO580" s="663"/>
      <c r="AP580" s="663"/>
      <c r="AQ580" s="663"/>
      <c r="AR580" s="663"/>
      <c r="AS580" s="663"/>
      <c r="AT580" s="663"/>
      <c r="AU580" s="663"/>
      <c r="AV580" s="663"/>
      <c r="AW580" s="663"/>
      <c r="AX580" s="663"/>
      <c r="AY580" s="663"/>
      <c r="AZ580" s="663"/>
      <c r="BA580" s="663"/>
      <c r="BB580" s="663"/>
      <c r="BC580" s="663"/>
      <c r="BD580" s="663"/>
      <c r="BE580" s="663"/>
      <c r="BF580" s="663"/>
      <c r="BG580" s="663"/>
      <c r="BH580" s="663"/>
      <c r="BI580" s="663"/>
      <c r="BJ580" s="663"/>
      <c r="BK580" s="663"/>
      <c r="BL580" s="663"/>
      <c r="BM580" s="663"/>
      <c r="BN580" s="663"/>
      <c r="BO580" s="663"/>
      <c r="BP580" s="663"/>
      <c r="BQ580" s="663"/>
      <c r="BR580" s="663"/>
      <c r="BS580" s="663"/>
      <c r="BT580" s="663"/>
      <c r="BU580" s="663"/>
      <c r="BV580" s="663"/>
      <c r="BW580" s="663"/>
      <c r="BX580" s="663"/>
      <c r="BY580" s="663"/>
      <c r="BZ580" s="663"/>
      <c r="CA580" s="663"/>
      <c r="CB580" s="663"/>
      <c r="CC580" s="663"/>
      <c r="CD580" s="663"/>
      <c r="CE580" s="663"/>
      <c r="CF580" s="663"/>
      <c r="CG580" s="663"/>
      <c r="CH580" s="663"/>
      <c r="CI580" s="663"/>
      <c r="CJ580" s="663"/>
      <c r="CK580" s="663"/>
      <c r="CL580" s="663"/>
      <c r="CM580" s="663"/>
      <c r="CN580" s="663"/>
      <c r="CO580" s="663"/>
      <c r="CP580" s="663"/>
      <c r="CQ580" s="663"/>
      <c r="CR580" s="663"/>
      <c r="CS580" s="663"/>
      <c r="CT580" s="663"/>
      <c r="CU580" s="663"/>
      <c r="CV580" s="663"/>
      <c r="CW580" s="663"/>
      <c r="CX580" s="663"/>
      <c r="CY580" s="663"/>
      <c r="CZ580" s="663"/>
      <c r="DA580" s="663"/>
      <c r="DB580" s="663"/>
      <c r="DC580" s="663"/>
      <c r="DD580" s="663"/>
      <c r="DE580" s="663"/>
      <c r="DF580" s="663"/>
      <c r="DG580" s="663"/>
      <c r="DH580" s="663"/>
      <c r="DI580" s="663"/>
      <c r="DJ580" s="663"/>
      <c r="DK580" s="663"/>
      <c r="DL580" s="663"/>
      <c r="DM580" s="663"/>
      <c r="DN580" s="663"/>
      <c r="DO580" s="663"/>
      <c r="DP580" s="663"/>
      <c r="DQ580" s="663"/>
      <c r="DR580" s="663"/>
      <c r="DS580" s="663"/>
      <c r="DT580" s="663"/>
      <c r="DU580" s="663"/>
      <c r="DV580" s="663"/>
      <c r="DW580" s="663"/>
      <c r="DX580" s="663"/>
      <c r="DY580" s="663"/>
      <c r="DZ580" s="663"/>
      <c r="EA580" s="663"/>
      <c r="EB580" s="663"/>
      <c r="EC580" s="663"/>
      <c r="ED580" s="663"/>
      <c r="EE580" s="663"/>
      <c r="EF580" s="663"/>
      <c r="EG580" s="663"/>
      <c r="EH580" s="663"/>
      <c r="EI580" s="663"/>
      <c r="EJ580" s="663"/>
      <c r="EK580" s="663"/>
      <c r="EL580" s="663"/>
      <c r="EM580" s="663"/>
      <c r="EN580" s="663"/>
      <c r="EO580" s="663"/>
      <c r="EP580" s="663"/>
      <c r="EQ580" s="663"/>
      <c r="ER580" s="663"/>
      <c r="ES580" s="663"/>
      <c r="ET580" s="663"/>
      <c r="EU580" s="663"/>
      <c r="EV580" s="663"/>
      <c r="EW580" s="663"/>
      <c r="EX580" s="663"/>
      <c r="EY580" s="663"/>
      <c r="EZ580" s="663"/>
      <c r="FA580" s="663"/>
      <c r="FB580" s="663"/>
      <c r="FC580" s="663"/>
      <c r="FD580" s="663"/>
      <c r="FE580" s="663"/>
      <c r="FF580" s="663"/>
      <c r="FG580" s="663"/>
      <c r="FH580" s="663"/>
      <c r="FI580" s="663"/>
      <c r="FJ580" s="663"/>
      <c r="FK580" s="663"/>
      <c r="FL580" s="663"/>
      <c r="FM580" s="663"/>
      <c r="FN580" s="663"/>
      <c r="FO580" s="663"/>
      <c r="FP580" s="663"/>
      <c r="FQ580" s="663"/>
      <c r="FR580" s="663"/>
      <c r="FS580" s="663"/>
      <c r="FT580" s="663"/>
      <c r="FU580" s="663"/>
      <c r="FV580" s="663"/>
      <c r="FW580" s="663"/>
      <c r="FX580" s="663"/>
      <c r="FY580" s="663"/>
      <c r="FZ580" s="663"/>
      <c r="GA580" s="663"/>
      <c r="GB580" s="663"/>
      <c r="GC580" s="663"/>
      <c r="GD580" s="663"/>
      <c r="GE580" s="663"/>
      <c r="GF580" s="663"/>
      <c r="GG580" s="663"/>
    </row>
    <row r="581" spans="1:189">
      <c r="A581" s="670"/>
      <c r="B581" s="670"/>
      <c r="C581" s="670"/>
      <c r="D581" s="670"/>
      <c r="E581" s="670"/>
      <c r="F581" s="670"/>
      <c r="G581" s="673"/>
      <c r="H581" s="627"/>
      <c r="I581" s="627"/>
      <c r="J581" s="672"/>
      <c r="K581" s="663"/>
      <c r="L581" s="663"/>
      <c r="M581" s="663"/>
      <c r="N581" s="663"/>
      <c r="O581" s="663"/>
      <c r="P581" s="663"/>
      <c r="Q581" s="663"/>
      <c r="R581" s="663"/>
      <c r="S581" s="663"/>
      <c r="T581" s="663"/>
      <c r="U581" s="663"/>
      <c r="V581" s="663"/>
      <c r="W581" s="663"/>
      <c r="X581" s="663"/>
      <c r="Y581" s="663"/>
      <c r="Z581" s="663"/>
      <c r="AA581" s="663"/>
      <c r="AB581" s="663"/>
      <c r="AC581" s="663"/>
      <c r="AD581" s="663"/>
      <c r="AE581" s="663"/>
      <c r="AF581" s="663"/>
      <c r="AG581" s="663"/>
      <c r="AH581" s="663"/>
      <c r="AI581" s="663"/>
      <c r="AJ581" s="663"/>
      <c r="AK581" s="663"/>
      <c r="AL581" s="663"/>
      <c r="AM581" s="663"/>
      <c r="AN581" s="663"/>
      <c r="AO581" s="663"/>
      <c r="AP581" s="663"/>
      <c r="AQ581" s="663"/>
      <c r="AR581" s="663"/>
      <c r="AS581" s="663"/>
      <c r="AT581" s="663"/>
      <c r="AU581" s="663"/>
      <c r="AV581" s="663"/>
      <c r="AW581" s="663"/>
      <c r="AX581" s="663"/>
      <c r="AY581" s="663"/>
      <c r="AZ581" s="663"/>
      <c r="BA581" s="663"/>
      <c r="BB581" s="663"/>
      <c r="BC581" s="663"/>
      <c r="BD581" s="663"/>
      <c r="BE581" s="663"/>
      <c r="BF581" s="663"/>
      <c r="BG581" s="663"/>
      <c r="BH581" s="663"/>
      <c r="BI581" s="663"/>
      <c r="BJ581" s="663"/>
      <c r="BK581" s="663"/>
      <c r="BL581" s="663"/>
      <c r="BM581" s="663"/>
      <c r="BN581" s="663"/>
      <c r="BO581" s="663"/>
      <c r="BP581" s="663"/>
      <c r="BQ581" s="663"/>
      <c r="BR581" s="663"/>
      <c r="BS581" s="663"/>
      <c r="BT581" s="663"/>
      <c r="BU581" s="663"/>
      <c r="BV581" s="663"/>
      <c r="BW581" s="663"/>
      <c r="BX581" s="663"/>
      <c r="BY581" s="663"/>
      <c r="BZ581" s="663"/>
      <c r="CA581" s="663"/>
      <c r="CB581" s="663"/>
      <c r="CC581" s="663"/>
      <c r="CD581" s="663"/>
      <c r="CE581" s="663"/>
      <c r="CF581" s="663"/>
      <c r="CG581" s="663"/>
      <c r="CH581" s="663"/>
      <c r="CI581" s="663"/>
      <c r="CJ581" s="663"/>
      <c r="CK581" s="663"/>
      <c r="CL581" s="663"/>
      <c r="CM581" s="663"/>
      <c r="CN581" s="663"/>
      <c r="CO581" s="663"/>
      <c r="CP581" s="663"/>
      <c r="CQ581" s="663"/>
      <c r="CR581" s="663"/>
      <c r="CS581" s="663"/>
      <c r="CT581" s="663"/>
      <c r="CU581" s="663"/>
      <c r="CV581" s="663"/>
      <c r="CW581" s="663"/>
      <c r="CX581" s="663"/>
      <c r="CY581" s="663"/>
      <c r="CZ581" s="663"/>
      <c r="DA581" s="663"/>
      <c r="DB581" s="663"/>
      <c r="DC581" s="663"/>
      <c r="DD581" s="663"/>
      <c r="DE581" s="663"/>
      <c r="DF581" s="663"/>
      <c r="DG581" s="663"/>
      <c r="DH581" s="663"/>
      <c r="DI581" s="663"/>
      <c r="DJ581" s="663"/>
      <c r="DK581" s="663"/>
      <c r="DL581" s="663"/>
      <c r="DM581" s="663"/>
      <c r="DN581" s="663"/>
      <c r="DO581" s="663"/>
      <c r="DP581" s="663"/>
      <c r="DQ581" s="663"/>
      <c r="DR581" s="663"/>
      <c r="DS581" s="663"/>
      <c r="DT581" s="663"/>
      <c r="DU581" s="663"/>
      <c r="DV581" s="663"/>
      <c r="DW581" s="663"/>
      <c r="DX581" s="663"/>
      <c r="DY581" s="663"/>
      <c r="DZ581" s="663"/>
      <c r="EA581" s="663"/>
      <c r="EB581" s="663"/>
      <c r="EC581" s="663"/>
      <c r="ED581" s="663"/>
      <c r="EE581" s="663"/>
      <c r="EF581" s="663"/>
      <c r="EG581" s="663"/>
      <c r="EH581" s="663"/>
      <c r="EI581" s="663"/>
      <c r="EJ581" s="663"/>
      <c r="EK581" s="663"/>
      <c r="EL581" s="663"/>
      <c r="EM581" s="663"/>
      <c r="EN581" s="663"/>
      <c r="EO581" s="663"/>
      <c r="EP581" s="663"/>
      <c r="EQ581" s="663"/>
      <c r="ER581" s="663"/>
      <c r="ES581" s="663"/>
      <c r="ET581" s="663"/>
      <c r="EU581" s="663"/>
      <c r="EV581" s="663"/>
      <c r="EW581" s="663"/>
      <c r="EX581" s="663"/>
      <c r="EY581" s="663"/>
      <c r="EZ581" s="663"/>
      <c r="FA581" s="663"/>
      <c r="FB581" s="663"/>
      <c r="FC581" s="663"/>
      <c r="FD581" s="663"/>
      <c r="FE581" s="663"/>
      <c r="FF581" s="663"/>
      <c r="FG581" s="663"/>
      <c r="FH581" s="663"/>
      <c r="FI581" s="663"/>
      <c r="FJ581" s="663"/>
      <c r="FK581" s="663"/>
      <c r="FL581" s="663"/>
      <c r="FM581" s="663"/>
      <c r="FN581" s="663"/>
      <c r="FO581" s="663"/>
      <c r="FP581" s="663"/>
      <c r="FQ581" s="663"/>
      <c r="FR581" s="663"/>
      <c r="FS581" s="663"/>
      <c r="FT581" s="663"/>
      <c r="FU581" s="663"/>
      <c r="FV581" s="663"/>
      <c r="FW581" s="663"/>
      <c r="FX581" s="663"/>
      <c r="FY581" s="663"/>
      <c r="FZ581" s="663"/>
      <c r="GA581" s="663"/>
      <c r="GB581" s="663"/>
      <c r="GC581" s="663"/>
      <c r="GD581" s="663"/>
      <c r="GE581" s="663"/>
      <c r="GF581" s="663"/>
      <c r="GG581" s="663"/>
    </row>
    <row r="582" spans="1:189">
      <c r="A582" s="670"/>
      <c r="B582" s="670"/>
      <c r="C582" s="670"/>
      <c r="D582" s="670"/>
      <c r="E582" s="670"/>
      <c r="F582" s="670"/>
      <c r="G582" s="673"/>
      <c r="H582" s="627"/>
      <c r="I582" s="627"/>
      <c r="J582" s="672"/>
      <c r="K582" s="663"/>
      <c r="L582" s="663"/>
      <c r="M582" s="663"/>
      <c r="N582" s="663"/>
      <c r="O582" s="663"/>
      <c r="P582" s="663"/>
      <c r="Q582" s="663"/>
      <c r="R582" s="663"/>
      <c r="S582" s="663"/>
      <c r="T582" s="663"/>
      <c r="U582" s="663"/>
      <c r="V582" s="663"/>
      <c r="W582" s="663"/>
      <c r="X582" s="663"/>
      <c r="Y582" s="663"/>
      <c r="Z582" s="663"/>
      <c r="AA582" s="663"/>
      <c r="AB582" s="663"/>
      <c r="AC582" s="663"/>
      <c r="AD582" s="663"/>
      <c r="AE582" s="663"/>
      <c r="AF582" s="663"/>
      <c r="AG582" s="663"/>
      <c r="AH582" s="663"/>
      <c r="AI582" s="663"/>
      <c r="AJ582" s="663"/>
      <c r="AK582" s="663"/>
      <c r="AL582" s="663"/>
      <c r="AM582" s="663"/>
      <c r="AN582" s="663"/>
      <c r="AO582" s="663"/>
      <c r="AP582" s="663"/>
      <c r="AQ582" s="663"/>
      <c r="AR582" s="663"/>
      <c r="AS582" s="663"/>
      <c r="AT582" s="663"/>
      <c r="AU582" s="663"/>
      <c r="AV582" s="663"/>
      <c r="AW582" s="663"/>
      <c r="AX582" s="663"/>
      <c r="AY582" s="663"/>
      <c r="AZ582" s="663"/>
      <c r="BA582" s="663"/>
      <c r="BB582" s="663"/>
      <c r="BC582" s="663"/>
      <c r="BD582" s="663"/>
      <c r="BE582" s="663"/>
      <c r="BF582" s="663"/>
      <c r="BG582" s="663"/>
      <c r="BH582" s="663"/>
      <c r="BI582" s="663"/>
      <c r="BJ582" s="663"/>
      <c r="BK582" s="663"/>
      <c r="BL582" s="663"/>
      <c r="BM582" s="663"/>
      <c r="BN582" s="663"/>
      <c r="BO582" s="663"/>
      <c r="BP582" s="663"/>
      <c r="BQ582" s="663"/>
      <c r="BR582" s="663"/>
      <c r="BS582" s="663"/>
      <c r="BT582" s="663"/>
      <c r="BU582" s="663"/>
      <c r="BV582" s="663"/>
      <c r="BW582" s="663"/>
      <c r="BX582" s="663"/>
      <c r="BY582" s="663"/>
      <c r="BZ582" s="663"/>
      <c r="CA582" s="663"/>
      <c r="CB582" s="663"/>
      <c r="CC582" s="663"/>
      <c r="CD582" s="663"/>
      <c r="CE582" s="663"/>
      <c r="CF582" s="663"/>
      <c r="CG582" s="663"/>
      <c r="CH582" s="663"/>
      <c r="CI582" s="663"/>
      <c r="CJ582" s="663"/>
      <c r="CK582" s="663"/>
      <c r="CL582" s="663"/>
      <c r="CM582" s="663"/>
      <c r="CN582" s="663"/>
      <c r="CO582" s="663"/>
      <c r="CP582" s="663"/>
      <c r="CQ582" s="663"/>
      <c r="CR582" s="663"/>
      <c r="CS582" s="663"/>
      <c r="CT582" s="663"/>
      <c r="CU582" s="663"/>
      <c r="CV582" s="663"/>
      <c r="CW582" s="663"/>
      <c r="CX582" s="663"/>
      <c r="CY582" s="663"/>
      <c r="CZ582" s="663"/>
      <c r="DA582" s="663"/>
      <c r="DB582" s="663"/>
      <c r="DC582" s="663"/>
      <c r="DD582" s="663"/>
      <c r="DE582" s="663"/>
      <c r="DF582" s="663"/>
      <c r="DG582" s="663"/>
      <c r="DH582" s="663"/>
      <c r="DI582" s="663"/>
      <c r="DJ582" s="663"/>
      <c r="DK582" s="663"/>
      <c r="DL582" s="663"/>
      <c r="DM582" s="663"/>
      <c r="DN582" s="663"/>
      <c r="DO582" s="663"/>
      <c r="DP582" s="663"/>
      <c r="DQ582" s="663"/>
      <c r="DR582" s="663"/>
      <c r="DS582" s="663"/>
      <c r="DT582" s="663"/>
      <c r="DU582" s="663"/>
      <c r="DV582" s="663"/>
      <c r="DW582" s="663"/>
      <c r="DX582" s="663"/>
      <c r="DY582" s="663"/>
      <c r="DZ582" s="663"/>
      <c r="EA582" s="663"/>
      <c r="EB582" s="663"/>
      <c r="EC582" s="663"/>
      <c r="ED582" s="663"/>
      <c r="EE582" s="663"/>
      <c r="EF582" s="663"/>
      <c r="EG582" s="663"/>
      <c r="EH582" s="663"/>
      <c r="EI582" s="663"/>
      <c r="EJ582" s="663"/>
      <c r="EK582" s="663"/>
      <c r="EL582" s="663"/>
      <c r="EM582" s="663"/>
      <c r="EN582" s="663"/>
      <c r="EO582" s="663"/>
      <c r="EP582" s="663"/>
      <c r="EQ582" s="663"/>
      <c r="ER582" s="663"/>
      <c r="ES582" s="663"/>
      <c r="ET582" s="663"/>
      <c r="EU582" s="663"/>
      <c r="EV582" s="663"/>
      <c r="EW582" s="663"/>
      <c r="EX582" s="663"/>
      <c r="EY582" s="663"/>
      <c r="EZ582" s="663"/>
      <c r="FA582" s="663"/>
      <c r="FB582" s="663"/>
      <c r="FC582" s="663"/>
      <c r="FD582" s="663"/>
      <c r="FE582" s="663"/>
      <c r="FF582" s="663"/>
      <c r="FG582" s="663"/>
      <c r="FH582" s="663"/>
      <c r="FI582" s="663"/>
      <c r="FJ582" s="663"/>
      <c r="FK582" s="663"/>
      <c r="FL582" s="663"/>
      <c r="FM582" s="663"/>
      <c r="FN582" s="663"/>
      <c r="FO582" s="663"/>
      <c r="FP582" s="663"/>
      <c r="FQ582" s="663"/>
      <c r="FR582" s="663"/>
      <c r="FS582" s="663"/>
      <c r="FT582" s="663"/>
      <c r="FU582" s="663"/>
      <c r="FV582" s="663"/>
      <c r="FW582" s="663"/>
      <c r="FX582" s="663"/>
      <c r="FY582" s="663"/>
      <c r="FZ582" s="663"/>
      <c r="GA582" s="663"/>
      <c r="GB582" s="663"/>
      <c r="GC582" s="663"/>
      <c r="GD582" s="663"/>
      <c r="GE582" s="663"/>
      <c r="GF582" s="663"/>
      <c r="GG582" s="663"/>
    </row>
    <row r="583" spans="1:189">
      <c r="A583" s="670"/>
      <c r="B583" s="670"/>
      <c r="C583" s="670"/>
      <c r="D583" s="670"/>
      <c r="E583" s="670"/>
      <c r="F583" s="670"/>
      <c r="G583" s="673"/>
      <c r="H583" s="627"/>
      <c r="I583" s="627"/>
      <c r="J583" s="672"/>
      <c r="K583" s="663"/>
      <c r="L583" s="663"/>
      <c r="M583" s="663"/>
      <c r="N583" s="663"/>
      <c r="O583" s="663"/>
      <c r="P583" s="663"/>
      <c r="Q583" s="663"/>
      <c r="R583" s="663"/>
      <c r="S583" s="663"/>
      <c r="T583" s="663"/>
      <c r="U583" s="663"/>
      <c r="V583" s="663"/>
      <c r="W583" s="663"/>
      <c r="X583" s="663"/>
      <c r="Y583" s="663"/>
      <c r="Z583" s="663"/>
      <c r="AA583" s="663"/>
      <c r="AB583" s="663"/>
      <c r="AC583" s="663"/>
      <c r="AD583" s="663"/>
      <c r="AE583" s="663"/>
      <c r="AF583" s="663"/>
      <c r="AG583" s="663"/>
      <c r="AH583" s="663"/>
      <c r="AI583" s="663"/>
      <c r="AJ583" s="663"/>
      <c r="AK583" s="663"/>
      <c r="AL583" s="663"/>
      <c r="AM583" s="663"/>
      <c r="AN583" s="663"/>
      <c r="AO583" s="663"/>
      <c r="AP583" s="663"/>
      <c r="AQ583" s="663"/>
      <c r="AR583" s="663"/>
      <c r="AS583" s="663"/>
      <c r="AT583" s="663"/>
      <c r="AU583" s="663"/>
      <c r="AV583" s="663"/>
      <c r="AW583" s="663"/>
      <c r="AX583" s="663"/>
      <c r="AY583" s="663"/>
      <c r="AZ583" s="663"/>
      <c r="BA583" s="663"/>
      <c r="BB583" s="663"/>
      <c r="BC583" s="663"/>
      <c r="BD583" s="663"/>
      <c r="BE583" s="663"/>
      <c r="BF583" s="663"/>
      <c r="BG583" s="663"/>
      <c r="BH583" s="663"/>
      <c r="BI583" s="663"/>
      <c r="BJ583" s="663"/>
      <c r="BK583" s="663"/>
      <c r="BL583" s="663"/>
      <c r="BM583" s="663"/>
      <c r="BN583" s="663"/>
      <c r="BO583" s="663"/>
      <c r="BP583" s="663"/>
      <c r="BQ583" s="663"/>
      <c r="BR583" s="663"/>
      <c r="BS583" s="663"/>
      <c r="BT583" s="663"/>
      <c r="BU583" s="663"/>
      <c r="BV583" s="663"/>
      <c r="BW583" s="663"/>
      <c r="BX583" s="663"/>
      <c r="BY583" s="663"/>
      <c r="BZ583" s="663"/>
      <c r="CA583" s="663"/>
      <c r="CB583" s="663"/>
      <c r="CC583" s="663"/>
      <c r="CD583" s="663"/>
      <c r="CE583" s="663"/>
      <c r="CF583" s="663"/>
      <c r="CG583" s="663"/>
      <c r="CH583" s="663"/>
      <c r="CI583" s="663"/>
      <c r="CJ583" s="663"/>
      <c r="CK583" s="663"/>
      <c r="CL583" s="663"/>
      <c r="CM583" s="663"/>
      <c r="CN583" s="663"/>
      <c r="CO583" s="663"/>
      <c r="CP583" s="663"/>
      <c r="CQ583" s="663"/>
      <c r="CR583" s="663"/>
      <c r="CS583" s="663"/>
      <c r="CT583" s="663"/>
      <c r="CU583" s="663"/>
      <c r="CV583" s="663"/>
      <c r="CW583" s="663"/>
      <c r="CX583" s="663"/>
      <c r="CY583" s="663"/>
      <c r="CZ583" s="663"/>
      <c r="DA583" s="663"/>
      <c r="DB583" s="663"/>
      <c r="DC583" s="663"/>
      <c r="DD583" s="663"/>
      <c r="DE583" s="663"/>
      <c r="DF583" s="663"/>
      <c r="DG583" s="663"/>
      <c r="DH583" s="663"/>
      <c r="DI583" s="663"/>
      <c r="DJ583" s="663"/>
      <c r="DK583" s="663"/>
      <c r="DL583" s="663"/>
      <c r="DM583" s="663"/>
      <c r="DN583" s="663"/>
      <c r="DO583" s="663"/>
      <c r="DP583" s="663"/>
      <c r="DQ583" s="663"/>
      <c r="DR583" s="663"/>
      <c r="DS583" s="663"/>
      <c r="DT583" s="663"/>
      <c r="DU583" s="663"/>
      <c r="DV583" s="663"/>
      <c r="DW583" s="663"/>
      <c r="DX583" s="663"/>
      <c r="DY583" s="663"/>
      <c r="DZ583" s="663"/>
      <c r="EA583" s="663"/>
      <c r="EB583" s="663"/>
      <c r="EC583" s="663"/>
      <c r="ED583" s="663"/>
      <c r="EE583" s="663"/>
      <c r="EF583" s="663"/>
      <c r="EG583" s="663"/>
      <c r="EH583" s="663"/>
      <c r="EI583" s="663"/>
      <c r="EJ583" s="663"/>
      <c r="EK583" s="663"/>
      <c r="EL583" s="663"/>
      <c r="EM583" s="663"/>
      <c r="EN583" s="663"/>
      <c r="EO583" s="663"/>
      <c r="EP583" s="663"/>
      <c r="EQ583" s="663"/>
      <c r="ER583" s="663"/>
      <c r="ES583" s="663"/>
      <c r="ET583" s="663"/>
      <c r="EU583" s="663"/>
      <c r="EV583" s="663"/>
      <c r="EW583" s="663"/>
      <c r="EX583" s="663"/>
      <c r="EY583" s="663"/>
      <c r="EZ583" s="663"/>
      <c r="FA583" s="663"/>
      <c r="FB583" s="663"/>
      <c r="FC583" s="663"/>
      <c r="FD583" s="663"/>
      <c r="FE583" s="663"/>
      <c r="FF583" s="663"/>
      <c r="FG583" s="663"/>
      <c r="FH583" s="663"/>
      <c r="FI583" s="663"/>
      <c r="FJ583" s="663"/>
      <c r="FK583" s="663"/>
      <c r="FL583" s="663"/>
      <c r="FM583" s="663"/>
      <c r="FN583" s="663"/>
      <c r="FO583" s="663"/>
      <c r="FP583" s="663"/>
      <c r="FQ583" s="663"/>
      <c r="FR583" s="663"/>
      <c r="FS583" s="663"/>
      <c r="FT583" s="663"/>
      <c r="FU583" s="663"/>
      <c r="FV583" s="663"/>
      <c r="FW583" s="663"/>
      <c r="FX583" s="663"/>
      <c r="FY583" s="663"/>
      <c r="FZ583" s="663"/>
      <c r="GA583" s="663"/>
      <c r="GB583" s="663"/>
      <c r="GC583" s="663"/>
      <c r="GD583" s="663"/>
      <c r="GE583" s="663"/>
      <c r="GF583" s="663"/>
      <c r="GG583" s="663"/>
    </row>
    <row r="584" spans="1:189">
      <c r="A584" s="670"/>
      <c r="B584" s="670"/>
      <c r="C584" s="670"/>
      <c r="D584" s="670"/>
      <c r="E584" s="670"/>
      <c r="F584" s="670"/>
      <c r="G584" s="673"/>
      <c r="H584" s="627"/>
      <c r="I584" s="627"/>
      <c r="J584" s="672"/>
      <c r="K584" s="663"/>
      <c r="L584" s="663"/>
      <c r="M584" s="663"/>
      <c r="N584" s="663"/>
      <c r="O584" s="663"/>
      <c r="P584" s="663"/>
      <c r="Q584" s="663"/>
      <c r="R584" s="663"/>
      <c r="S584" s="663"/>
      <c r="T584" s="663"/>
      <c r="U584" s="663"/>
      <c r="V584" s="663"/>
      <c r="W584" s="663"/>
      <c r="X584" s="663"/>
      <c r="Y584" s="663"/>
      <c r="Z584" s="663"/>
      <c r="AA584" s="663"/>
      <c r="AB584" s="663"/>
      <c r="AC584" s="663"/>
      <c r="AD584" s="663"/>
      <c r="AE584" s="663"/>
      <c r="AF584" s="663"/>
      <c r="AG584" s="663"/>
      <c r="AH584" s="663"/>
      <c r="AI584" s="663"/>
      <c r="AJ584" s="663"/>
      <c r="AK584" s="663"/>
      <c r="AL584" s="663"/>
      <c r="AM584" s="663"/>
      <c r="AN584" s="663"/>
      <c r="AO584" s="663"/>
      <c r="AP584" s="663"/>
      <c r="AQ584" s="663"/>
      <c r="AR584" s="663"/>
      <c r="AS584" s="663"/>
      <c r="AT584" s="663"/>
      <c r="AU584" s="663"/>
      <c r="AV584" s="663"/>
      <c r="AW584" s="663"/>
      <c r="AX584" s="663"/>
      <c r="AY584" s="663"/>
      <c r="AZ584" s="663"/>
      <c r="BA584" s="663"/>
      <c r="BB584" s="663"/>
      <c r="BC584" s="663"/>
      <c r="BD584" s="663"/>
      <c r="BE584" s="663"/>
      <c r="BF584" s="663"/>
      <c r="BG584" s="663"/>
      <c r="BH584" s="663"/>
      <c r="BI584" s="663"/>
      <c r="BJ584" s="663"/>
      <c r="BK584" s="663"/>
      <c r="BL584" s="663"/>
      <c r="BM584" s="663"/>
      <c r="BN584" s="663"/>
      <c r="BO584" s="663"/>
      <c r="BP584" s="663"/>
      <c r="BQ584" s="663"/>
      <c r="BR584" s="663"/>
      <c r="BS584" s="663"/>
      <c r="BT584" s="663"/>
      <c r="BU584" s="663"/>
      <c r="BV584" s="663"/>
      <c r="BW584" s="663"/>
      <c r="BX584" s="663"/>
      <c r="BY584" s="663"/>
      <c r="BZ584" s="663"/>
      <c r="CA584" s="663"/>
      <c r="CB584" s="663"/>
      <c r="CC584" s="663"/>
      <c r="CD584" s="663"/>
      <c r="CE584" s="663"/>
      <c r="CF584" s="663"/>
      <c r="CG584" s="663"/>
      <c r="CH584" s="663"/>
      <c r="CI584" s="663"/>
      <c r="CJ584" s="663"/>
      <c r="CK584" s="663"/>
      <c r="CL584" s="663"/>
      <c r="CM584" s="663"/>
      <c r="CN584" s="663"/>
      <c r="CO584" s="663"/>
      <c r="CP584" s="663"/>
      <c r="CQ584" s="663"/>
      <c r="CR584" s="663"/>
      <c r="CS584" s="663"/>
      <c r="CT584" s="663"/>
      <c r="CU584" s="663"/>
      <c r="CV584" s="663"/>
      <c r="CW584" s="663"/>
      <c r="CX584" s="663"/>
      <c r="CY584" s="663"/>
      <c r="CZ584" s="663"/>
      <c r="DA584" s="663"/>
      <c r="DB584" s="663"/>
      <c r="DC584" s="663"/>
      <c r="DD584" s="663"/>
      <c r="DE584" s="663"/>
      <c r="DF584" s="663"/>
      <c r="DG584" s="663"/>
      <c r="DH584" s="663"/>
      <c r="DI584" s="663"/>
      <c r="DJ584" s="663"/>
      <c r="DK584" s="663"/>
      <c r="DL584" s="663"/>
      <c r="DM584" s="663"/>
      <c r="DN584" s="663"/>
      <c r="DO584" s="663"/>
      <c r="DP584" s="663"/>
      <c r="DQ584" s="663"/>
      <c r="DR584" s="663"/>
      <c r="DS584" s="663"/>
      <c r="DT584" s="663"/>
      <c r="DU584" s="663"/>
      <c r="DV584" s="663"/>
      <c r="DW584" s="663"/>
      <c r="DX584" s="663"/>
      <c r="DY584" s="663"/>
      <c r="DZ584" s="663"/>
      <c r="EA584" s="663"/>
      <c r="EB584" s="663"/>
      <c r="EC584" s="663"/>
      <c r="ED584" s="663"/>
      <c r="EE584" s="663"/>
      <c r="EF584" s="663"/>
      <c r="EG584" s="663"/>
      <c r="EH584" s="663"/>
      <c r="EI584" s="663"/>
      <c r="EJ584" s="663"/>
      <c r="EK584" s="663"/>
      <c r="EL584" s="663"/>
      <c r="EM584" s="663"/>
      <c r="EN584" s="663"/>
      <c r="EO584" s="663"/>
      <c r="EP584" s="663"/>
      <c r="EQ584" s="663"/>
      <c r="ER584" s="663"/>
      <c r="ES584" s="663"/>
      <c r="ET584" s="663"/>
      <c r="EU584" s="663"/>
      <c r="EV584" s="663"/>
      <c r="EW584" s="663"/>
      <c r="EX584" s="663"/>
      <c r="EY584" s="663"/>
      <c r="EZ584" s="663"/>
      <c r="FA584" s="663"/>
      <c r="FB584" s="663"/>
      <c r="FC584" s="663"/>
      <c r="FD584" s="663"/>
      <c r="FE584" s="663"/>
      <c r="FF584" s="663"/>
      <c r="FG584" s="663"/>
      <c r="FH584" s="663"/>
      <c r="FI584" s="663"/>
      <c r="FJ584" s="663"/>
      <c r="FK584" s="663"/>
      <c r="FL584" s="663"/>
      <c r="FM584" s="663"/>
      <c r="FN584" s="663"/>
      <c r="FO584" s="663"/>
      <c r="FP584" s="663"/>
      <c r="FQ584" s="663"/>
      <c r="FR584" s="663"/>
      <c r="FS584" s="663"/>
      <c r="FT584" s="663"/>
      <c r="FU584" s="663"/>
      <c r="FV584" s="663"/>
      <c r="FW584" s="663"/>
      <c r="FX584" s="663"/>
      <c r="FY584" s="663"/>
      <c r="FZ584" s="663"/>
      <c r="GA584" s="663"/>
      <c r="GB584" s="663"/>
      <c r="GC584" s="663"/>
      <c r="GD584" s="663"/>
      <c r="GE584" s="663"/>
      <c r="GF584" s="663"/>
      <c r="GG584" s="663"/>
    </row>
    <row r="585" spans="1:189">
      <c r="A585" s="670"/>
      <c r="B585" s="670"/>
      <c r="C585" s="670"/>
      <c r="D585" s="670"/>
      <c r="E585" s="670"/>
      <c r="F585" s="670"/>
      <c r="G585" s="673"/>
      <c r="H585" s="627"/>
      <c r="I585" s="627"/>
      <c r="J585" s="672"/>
      <c r="K585" s="663"/>
      <c r="L585" s="663"/>
      <c r="M585" s="663"/>
      <c r="N585" s="663"/>
      <c r="O585" s="663"/>
      <c r="P585" s="663"/>
      <c r="Q585" s="663"/>
      <c r="R585" s="663"/>
      <c r="S585" s="663"/>
      <c r="T585" s="663"/>
      <c r="U585" s="663"/>
      <c r="V585" s="663"/>
      <c r="W585" s="663"/>
      <c r="X585" s="663"/>
      <c r="Y585" s="663"/>
      <c r="Z585" s="663"/>
      <c r="AA585" s="663"/>
      <c r="AB585" s="663"/>
      <c r="AC585" s="663"/>
      <c r="AD585" s="663"/>
      <c r="AE585" s="663"/>
      <c r="AF585" s="663"/>
      <c r="AG585" s="663"/>
      <c r="AH585" s="663"/>
      <c r="AI585" s="663"/>
      <c r="AJ585" s="663"/>
      <c r="AK585" s="663"/>
      <c r="AL585" s="663"/>
      <c r="AM585" s="663"/>
      <c r="AN585" s="663"/>
      <c r="AO585" s="663"/>
      <c r="AP585" s="663"/>
      <c r="AQ585" s="663"/>
      <c r="AR585" s="663"/>
      <c r="AS585" s="663"/>
      <c r="AT585" s="663"/>
      <c r="AU585" s="663"/>
      <c r="AV585" s="663"/>
      <c r="AW585" s="663"/>
      <c r="AX585" s="663"/>
      <c r="AY585" s="663"/>
      <c r="AZ585" s="663"/>
      <c r="BA585" s="663"/>
      <c r="BB585" s="663"/>
      <c r="BC585" s="663"/>
      <c r="BD585" s="663"/>
      <c r="BE585" s="663"/>
      <c r="BF585" s="663"/>
      <c r="BG585" s="663"/>
      <c r="BH585" s="663"/>
      <c r="BI585" s="663"/>
      <c r="BJ585" s="663"/>
      <c r="BK585" s="663"/>
      <c r="BL585" s="663"/>
      <c r="BM585" s="663"/>
      <c r="BN585" s="663"/>
      <c r="BO585" s="663"/>
      <c r="BP585" s="663"/>
      <c r="BQ585" s="663"/>
      <c r="BR585" s="663"/>
      <c r="BS585" s="663"/>
      <c r="BT585" s="663"/>
      <c r="BU585" s="663"/>
      <c r="BV585" s="663"/>
      <c r="BW585" s="663"/>
      <c r="BX585" s="663"/>
      <c r="BY585" s="663"/>
      <c r="BZ585" s="663"/>
      <c r="CA585" s="663"/>
      <c r="CB585" s="663"/>
      <c r="CC585" s="663"/>
      <c r="CD585" s="663"/>
      <c r="CE585" s="663"/>
      <c r="CF585" s="663"/>
      <c r="CG585" s="663"/>
      <c r="CH585" s="663"/>
      <c r="CI585" s="663"/>
      <c r="CJ585" s="663"/>
      <c r="CK585" s="663"/>
      <c r="CL585" s="663"/>
      <c r="CM585" s="663"/>
      <c r="CN585" s="663"/>
      <c r="CO585" s="663"/>
      <c r="CP585" s="663"/>
      <c r="CQ585" s="663"/>
      <c r="CR585" s="663"/>
      <c r="CS585" s="663"/>
      <c r="CT585" s="663"/>
      <c r="CU585" s="663"/>
      <c r="CV585" s="663"/>
      <c r="CW585" s="663"/>
      <c r="CX585" s="663"/>
      <c r="CY585" s="663"/>
      <c r="CZ585" s="663"/>
      <c r="DA585" s="663"/>
      <c r="DB585" s="663"/>
      <c r="DC585" s="663"/>
      <c r="DD585" s="663"/>
      <c r="DE585" s="663"/>
      <c r="DF585" s="663"/>
      <c r="DG585" s="663"/>
      <c r="DH585" s="663"/>
      <c r="DI585" s="663"/>
      <c r="DJ585" s="663"/>
      <c r="DK585" s="663"/>
      <c r="DL585" s="663"/>
      <c r="DM585" s="663"/>
      <c r="DN585" s="663"/>
      <c r="DO585" s="663"/>
      <c r="DP585" s="663"/>
      <c r="DQ585" s="663"/>
      <c r="DR585" s="663"/>
      <c r="DS585" s="663"/>
      <c r="DT585" s="663"/>
      <c r="DU585" s="663"/>
      <c r="DV585" s="663"/>
      <c r="DW585" s="663"/>
      <c r="DX585" s="663"/>
      <c r="DY585" s="663"/>
      <c r="DZ585" s="663"/>
      <c r="EA585" s="663"/>
      <c r="EB585" s="663"/>
      <c r="EC585" s="663"/>
      <c r="ED585" s="663"/>
      <c r="EE585" s="663"/>
      <c r="EF585" s="663"/>
      <c r="EG585" s="663"/>
      <c r="EH585" s="663"/>
      <c r="EI585" s="663"/>
      <c r="EJ585" s="663"/>
      <c r="EK585" s="663"/>
      <c r="EL585" s="663"/>
      <c r="EM585" s="663"/>
      <c r="EN585" s="663"/>
      <c r="EO585" s="663"/>
      <c r="EP585" s="663"/>
      <c r="EQ585" s="663"/>
      <c r="ER585" s="663"/>
      <c r="ES585" s="663"/>
      <c r="ET585" s="663"/>
      <c r="EU585" s="663"/>
      <c r="EV585" s="663"/>
      <c r="EW585" s="663"/>
      <c r="EX585" s="663"/>
      <c r="EY585" s="663"/>
      <c r="EZ585" s="663"/>
      <c r="FA585" s="663"/>
      <c r="FB585" s="663"/>
      <c r="FC585" s="663"/>
      <c r="FD585" s="663"/>
      <c r="FE585" s="663"/>
      <c r="FF585" s="663"/>
      <c r="FG585" s="663"/>
      <c r="FH585" s="663"/>
      <c r="FI585" s="663"/>
      <c r="FJ585" s="663"/>
      <c r="FK585" s="663"/>
      <c r="FL585" s="663"/>
      <c r="FM585" s="663"/>
      <c r="FN585" s="663"/>
      <c r="FO585" s="663"/>
      <c r="FP585" s="663"/>
      <c r="FQ585" s="663"/>
      <c r="FR585" s="663"/>
      <c r="FS585" s="663"/>
      <c r="FT585" s="663"/>
      <c r="FU585" s="663"/>
      <c r="FV585" s="663"/>
      <c r="FW585" s="663"/>
      <c r="FX585" s="663"/>
      <c r="FY585" s="663"/>
      <c r="FZ585" s="663"/>
      <c r="GA585" s="663"/>
      <c r="GB585" s="663"/>
      <c r="GC585" s="663"/>
      <c r="GD585" s="663"/>
      <c r="GE585" s="663"/>
      <c r="GF585" s="663"/>
      <c r="GG585" s="663"/>
    </row>
    <row r="586" spans="1:189">
      <c r="A586" s="670"/>
      <c r="B586" s="670"/>
      <c r="C586" s="670"/>
      <c r="D586" s="670"/>
      <c r="E586" s="670"/>
      <c r="F586" s="670"/>
      <c r="G586" s="673"/>
      <c r="H586" s="627"/>
      <c r="I586" s="627"/>
      <c r="J586" s="672"/>
      <c r="K586" s="663"/>
      <c r="L586" s="663"/>
      <c r="M586" s="663"/>
      <c r="N586" s="663"/>
      <c r="O586" s="663"/>
      <c r="P586" s="663"/>
      <c r="Q586" s="663"/>
      <c r="R586" s="663"/>
      <c r="S586" s="663"/>
      <c r="T586" s="663"/>
      <c r="U586" s="663"/>
      <c r="V586" s="663"/>
      <c r="W586" s="663"/>
      <c r="X586" s="663"/>
      <c r="Y586" s="663"/>
      <c r="Z586" s="663"/>
      <c r="AA586" s="663"/>
      <c r="AB586" s="663"/>
      <c r="AC586" s="663"/>
      <c r="AD586" s="663"/>
      <c r="AE586" s="663"/>
      <c r="AF586" s="663"/>
      <c r="AG586" s="663"/>
      <c r="AH586" s="663"/>
      <c r="AI586" s="663"/>
      <c r="AJ586" s="663"/>
      <c r="AK586" s="663"/>
      <c r="AL586" s="663"/>
      <c r="AM586" s="663"/>
      <c r="AN586" s="663"/>
      <c r="AO586" s="663"/>
      <c r="AP586" s="663"/>
      <c r="AQ586" s="663"/>
      <c r="AR586" s="663"/>
      <c r="AS586" s="663"/>
      <c r="AT586" s="663"/>
      <c r="AU586" s="663"/>
      <c r="AV586" s="663"/>
      <c r="AW586" s="663"/>
      <c r="AX586" s="663"/>
      <c r="AY586" s="663"/>
      <c r="AZ586" s="663"/>
      <c r="BA586" s="663"/>
      <c r="BB586" s="663"/>
      <c r="BC586" s="663"/>
      <c r="BD586" s="663"/>
      <c r="BE586" s="663"/>
      <c r="BF586" s="663"/>
      <c r="BG586" s="663"/>
      <c r="BH586" s="663"/>
      <c r="BI586" s="663"/>
      <c r="BJ586" s="663"/>
      <c r="BK586" s="663"/>
      <c r="BL586" s="663"/>
      <c r="BM586" s="663"/>
      <c r="BN586" s="663"/>
      <c r="BO586" s="663"/>
      <c r="BP586" s="663"/>
      <c r="BQ586" s="663"/>
      <c r="BR586" s="663"/>
      <c r="BS586" s="663"/>
      <c r="BT586" s="663"/>
      <c r="BU586" s="663"/>
      <c r="BV586" s="663"/>
      <c r="BW586" s="663"/>
      <c r="BX586" s="663"/>
      <c r="BY586" s="663"/>
      <c r="BZ586" s="663"/>
      <c r="CA586" s="663"/>
      <c r="CB586" s="663"/>
      <c r="CC586" s="663"/>
      <c r="CD586" s="663"/>
      <c r="CE586" s="663"/>
      <c r="CF586" s="663"/>
      <c r="CG586" s="663"/>
      <c r="CH586" s="663"/>
      <c r="CI586" s="663"/>
      <c r="CJ586" s="663"/>
      <c r="CK586" s="663"/>
      <c r="CL586" s="663"/>
      <c r="CM586" s="663"/>
      <c r="CN586" s="663"/>
      <c r="CO586" s="663"/>
      <c r="CP586" s="663"/>
      <c r="CQ586" s="663"/>
      <c r="CR586" s="663"/>
      <c r="CS586" s="663"/>
      <c r="CT586" s="663"/>
      <c r="CU586" s="663"/>
      <c r="CV586" s="663"/>
      <c r="CW586" s="663"/>
      <c r="CX586" s="663"/>
      <c r="CY586" s="663"/>
      <c r="CZ586" s="663"/>
      <c r="DA586" s="663"/>
      <c r="DB586" s="663"/>
      <c r="DC586" s="663"/>
      <c r="DD586" s="663"/>
      <c r="DE586" s="663"/>
      <c r="DF586" s="663"/>
      <c r="DG586" s="663"/>
      <c r="DH586" s="663"/>
      <c r="DI586" s="663"/>
      <c r="DJ586" s="663"/>
      <c r="DK586" s="663"/>
      <c r="DL586" s="663"/>
      <c r="DM586" s="663"/>
      <c r="DN586" s="663"/>
      <c r="DO586" s="663"/>
      <c r="DP586" s="663"/>
      <c r="DQ586" s="663"/>
      <c r="DR586" s="663"/>
      <c r="DS586" s="663"/>
      <c r="DT586" s="663"/>
      <c r="DU586" s="663"/>
      <c r="DV586" s="663"/>
      <c r="DW586" s="663"/>
      <c r="DX586" s="663"/>
      <c r="DY586" s="663"/>
      <c r="DZ586" s="663"/>
      <c r="EA586" s="663"/>
      <c r="EB586" s="663"/>
      <c r="EC586" s="663"/>
      <c r="ED586" s="663"/>
      <c r="EE586" s="663"/>
      <c r="EF586" s="663"/>
      <c r="EG586" s="663"/>
      <c r="EH586" s="663"/>
      <c r="EI586" s="663"/>
      <c r="EJ586" s="663"/>
      <c r="EK586" s="663"/>
      <c r="EL586" s="663"/>
      <c r="EM586" s="663"/>
      <c r="EN586" s="663"/>
      <c r="EO586" s="663"/>
      <c r="EP586" s="663"/>
      <c r="EQ586" s="663"/>
      <c r="ER586" s="663"/>
      <c r="ES586" s="663"/>
      <c r="ET586" s="663"/>
      <c r="EU586" s="663"/>
      <c r="EV586" s="663"/>
      <c r="EW586" s="663"/>
      <c r="EX586" s="663"/>
      <c r="EY586" s="663"/>
      <c r="EZ586" s="663"/>
      <c r="FA586" s="663"/>
      <c r="FB586" s="663"/>
      <c r="FC586" s="663"/>
      <c r="FD586" s="663"/>
      <c r="FE586" s="663"/>
      <c r="FF586" s="663"/>
      <c r="FG586" s="663"/>
      <c r="FH586" s="663"/>
      <c r="FI586" s="663"/>
      <c r="FJ586" s="663"/>
      <c r="FK586" s="663"/>
      <c r="FL586" s="663"/>
      <c r="FM586" s="663"/>
      <c r="FN586" s="663"/>
      <c r="FO586" s="663"/>
      <c r="FP586" s="663"/>
      <c r="FQ586" s="663"/>
      <c r="FR586" s="663"/>
      <c r="FS586" s="663"/>
      <c r="FT586" s="663"/>
      <c r="FU586" s="663"/>
      <c r="FV586" s="663"/>
      <c r="FW586" s="663"/>
      <c r="FX586" s="663"/>
      <c r="FY586" s="663"/>
      <c r="FZ586" s="663"/>
      <c r="GA586" s="663"/>
      <c r="GB586" s="663"/>
      <c r="GC586" s="663"/>
      <c r="GD586" s="663"/>
      <c r="GE586" s="663"/>
      <c r="GF586" s="663"/>
      <c r="GG586" s="663"/>
    </row>
    <row r="587" spans="1:189">
      <c r="A587" s="670"/>
      <c r="B587" s="670"/>
      <c r="C587" s="670"/>
      <c r="D587" s="670"/>
      <c r="E587" s="670"/>
      <c r="F587" s="670"/>
      <c r="G587" s="673"/>
      <c r="H587" s="627"/>
      <c r="I587" s="627"/>
      <c r="J587" s="672"/>
      <c r="K587" s="663"/>
      <c r="L587" s="663"/>
      <c r="M587" s="663"/>
      <c r="N587" s="663"/>
      <c r="O587" s="663"/>
      <c r="P587" s="663"/>
      <c r="Q587" s="663"/>
      <c r="R587" s="663"/>
      <c r="S587" s="663"/>
      <c r="T587" s="663"/>
      <c r="U587" s="663"/>
      <c r="V587" s="663"/>
      <c r="W587" s="663"/>
      <c r="X587" s="663"/>
      <c r="Y587" s="663"/>
      <c r="Z587" s="663"/>
      <c r="AA587" s="663"/>
      <c r="AB587" s="663"/>
      <c r="AC587" s="663"/>
      <c r="AD587" s="663"/>
      <c r="AE587" s="663"/>
      <c r="AF587" s="663"/>
      <c r="AG587" s="663"/>
      <c r="AH587" s="663"/>
      <c r="AI587" s="663"/>
      <c r="AJ587" s="663"/>
      <c r="AK587" s="663"/>
      <c r="AL587" s="663"/>
      <c r="AM587" s="663"/>
      <c r="AN587" s="663"/>
      <c r="AO587" s="663"/>
      <c r="AP587" s="663"/>
      <c r="AQ587" s="663"/>
      <c r="AR587" s="663"/>
      <c r="AS587" s="663"/>
      <c r="AT587" s="663"/>
      <c r="AU587" s="663"/>
      <c r="AV587" s="663"/>
      <c r="AW587" s="663"/>
      <c r="AX587" s="663"/>
      <c r="AY587" s="663"/>
      <c r="AZ587" s="663"/>
      <c r="BA587" s="663"/>
      <c r="BB587" s="663"/>
      <c r="BC587" s="663"/>
      <c r="BD587" s="663"/>
      <c r="BE587" s="663"/>
      <c r="BF587" s="663"/>
      <c r="BG587" s="663"/>
      <c r="BH587" s="663"/>
      <c r="BI587" s="663"/>
      <c r="BJ587" s="663"/>
      <c r="BK587" s="663"/>
      <c r="BL587" s="663"/>
      <c r="BM587" s="663"/>
      <c r="BN587" s="663"/>
      <c r="BO587" s="663"/>
      <c r="BP587" s="663"/>
      <c r="BQ587" s="663"/>
      <c r="BR587" s="663"/>
      <c r="BS587" s="663"/>
      <c r="BT587" s="663"/>
      <c r="BU587" s="663"/>
      <c r="BV587" s="663"/>
      <c r="BW587" s="663"/>
      <c r="BX587" s="663"/>
      <c r="BY587" s="663"/>
      <c r="BZ587" s="663"/>
      <c r="CA587" s="663"/>
      <c r="CB587" s="663"/>
      <c r="CC587" s="663"/>
      <c r="CD587" s="663"/>
      <c r="CE587" s="663"/>
      <c r="CF587" s="663"/>
      <c r="CG587" s="663"/>
      <c r="CH587" s="663"/>
      <c r="CI587" s="663"/>
      <c r="CJ587" s="663"/>
      <c r="CK587" s="663"/>
      <c r="CL587" s="663"/>
      <c r="CM587" s="663"/>
      <c r="CN587" s="663"/>
      <c r="CO587" s="663"/>
      <c r="CP587" s="663"/>
      <c r="CQ587" s="663"/>
      <c r="CR587" s="663"/>
      <c r="CS587" s="663"/>
      <c r="CT587" s="663"/>
      <c r="CU587" s="663"/>
      <c r="CV587" s="663"/>
      <c r="CW587" s="663"/>
      <c r="CX587" s="663"/>
      <c r="CY587" s="663"/>
      <c r="CZ587" s="663"/>
      <c r="DA587" s="663"/>
      <c r="DB587" s="663"/>
      <c r="DC587" s="663"/>
      <c r="DD587" s="663"/>
      <c r="DE587" s="663"/>
      <c r="DF587" s="663"/>
      <c r="DG587" s="663"/>
      <c r="DH587" s="663"/>
      <c r="DI587" s="663"/>
      <c r="DJ587" s="663"/>
      <c r="DK587" s="663"/>
      <c r="DL587" s="663"/>
      <c r="DM587" s="663"/>
      <c r="DN587" s="663"/>
      <c r="DO587" s="663"/>
      <c r="DP587" s="663"/>
      <c r="DQ587" s="663"/>
      <c r="DR587" s="663"/>
      <c r="DS587" s="663"/>
      <c r="DT587" s="663"/>
      <c r="DU587" s="663"/>
      <c r="DV587" s="663"/>
      <c r="DW587" s="663"/>
      <c r="DX587" s="663"/>
      <c r="DY587" s="663"/>
      <c r="DZ587" s="663"/>
      <c r="EA587" s="663"/>
      <c r="EB587" s="663"/>
      <c r="EC587" s="663"/>
      <c r="ED587" s="663"/>
      <c r="EE587" s="663"/>
      <c r="EF587" s="663"/>
      <c r="EG587" s="663"/>
      <c r="EH587" s="663"/>
      <c r="EI587" s="663"/>
      <c r="EJ587" s="663"/>
      <c r="EK587" s="663"/>
      <c r="EL587" s="663"/>
      <c r="EM587" s="663"/>
      <c r="EN587" s="663"/>
      <c r="EO587" s="663"/>
      <c r="EP587" s="663"/>
      <c r="EQ587" s="663"/>
      <c r="ER587" s="663"/>
      <c r="ES587" s="663"/>
      <c r="ET587" s="663"/>
      <c r="EU587" s="663"/>
      <c r="EV587" s="663"/>
      <c r="EW587" s="663"/>
      <c r="EX587" s="663"/>
      <c r="EY587" s="663"/>
      <c r="EZ587" s="663"/>
      <c r="FA587" s="663"/>
      <c r="FB587" s="663"/>
      <c r="FC587" s="663"/>
      <c r="FD587" s="663"/>
      <c r="FE587" s="663"/>
      <c r="FF587" s="663"/>
      <c r="FG587" s="663"/>
      <c r="FH587" s="663"/>
      <c r="FI587" s="663"/>
      <c r="FJ587" s="663"/>
      <c r="FK587" s="663"/>
      <c r="FL587" s="663"/>
      <c r="FM587" s="663"/>
      <c r="FN587" s="663"/>
      <c r="FO587" s="663"/>
      <c r="FP587" s="663"/>
      <c r="FQ587" s="663"/>
      <c r="FR587" s="663"/>
      <c r="FS587" s="663"/>
      <c r="FT587" s="663"/>
      <c r="FU587" s="663"/>
      <c r="FV587" s="663"/>
      <c r="FW587" s="663"/>
      <c r="FX587" s="663"/>
      <c r="FY587" s="663"/>
      <c r="FZ587" s="663"/>
      <c r="GA587" s="663"/>
      <c r="GB587" s="663"/>
      <c r="GC587" s="663"/>
      <c r="GD587" s="663"/>
      <c r="GE587" s="663"/>
      <c r="GF587" s="663"/>
      <c r="GG587" s="663"/>
    </row>
    <row r="588" spans="1:189">
      <c r="A588" s="670"/>
      <c r="B588" s="670"/>
      <c r="C588" s="670"/>
      <c r="D588" s="670"/>
      <c r="E588" s="670"/>
      <c r="F588" s="670"/>
      <c r="G588" s="673"/>
      <c r="H588" s="627"/>
      <c r="I588" s="627"/>
      <c r="J588" s="672"/>
      <c r="K588" s="663"/>
      <c r="L588" s="663"/>
      <c r="M588" s="663"/>
      <c r="N588" s="663"/>
      <c r="O588" s="663"/>
      <c r="P588" s="663"/>
      <c r="Q588" s="663"/>
      <c r="R588" s="663"/>
      <c r="S588" s="663"/>
      <c r="T588" s="663"/>
      <c r="U588" s="663"/>
      <c r="V588" s="663"/>
      <c r="W588" s="663"/>
      <c r="X588" s="663"/>
      <c r="Y588" s="663"/>
      <c r="Z588" s="663"/>
      <c r="AA588" s="663"/>
      <c r="AB588" s="663"/>
      <c r="AC588" s="663"/>
      <c r="AD588" s="663"/>
      <c r="AE588" s="663"/>
      <c r="AF588" s="663"/>
      <c r="AG588" s="663"/>
      <c r="AH588" s="663"/>
      <c r="AI588" s="663"/>
      <c r="AJ588" s="663"/>
      <c r="AK588" s="663"/>
      <c r="AL588" s="663"/>
      <c r="AM588" s="663"/>
      <c r="AN588" s="663"/>
      <c r="AO588" s="663"/>
      <c r="AP588" s="663"/>
      <c r="AQ588" s="663"/>
      <c r="AR588" s="663"/>
      <c r="AS588" s="663"/>
      <c r="AT588" s="663"/>
      <c r="AU588" s="663"/>
      <c r="AV588" s="663"/>
      <c r="AW588" s="663"/>
      <c r="AX588" s="663"/>
      <c r="AY588" s="663"/>
      <c r="AZ588" s="663"/>
      <c r="BA588" s="663"/>
      <c r="BB588" s="663"/>
      <c r="BC588" s="663"/>
      <c r="BD588" s="663"/>
      <c r="BE588" s="663"/>
      <c r="BF588" s="663"/>
      <c r="BG588" s="663"/>
      <c r="BH588" s="663"/>
      <c r="BI588" s="663"/>
      <c r="BJ588" s="663"/>
      <c r="BK588" s="663"/>
      <c r="BL588" s="663"/>
      <c r="BM588" s="663"/>
      <c r="BN588" s="663"/>
      <c r="BO588" s="663"/>
      <c r="BP588" s="663"/>
      <c r="BQ588" s="663"/>
      <c r="BR588" s="663"/>
      <c r="BS588" s="663"/>
      <c r="BT588" s="663"/>
      <c r="BU588" s="663"/>
      <c r="BV588" s="663"/>
      <c r="BW588" s="663"/>
      <c r="BX588" s="663"/>
      <c r="BY588" s="663"/>
      <c r="BZ588" s="663"/>
      <c r="CA588" s="663"/>
      <c r="CB588" s="663"/>
      <c r="CC588" s="663"/>
      <c r="CD588" s="663"/>
      <c r="CE588" s="663"/>
      <c r="CF588" s="663"/>
      <c r="CG588" s="663"/>
      <c r="CH588" s="663"/>
      <c r="CI588" s="663"/>
      <c r="CJ588" s="663"/>
      <c r="CK588" s="663"/>
      <c r="CL588" s="663"/>
      <c r="CM588" s="663"/>
      <c r="CN588" s="663"/>
      <c r="CO588" s="663"/>
      <c r="CP588" s="663"/>
      <c r="CQ588" s="663"/>
      <c r="CR588" s="663"/>
      <c r="CS588" s="663"/>
      <c r="CT588" s="663"/>
      <c r="CU588" s="663"/>
      <c r="CV588" s="663"/>
      <c r="CW588" s="663"/>
      <c r="CX588" s="663"/>
      <c r="CY588" s="663"/>
      <c r="CZ588" s="663"/>
      <c r="DA588" s="663"/>
      <c r="DB588" s="663"/>
      <c r="DC588" s="663"/>
      <c r="DD588" s="663"/>
      <c r="DE588" s="663"/>
      <c r="DF588" s="663"/>
      <c r="DG588" s="663"/>
      <c r="DH588" s="663"/>
      <c r="DI588" s="663"/>
      <c r="DJ588" s="663"/>
      <c r="DK588" s="663"/>
      <c r="DL588" s="663"/>
      <c r="DM588" s="663"/>
      <c r="DN588" s="663"/>
      <c r="DO588" s="663"/>
      <c r="DP588" s="663"/>
      <c r="DQ588" s="663"/>
      <c r="DR588" s="663"/>
      <c r="DS588" s="663"/>
      <c r="DT588" s="663"/>
      <c r="DU588" s="663"/>
      <c r="DV588" s="663"/>
      <c r="DW588" s="663"/>
      <c r="DX588" s="663"/>
      <c r="DY588" s="663"/>
      <c r="DZ588" s="663"/>
      <c r="EA588" s="663"/>
      <c r="EB588" s="663"/>
      <c r="EC588" s="663"/>
      <c r="ED588" s="663"/>
      <c r="EE588" s="663"/>
      <c r="EF588" s="663"/>
      <c r="EG588" s="663"/>
      <c r="EH588" s="663"/>
      <c r="EI588" s="663"/>
      <c r="EJ588" s="663"/>
      <c r="EK588" s="663"/>
      <c r="EL588" s="663"/>
      <c r="EM588" s="663"/>
      <c r="EN588" s="663"/>
      <c r="EO588" s="663"/>
      <c r="EP588" s="663"/>
      <c r="EQ588" s="663"/>
      <c r="ER588" s="663"/>
      <c r="ES588" s="663"/>
      <c r="ET588" s="663"/>
      <c r="EU588" s="663"/>
      <c r="EV588" s="663"/>
      <c r="EW588" s="663"/>
      <c r="EX588" s="663"/>
      <c r="EY588" s="663"/>
      <c r="EZ588" s="663"/>
      <c r="FA588" s="663"/>
      <c r="FB588" s="663"/>
      <c r="FC588" s="663"/>
      <c r="FD588" s="663"/>
      <c r="FE588" s="663"/>
      <c r="FF588" s="663"/>
      <c r="FG588" s="663"/>
      <c r="FH588" s="663"/>
      <c r="FI588" s="663"/>
      <c r="FJ588" s="663"/>
      <c r="FK588" s="663"/>
      <c r="FL588" s="663"/>
      <c r="FM588" s="663"/>
      <c r="FN588" s="663"/>
      <c r="FO588" s="663"/>
      <c r="FP588" s="663"/>
      <c r="FQ588" s="663"/>
      <c r="FR588" s="663"/>
      <c r="FS588" s="663"/>
      <c r="FT588" s="663"/>
      <c r="FU588" s="663"/>
      <c r="FV588" s="663"/>
      <c r="FW588" s="663"/>
      <c r="FX588" s="663"/>
      <c r="FY588" s="663"/>
      <c r="FZ588" s="663"/>
      <c r="GA588" s="663"/>
      <c r="GB588" s="663"/>
      <c r="GC588" s="663"/>
      <c r="GD588" s="663"/>
      <c r="GE588" s="663"/>
      <c r="GF588" s="663"/>
      <c r="GG588" s="663"/>
    </row>
    <row r="589" spans="1:189">
      <c r="A589" s="670"/>
      <c r="B589" s="670"/>
      <c r="C589" s="670"/>
      <c r="D589" s="670"/>
      <c r="E589" s="670"/>
      <c r="F589" s="670"/>
      <c r="G589" s="673"/>
      <c r="H589" s="627"/>
      <c r="I589" s="627"/>
      <c r="J589" s="672"/>
      <c r="K589" s="663"/>
      <c r="L589" s="663"/>
      <c r="M589" s="663"/>
      <c r="N589" s="663"/>
      <c r="O589" s="663"/>
      <c r="P589" s="663"/>
      <c r="Q589" s="663"/>
      <c r="R589" s="663"/>
      <c r="S589" s="663"/>
      <c r="T589" s="663"/>
      <c r="U589" s="663"/>
      <c r="V589" s="663"/>
      <c r="W589" s="663"/>
      <c r="X589" s="663"/>
      <c r="Y589" s="663"/>
      <c r="Z589" s="663"/>
      <c r="AA589" s="663"/>
      <c r="AB589" s="663"/>
      <c r="AC589" s="663"/>
      <c r="AD589" s="663"/>
      <c r="AE589" s="663"/>
      <c r="AF589" s="663"/>
      <c r="AG589" s="663"/>
      <c r="AH589" s="663"/>
      <c r="AI589" s="663"/>
      <c r="AJ589" s="663"/>
      <c r="AK589" s="663"/>
      <c r="AL589" s="663"/>
      <c r="AM589" s="663"/>
      <c r="AN589" s="663"/>
      <c r="AO589" s="663"/>
      <c r="AP589" s="663"/>
      <c r="AQ589" s="663"/>
      <c r="AR589" s="663"/>
      <c r="AS589" s="663"/>
      <c r="AT589" s="663"/>
      <c r="AU589" s="663"/>
      <c r="AV589" s="663"/>
      <c r="AW589" s="663"/>
      <c r="AX589" s="663"/>
      <c r="AY589" s="663"/>
      <c r="AZ589" s="663"/>
      <c r="BA589" s="663"/>
      <c r="BB589" s="663"/>
      <c r="BC589" s="663"/>
      <c r="BD589" s="663"/>
      <c r="BE589" s="663"/>
      <c r="BF589" s="663"/>
      <c r="BG589" s="663"/>
      <c r="BH589" s="663"/>
      <c r="BI589" s="663"/>
      <c r="BJ589" s="663"/>
      <c r="BK589" s="663"/>
      <c r="BL589" s="663"/>
      <c r="BM589" s="663"/>
      <c r="BN589" s="663"/>
      <c r="BO589" s="663"/>
      <c r="BP589" s="663"/>
      <c r="BQ589" s="663"/>
      <c r="BR589" s="663"/>
      <c r="BS589" s="663"/>
      <c r="BT589" s="663"/>
      <c r="BU589" s="663"/>
      <c r="BV589" s="663"/>
      <c r="BW589" s="663"/>
      <c r="BX589" s="663"/>
      <c r="BY589" s="663"/>
      <c r="BZ589" s="663"/>
      <c r="CA589" s="663"/>
      <c r="CB589" s="663"/>
      <c r="CC589" s="663"/>
      <c r="CD589" s="663"/>
      <c r="CE589" s="663"/>
      <c r="CF589" s="663"/>
      <c r="CG589" s="663"/>
      <c r="CH589" s="663"/>
      <c r="CI589" s="663"/>
      <c r="CJ589" s="663"/>
      <c r="CK589" s="663"/>
      <c r="CL589" s="663"/>
      <c r="CM589" s="663"/>
      <c r="CN589" s="663"/>
      <c r="CO589" s="663"/>
      <c r="CP589" s="663"/>
      <c r="CQ589" s="663"/>
      <c r="CR589" s="663"/>
      <c r="CS589" s="663"/>
      <c r="CT589" s="663"/>
      <c r="CU589" s="663"/>
      <c r="CV589" s="663"/>
      <c r="CW589" s="663"/>
      <c r="CX589" s="663"/>
      <c r="CY589" s="663"/>
      <c r="CZ589" s="663"/>
      <c r="DA589" s="663"/>
      <c r="DB589" s="663"/>
      <c r="DC589" s="663"/>
      <c r="DD589" s="663"/>
      <c r="DE589" s="663"/>
      <c r="DF589" s="663"/>
      <c r="DG589" s="663"/>
      <c r="DH589" s="663"/>
      <c r="DI589" s="663"/>
      <c r="DJ589" s="663"/>
      <c r="DK589" s="663"/>
      <c r="DL589" s="663"/>
      <c r="DM589" s="663"/>
      <c r="DN589" s="663"/>
      <c r="DO589" s="663"/>
      <c r="DP589" s="663"/>
      <c r="DQ589" s="663"/>
      <c r="DR589" s="663"/>
      <c r="DS589" s="663"/>
      <c r="DT589" s="663"/>
      <c r="DU589" s="663"/>
      <c r="DV589" s="663"/>
      <c r="DW589" s="663"/>
      <c r="DX589" s="663"/>
      <c r="DY589" s="663"/>
      <c r="DZ589" s="663"/>
      <c r="EA589" s="663"/>
      <c r="EB589" s="663"/>
      <c r="EC589" s="663"/>
      <c r="ED589" s="663"/>
      <c r="EE589" s="663"/>
      <c r="EF589" s="663"/>
      <c r="EG589" s="663"/>
      <c r="EH589" s="663"/>
      <c r="EI589" s="663"/>
      <c r="EJ589" s="663"/>
      <c r="EK589" s="663"/>
      <c r="EL589" s="663"/>
      <c r="EM589" s="663"/>
      <c r="EN589" s="663"/>
      <c r="EO589" s="663"/>
      <c r="EP589" s="663"/>
      <c r="EQ589" s="663"/>
      <c r="ER589" s="663"/>
      <c r="ES589" s="663"/>
      <c r="ET589" s="663"/>
      <c r="EU589" s="663"/>
      <c r="EV589" s="663"/>
      <c r="EW589" s="663"/>
      <c r="EX589" s="663"/>
      <c r="EY589" s="663"/>
      <c r="EZ589" s="663"/>
      <c r="FA589" s="663"/>
      <c r="FB589" s="663"/>
      <c r="FC589" s="663"/>
      <c r="FD589" s="663"/>
      <c r="FE589" s="663"/>
      <c r="FF589" s="663"/>
      <c r="FG589" s="663"/>
      <c r="FH589" s="663"/>
      <c r="FI589" s="663"/>
      <c r="FJ589" s="663"/>
      <c r="FK589" s="663"/>
      <c r="FL589" s="663"/>
      <c r="FM589" s="663"/>
      <c r="FN589" s="663"/>
      <c r="FO589" s="663"/>
      <c r="FP589" s="663"/>
      <c r="FQ589" s="663"/>
      <c r="FR589" s="663"/>
      <c r="FS589" s="663"/>
      <c r="FT589" s="663"/>
      <c r="FU589" s="663"/>
      <c r="FV589" s="663"/>
      <c r="FW589" s="663"/>
      <c r="FX589" s="663"/>
      <c r="FY589" s="663"/>
      <c r="FZ589" s="663"/>
      <c r="GA589" s="663"/>
      <c r="GB589" s="663"/>
      <c r="GC589" s="663"/>
      <c r="GD589" s="663"/>
      <c r="GE589" s="663"/>
      <c r="GF589" s="663"/>
      <c r="GG589" s="663"/>
    </row>
    <row r="590" spans="1:189">
      <c r="A590" s="670"/>
      <c r="B590" s="670"/>
      <c r="C590" s="670"/>
      <c r="D590" s="670"/>
      <c r="E590" s="670"/>
      <c r="F590" s="670"/>
      <c r="G590" s="673"/>
      <c r="H590" s="627"/>
      <c r="I590" s="627"/>
      <c r="J590" s="672"/>
      <c r="K590" s="663"/>
      <c r="L590" s="663"/>
      <c r="M590" s="663"/>
      <c r="N590" s="663"/>
      <c r="O590" s="663"/>
      <c r="P590" s="663"/>
      <c r="Q590" s="663"/>
      <c r="R590" s="663"/>
      <c r="S590" s="663"/>
      <c r="T590" s="663"/>
      <c r="U590" s="663"/>
      <c r="V590" s="663"/>
      <c r="W590" s="663"/>
      <c r="X590" s="663"/>
      <c r="Y590" s="663"/>
      <c r="Z590" s="663"/>
      <c r="AA590" s="663"/>
      <c r="AB590" s="663"/>
      <c r="AC590" s="663"/>
      <c r="AD590" s="663"/>
      <c r="AE590" s="663"/>
      <c r="AF590" s="663"/>
      <c r="AG590" s="663"/>
      <c r="AH590" s="663"/>
      <c r="AI590" s="663"/>
      <c r="AJ590" s="663"/>
      <c r="AK590" s="663"/>
      <c r="AL590" s="663"/>
      <c r="AM590" s="663"/>
      <c r="AN590" s="663"/>
      <c r="AO590" s="663"/>
      <c r="AP590" s="663"/>
      <c r="AQ590" s="663"/>
      <c r="AR590" s="663"/>
      <c r="AS590" s="663"/>
      <c r="AT590" s="663"/>
      <c r="AU590" s="663"/>
      <c r="AV590" s="663"/>
      <c r="AW590" s="663"/>
      <c r="AX590" s="663"/>
      <c r="AY590" s="663"/>
      <c r="AZ590" s="663"/>
      <c r="BA590" s="663"/>
      <c r="BB590" s="663"/>
      <c r="BC590" s="663"/>
      <c r="BD590" s="663"/>
      <c r="BE590" s="663"/>
      <c r="BF590" s="663"/>
      <c r="BG590" s="663"/>
      <c r="BH590" s="663"/>
      <c r="BI590" s="663"/>
      <c r="BJ590" s="663"/>
      <c r="BK590" s="663"/>
      <c r="BL590" s="663"/>
      <c r="BM590" s="663"/>
      <c r="BN590" s="663"/>
      <c r="BO590" s="663"/>
      <c r="BP590" s="663"/>
      <c r="BQ590" s="663"/>
      <c r="BR590" s="663"/>
      <c r="BS590" s="663"/>
      <c r="BT590" s="663"/>
      <c r="BU590" s="663"/>
      <c r="BV590" s="663"/>
      <c r="BW590" s="663"/>
      <c r="BX590" s="663"/>
      <c r="BY590" s="663"/>
      <c r="BZ590" s="663"/>
      <c r="CA590" s="663"/>
      <c r="CB590" s="663"/>
      <c r="CC590" s="663"/>
      <c r="CD590" s="663"/>
      <c r="CE590" s="663"/>
      <c r="CF590" s="663"/>
      <c r="CG590" s="663"/>
      <c r="CH590" s="663"/>
      <c r="CI590" s="663"/>
      <c r="CJ590" s="663"/>
      <c r="CK590" s="663"/>
      <c r="CL590" s="663"/>
      <c r="CM590" s="663"/>
      <c r="CN590" s="663"/>
      <c r="CO590" s="663"/>
      <c r="CP590" s="663"/>
      <c r="CQ590" s="663"/>
      <c r="CR590" s="663"/>
      <c r="CS590" s="663"/>
      <c r="CT590" s="663"/>
      <c r="CU590" s="663"/>
      <c r="CV590" s="663"/>
      <c r="CW590" s="663"/>
      <c r="CX590" s="663"/>
      <c r="CY590" s="663"/>
      <c r="CZ590" s="663"/>
      <c r="DA590" s="663"/>
      <c r="DB590" s="663"/>
      <c r="DC590" s="663"/>
      <c r="DD590" s="663"/>
      <c r="DE590" s="663"/>
      <c r="DF590" s="663"/>
      <c r="DG590" s="663"/>
      <c r="DH590" s="663"/>
      <c r="DI590" s="663"/>
      <c r="DJ590" s="663"/>
      <c r="DK590" s="663"/>
      <c r="DL590" s="663"/>
      <c r="DM590" s="663"/>
      <c r="DN590" s="663"/>
      <c r="DO590" s="663"/>
      <c r="DP590" s="663"/>
      <c r="DQ590" s="663"/>
      <c r="DR590" s="663"/>
      <c r="DS590" s="663"/>
      <c r="DT590" s="663"/>
      <c r="DU590" s="663"/>
      <c r="DV590" s="663"/>
      <c r="DW590" s="663"/>
      <c r="DX590" s="663"/>
      <c r="DY590" s="663"/>
      <c r="DZ590" s="663"/>
      <c r="EA590" s="663"/>
      <c r="EB590" s="663"/>
      <c r="EC590" s="663"/>
      <c r="ED590" s="663"/>
      <c r="EE590" s="663"/>
      <c r="EF590" s="663"/>
      <c r="EG590" s="663"/>
      <c r="EH590" s="663"/>
      <c r="EI590" s="663"/>
      <c r="EJ590" s="663"/>
      <c r="EK590" s="663"/>
      <c r="EL590" s="663"/>
      <c r="EM590" s="663"/>
      <c r="EN590" s="663"/>
      <c r="EO590" s="663"/>
      <c r="EP590" s="663"/>
      <c r="EQ590" s="663"/>
      <c r="ER590" s="663"/>
      <c r="ES590" s="663"/>
      <c r="ET590" s="663"/>
      <c r="EU590" s="663"/>
      <c r="EV590" s="663"/>
      <c r="EW590" s="663"/>
      <c r="EX590" s="663"/>
      <c r="EY590" s="663"/>
      <c r="EZ590" s="663"/>
      <c r="FA590" s="663"/>
      <c r="FB590" s="663"/>
      <c r="FC590" s="663"/>
      <c r="FD590" s="663"/>
      <c r="FE590" s="663"/>
      <c r="FF590" s="663"/>
      <c r="FG590" s="663"/>
      <c r="FH590" s="663"/>
      <c r="FI590" s="663"/>
      <c r="FJ590" s="663"/>
      <c r="FK590" s="663"/>
      <c r="FL590" s="663"/>
      <c r="FM590" s="663"/>
      <c r="FN590" s="663"/>
      <c r="FO590" s="663"/>
      <c r="FP590" s="663"/>
      <c r="FQ590" s="663"/>
      <c r="FR590" s="663"/>
      <c r="FS590" s="663"/>
      <c r="FT590" s="663"/>
      <c r="FU590" s="663"/>
      <c r="FV590" s="663"/>
      <c r="FW590" s="663"/>
      <c r="FX590" s="663"/>
      <c r="FY590" s="663"/>
      <c r="FZ590" s="663"/>
      <c r="GA590" s="663"/>
      <c r="GB590" s="663"/>
      <c r="GC590" s="663"/>
      <c r="GD590" s="663"/>
      <c r="GE590" s="663"/>
      <c r="GF590" s="663"/>
      <c r="GG590" s="663"/>
    </row>
    <row r="591" spans="1:189">
      <c r="A591" s="670"/>
      <c r="B591" s="670"/>
      <c r="C591" s="670"/>
      <c r="D591" s="670"/>
      <c r="E591" s="670"/>
      <c r="F591" s="670"/>
      <c r="G591" s="673"/>
      <c r="H591" s="627"/>
      <c r="I591" s="627"/>
      <c r="J591" s="672"/>
      <c r="K591" s="663"/>
      <c r="L591" s="663"/>
      <c r="M591" s="663"/>
      <c r="N591" s="663"/>
      <c r="O591" s="663"/>
      <c r="P591" s="663"/>
      <c r="Q591" s="663"/>
      <c r="R591" s="663"/>
      <c r="S591" s="663"/>
      <c r="T591" s="663"/>
      <c r="U591" s="663"/>
      <c r="V591" s="663"/>
      <c r="W591" s="663"/>
      <c r="X591" s="663"/>
      <c r="Y591" s="663"/>
      <c r="Z591" s="663"/>
      <c r="AA591" s="663"/>
      <c r="AB591" s="663"/>
      <c r="AC591" s="663"/>
      <c r="AD591" s="663"/>
      <c r="AE591" s="663"/>
      <c r="AF591" s="663"/>
      <c r="AG591" s="663"/>
      <c r="AH591" s="663"/>
      <c r="AI591" s="663"/>
      <c r="AJ591" s="663"/>
      <c r="AK591" s="663"/>
      <c r="AL591" s="663"/>
      <c r="AM591" s="663"/>
      <c r="AN591" s="663"/>
      <c r="AO591" s="663"/>
      <c r="AP591" s="663"/>
      <c r="AQ591" s="663"/>
      <c r="AR591" s="663"/>
      <c r="AS591" s="663"/>
      <c r="AT591" s="663"/>
      <c r="AU591" s="663"/>
      <c r="AV591" s="663"/>
      <c r="AW591" s="663"/>
      <c r="AX591" s="663"/>
      <c r="AY591" s="663"/>
      <c r="AZ591" s="663"/>
      <c r="BA591" s="663"/>
      <c r="BB591" s="663"/>
      <c r="BC591" s="663"/>
      <c r="BD591" s="663"/>
      <c r="BE591" s="663"/>
      <c r="BF591" s="663"/>
      <c r="BG591" s="663"/>
      <c r="BH591" s="663"/>
      <c r="BI591" s="663"/>
      <c r="BJ591" s="663"/>
      <c r="BK591" s="663"/>
      <c r="BL591" s="663"/>
      <c r="BM591" s="663"/>
      <c r="BN591" s="663"/>
      <c r="BO591" s="663"/>
      <c r="BP591" s="663"/>
      <c r="BQ591" s="663"/>
      <c r="BR591" s="663"/>
      <c r="BS591" s="663"/>
      <c r="BT591" s="663"/>
      <c r="BU591" s="663"/>
      <c r="BV591" s="663"/>
      <c r="BW591" s="663"/>
      <c r="BX591" s="663"/>
      <c r="BY591" s="663"/>
      <c r="BZ591" s="663"/>
      <c r="CA591" s="663"/>
      <c r="CB591" s="663"/>
      <c r="CC591" s="663"/>
      <c r="CD591" s="663"/>
      <c r="CE591" s="663"/>
      <c r="CF591" s="663"/>
      <c r="CG591" s="663"/>
      <c r="CH591" s="663"/>
      <c r="CI591" s="663"/>
      <c r="CJ591" s="663"/>
      <c r="CK591" s="663"/>
      <c r="CL591" s="663"/>
      <c r="CM591" s="663"/>
      <c r="CN591" s="663"/>
      <c r="CO591" s="663"/>
      <c r="CP591" s="663"/>
      <c r="CQ591" s="663"/>
      <c r="CR591" s="663"/>
      <c r="CS591" s="663"/>
      <c r="CT591" s="663"/>
      <c r="CU591" s="663"/>
      <c r="CV591" s="663"/>
      <c r="CW591" s="663"/>
      <c r="CX591" s="663"/>
      <c r="CY591" s="663"/>
      <c r="CZ591" s="663"/>
      <c r="DA591" s="663"/>
      <c r="DB591" s="663"/>
      <c r="DC591" s="663"/>
      <c r="DD591" s="663"/>
      <c r="DE591" s="663"/>
      <c r="DF591" s="663"/>
      <c r="DG591" s="663"/>
      <c r="DH591" s="663"/>
      <c r="DI591" s="663"/>
      <c r="DJ591" s="663"/>
      <c r="DK591" s="663"/>
      <c r="DL591" s="663"/>
      <c r="DM591" s="663"/>
      <c r="DN591" s="663"/>
      <c r="DO591" s="663"/>
      <c r="DP591" s="663"/>
      <c r="DQ591" s="663"/>
      <c r="DR591" s="663"/>
      <c r="DS591" s="663"/>
      <c r="DT591" s="663"/>
      <c r="DU591" s="663"/>
      <c r="DV591" s="663"/>
      <c r="DW591" s="663"/>
      <c r="DX591" s="663"/>
      <c r="DY591" s="663"/>
      <c r="DZ591" s="663"/>
      <c r="EA591" s="663"/>
      <c r="EB591" s="663"/>
      <c r="EC591" s="663"/>
      <c r="ED591" s="663"/>
      <c r="EE591" s="663"/>
      <c r="EF591" s="663"/>
      <c r="EG591" s="663"/>
      <c r="EH591" s="663"/>
      <c r="EI591" s="663"/>
      <c r="EJ591" s="663"/>
      <c r="EK591" s="663"/>
      <c r="EL591" s="663"/>
      <c r="EM591" s="663"/>
      <c r="EN591" s="663"/>
      <c r="EO591" s="663"/>
      <c r="EP591" s="663"/>
      <c r="EQ591" s="663"/>
      <c r="ER591" s="663"/>
      <c r="ES591" s="663"/>
      <c r="ET591" s="663"/>
      <c r="EU591" s="663"/>
      <c r="EV591" s="663"/>
      <c r="EW591" s="663"/>
      <c r="EX591" s="663"/>
      <c r="EY591" s="663"/>
      <c r="EZ591" s="663"/>
      <c r="FA591" s="663"/>
      <c r="FB591" s="663"/>
      <c r="FC591" s="663"/>
      <c r="FD591" s="663"/>
      <c r="FE591" s="663"/>
      <c r="FF591" s="663"/>
      <c r="FG591" s="663"/>
      <c r="FH591" s="663"/>
      <c r="FI591" s="663"/>
      <c r="FJ591" s="663"/>
      <c r="FK591" s="663"/>
      <c r="FL591" s="663"/>
      <c r="FM591" s="663"/>
      <c r="FN591" s="663"/>
      <c r="FO591" s="663"/>
      <c r="FP591" s="663"/>
      <c r="FQ591" s="663"/>
      <c r="FR591" s="663"/>
      <c r="FS591" s="663"/>
      <c r="FT591" s="663"/>
      <c r="FU591" s="663"/>
      <c r="FV591" s="663"/>
      <c r="FW591" s="663"/>
      <c r="FX591" s="663"/>
      <c r="FY591" s="663"/>
      <c r="FZ591" s="663"/>
      <c r="GA591" s="663"/>
      <c r="GB591" s="663"/>
      <c r="GC591" s="663"/>
      <c r="GD591" s="663"/>
      <c r="GE591" s="663"/>
      <c r="GF591" s="663"/>
      <c r="GG591" s="663"/>
    </row>
    <row r="592" spans="1:189">
      <c r="A592" s="670"/>
      <c r="B592" s="670"/>
      <c r="C592" s="670"/>
      <c r="D592" s="670"/>
      <c r="E592" s="670"/>
      <c r="F592" s="670"/>
      <c r="G592" s="673"/>
      <c r="H592" s="627"/>
      <c r="I592" s="627"/>
      <c r="J592" s="672"/>
      <c r="K592" s="663"/>
      <c r="L592" s="663"/>
      <c r="M592" s="663"/>
      <c r="N592" s="663"/>
      <c r="O592" s="663"/>
      <c r="P592" s="663"/>
      <c r="Q592" s="663"/>
      <c r="R592" s="663"/>
      <c r="S592" s="663"/>
      <c r="T592" s="663"/>
      <c r="U592" s="663"/>
      <c r="V592" s="663"/>
      <c r="W592" s="663"/>
      <c r="X592" s="663"/>
      <c r="Y592" s="663"/>
      <c r="Z592" s="663"/>
      <c r="AA592" s="663"/>
      <c r="AB592" s="663"/>
      <c r="AC592" s="663"/>
      <c r="AD592" s="663"/>
      <c r="AE592" s="663"/>
      <c r="AF592" s="663"/>
      <c r="AG592" s="663"/>
      <c r="AH592" s="663"/>
      <c r="AI592" s="663"/>
      <c r="AJ592" s="663"/>
      <c r="AK592" s="663"/>
      <c r="AL592" s="663"/>
      <c r="AM592" s="663"/>
      <c r="AN592" s="663"/>
      <c r="AO592" s="663"/>
      <c r="AP592" s="663"/>
      <c r="AQ592" s="663"/>
      <c r="AR592" s="663"/>
      <c r="AS592" s="663"/>
      <c r="AT592" s="663"/>
      <c r="AU592" s="663"/>
      <c r="AV592" s="663"/>
      <c r="AW592" s="663"/>
      <c r="AX592" s="663"/>
      <c r="AY592" s="663"/>
      <c r="AZ592" s="663"/>
      <c r="BA592" s="663"/>
      <c r="BB592" s="663"/>
      <c r="BC592" s="663"/>
      <c r="BD592" s="663"/>
      <c r="BE592" s="663"/>
      <c r="BF592" s="663"/>
      <c r="BG592" s="663"/>
      <c r="BH592" s="663"/>
      <c r="BI592" s="663"/>
      <c r="BJ592" s="663"/>
      <c r="BK592" s="663"/>
      <c r="BL592" s="663"/>
      <c r="BM592" s="663"/>
      <c r="BN592" s="663"/>
      <c r="BO592" s="663"/>
      <c r="BP592" s="663"/>
      <c r="BQ592" s="663"/>
      <c r="BR592" s="663"/>
      <c r="BS592" s="663"/>
      <c r="BT592" s="663"/>
      <c r="BU592" s="663"/>
      <c r="BV592" s="663"/>
      <c r="BW592" s="663"/>
      <c r="BX592" s="663"/>
      <c r="BY592" s="663"/>
      <c r="BZ592" s="663"/>
      <c r="CA592" s="663"/>
      <c r="CB592" s="663"/>
      <c r="CC592" s="663"/>
      <c r="CD592" s="663"/>
      <c r="CE592" s="663"/>
      <c r="CF592" s="663"/>
      <c r="CG592" s="663"/>
      <c r="CH592" s="663"/>
      <c r="CI592" s="663"/>
      <c r="CJ592" s="663"/>
      <c r="CK592" s="663"/>
      <c r="CL592" s="663"/>
      <c r="CM592" s="663"/>
      <c r="CN592" s="663"/>
      <c r="CO592" s="663"/>
      <c r="CP592" s="663"/>
      <c r="CQ592" s="663"/>
      <c r="CR592" s="663"/>
      <c r="CS592" s="663"/>
      <c r="CT592" s="663"/>
      <c r="CU592" s="663"/>
      <c r="CV592" s="663"/>
      <c r="CW592" s="663"/>
      <c r="CX592" s="663"/>
      <c r="CY592" s="663"/>
      <c r="CZ592" s="663"/>
      <c r="DA592" s="663"/>
      <c r="DB592" s="663"/>
      <c r="DC592" s="663"/>
      <c r="DD592" s="663"/>
      <c r="DE592" s="663"/>
      <c r="DF592" s="663"/>
      <c r="DG592" s="663"/>
      <c r="DH592" s="663"/>
      <c r="DI592" s="663"/>
      <c r="DJ592" s="663"/>
      <c r="DK592" s="663"/>
      <c r="DL592" s="663"/>
      <c r="DM592" s="663"/>
      <c r="DN592" s="663"/>
      <c r="DO592" s="663"/>
      <c r="DP592" s="663"/>
      <c r="DQ592" s="663"/>
      <c r="DR592" s="663"/>
      <c r="DS592" s="663"/>
      <c r="DT592" s="663"/>
      <c r="DU592" s="663"/>
      <c r="DV592" s="663"/>
      <c r="DW592" s="663"/>
      <c r="DX592" s="663"/>
      <c r="DY592" s="663"/>
      <c r="DZ592" s="663"/>
      <c r="EA592" s="663"/>
      <c r="EB592" s="663"/>
      <c r="EC592" s="663"/>
      <c r="ED592" s="663"/>
      <c r="EE592" s="663"/>
      <c r="EF592" s="663"/>
      <c r="EG592" s="663"/>
      <c r="EH592" s="663"/>
      <c r="EI592" s="663"/>
      <c r="EJ592" s="663"/>
      <c r="EK592" s="663"/>
      <c r="EL592" s="663"/>
      <c r="EM592" s="663"/>
      <c r="EN592" s="663"/>
      <c r="EO592" s="663"/>
      <c r="EP592" s="663"/>
      <c r="EQ592" s="663"/>
      <c r="ER592" s="663"/>
      <c r="ES592" s="663"/>
      <c r="ET592" s="663"/>
      <c r="EU592" s="663"/>
      <c r="EV592" s="663"/>
      <c r="EW592" s="663"/>
      <c r="EX592" s="663"/>
      <c r="EY592" s="663"/>
      <c r="EZ592" s="663"/>
      <c r="FA592" s="663"/>
      <c r="FB592" s="663"/>
      <c r="FC592" s="663"/>
      <c r="FD592" s="663"/>
      <c r="FE592" s="663"/>
      <c r="FF592" s="663"/>
      <c r="FG592" s="663"/>
      <c r="FH592" s="663"/>
      <c r="FI592" s="663"/>
      <c r="FJ592" s="663"/>
      <c r="FK592" s="663"/>
      <c r="FL592" s="663"/>
      <c r="FM592" s="663"/>
      <c r="FN592" s="663"/>
      <c r="FO592" s="663"/>
      <c r="FP592" s="663"/>
      <c r="FQ592" s="663"/>
      <c r="FR592" s="663"/>
      <c r="FS592" s="663"/>
      <c r="FT592" s="663"/>
      <c r="FU592" s="663"/>
      <c r="FV592" s="663"/>
      <c r="FW592" s="663"/>
      <c r="FX592" s="663"/>
      <c r="FY592" s="663"/>
      <c r="FZ592" s="663"/>
      <c r="GA592" s="663"/>
      <c r="GB592" s="663"/>
      <c r="GC592" s="663"/>
      <c r="GD592" s="663"/>
      <c r="GE592" s="663"/>
      <c r="GF592" s="663"/>
      <c r="GG592" s="663"/>
    </row>
    <row r="593" spans="1:189">
      <c r="A593" s="670"/>
      <c r="B593" s="670"/>
      <c r="C593" s="670"/>
      <c r="D593" s="670"/>
      <c r="E593" s="670"/>
      <c r="F593" s="670"/>
      <c r="G593" s="673"/>
      <c r="H593" s="627"/>
      <c r="I593" s="627"/>
      <c r="J593" s="672"/>
      <c r="K593" s="663"/>
      <c r="L593" s="663"/>
      <c r="M593" s="663"/>
      <c r="N593" s="663"/>
      <c r="O593" s="663"/>
      <c r="P593" s="663"/>
      <c r="Q593" s="663"/>
      <c r="R593" s="663"/>
      <c r="S593" s="663"/>
      <c r="T593" s="663"/>
      <c r="U593" s="663"/>
      <c r="V593" s="663"/>
      <c r="W593" s="663"/>
      <c r="X593" s="663"/>
      <c r="Y593" s="663"/>
      <c r="Z593" s="663"/>
      <c r="AA593" s="663"/>
      <c r="AB593" s="663"/>
      <c r="AC593" s="663"/>
      <c r="AD593" s="663"/>
      <c r="AE593" s="663"/>
      <c r="AF593" s="663"/>
      <c r="AG593" s="663"/>
      <c r="AH593" s="663"/>
      <c r="AI593" s="663"/>
      <c r="AJ593" s="663"/>
      <c r="AK593" s="663"/>
      <c r="AL593" s="663"/>
      <c r="AM593" s="663"/>
      <c r="AN593" s="663"/>
      <c r="AO593" s="663"/>
      <c r="AP593" s="663"/>
      <c r="AQ593" s="663"/>
      <c r="AR593" s="663"/>
      <c r="AS593" s="663"/>
      <c r="AT593" s="663"/>
      <c r="AU593" s="663"/>
      <c r="AV593" s="663"/>
      <c r="AW593" s="663"/>
      <c r="AX593" s="663"/>
      <c r="AY593" s="663"/>
      <c r="AZ593" s="663"/>
      <c r="BA593" s="663"/>
      <c r="BB593" s="663"/>
      <c r="BC593" s="663"/>
      <c r="BD593" s="663"/>
      <c r="BE593" s="663"/>
      <c r="BF593" s="663"/>
      <c r="BG593" s="663"/>
      <c r="BH593" s="663"/>
      <c r="BI593" s="663"/>
      <c r="BJ593" s="663"/>
      <c r="BK593" s="663"/>
      <c r="BL593" s="663"/>
      <c r="BM593" s="663"/>
      <c r="BN593" s="663"/>
      <c r="BO593" s="663"/>
      <c r="BP593" s="663"/>
      <c r="BQ593" s="663"/>
      <c r="BR593" s="663"/>
      <c r="BS593" s="663"/>
      <c r="BT593" s="663"/>
      <c r="BU593" s="663"/>
      <c r="BV593" s="663"/>
      <c r="BW593" s="663"/>
      <c r="BX593" s="663"/>
      <c r="BY593" s="663"/>
      <c r="BZ593" s="663"/>
      <c r="CA593" s="663"/>
      <c r="CB593" s="663"/>
      <c r="CC593" s="663"/>
      <c r="CD593" s="663"/>
      <c r="CE593" s="663"/>
      <c r="CF593" s="663"/>
      <c r="CG593" s="663"/>
      <c r="CH593" s="663"/>
      <c r="CI593" s="663"/>
      <c r="CJ593" s="663"/>
      <c r="CK593" s="663"/>
      <c r="CL593" s="663"/>
      <c r="CM593" s="663"/>
      <c r="CN593" s="663"/>
      <c r="CO593" s="663"/>
      <c r="CP593" s="663"/>
      <c r="CQ593" s="663"/>
      <c r="CR593" s="663"/>
      <c r="CS593" s="663"/>
      <c r="CT593" s="663"/>
      <c r="CU593" s="663"/>
      <c r="CV593" s="663"/>
      <c r="CW593" s="663"/>
      <c r="CX593" s="663"/>
      <c r="CY593" s="663"/>
      <c r="CZ593" s="663"/>
      <c r="DA593" s="663"/>
      <c r="DB593" s="663"/>
      <c r="DC593" s="663"/>
      <c r="DD593" s="663"/>
      <c r="DE593" s="663"/>
      <c r="DF593" s="663"/>
      <c r="DG593" s="663"/>
      <c r="DH593" s="663"/>
      <c r="DI593" s="663"/>
      <c r="DJ593" s="663"/>
      <c r="DK593" s="663"/>
      <c r="DL593" s="663"/>
      <c r="DM593" s="663"/>
      <c r="DN593" s="663"/>
      <c r="DO593" s="663"/>
      <c r="DP593" s="663"/>
      <c r="DQ593" s="663"/>
      <c r="DR593" s="663"/>
      <c r="DS593" s="663"/>
      <c r="DT593" s="663"/>
      <c r="DU593" s="663"/>
      <c r="DV593" s="663"/>
      <c r="DW593" s="663"/>
      <c r="DX593" s="663"/>
      <c r="DY593" s="663"/>
      <c r="DZ593" s="663"/>
      <c r="EA593" s="663"/>
      <c r="EB593" s="663"/>
      <c r="EC593" s="663"/>
      <c r="ED593" s="663"/>
      <c r="EE593" s="663"/>
      <c r="EF593" s="663"/>
      <c r="EG593" s="663"/>
      <c r="EH593" s="663"/>
      <c r="EI593" s="663"/>
      <c r="EJ593" s="663"/>
      <c r="EK593" s="663"/>
      <c r="EL593" s="663"/>
      <c r="EM593" s="663"/>
      <c r="EN593" s="663"/>
      <c r="EO593" s="663"/>
      <c r="EP593" s="663"/>
      <c r="EQ593" s="663"/>
      <c r="ER593" s="663"/>
      <c r="ES593" s="663"/>
      <c r="ET593" s="663"/>
      <c r="EU593" s="663"/>
      <c r="EV593" s="663"/>
      <c r="EW593" s="663"/>
      <c r="EX593" s="663"/>
      <c r="EY593" s="663"/>
      <c r="EZ593" s="663"/>
      <c r="FA593" s="663"/>
      <c r="FB593" s="663"/>
      <c r="FC593" s="663"/>
      <c r="FD593" s="663"/>
      <c r="FE593" s="663"/>
      <c r="FF593" s="663"/>
      <c r="FG593" s="663"/>
      <c r="FH593" s="663"/>
      <c r="FI593" s="663"/>
      <c r="FJ593" s="663"/>
      <c r="FK593" s="663"/>
      <c r="FL593" s="663"/>
      <c r="FM593" s="663"/>
      <c r="FN593" s="663"/>
      <c r="FO593" s="663"/>
      <c r="FP593" s="663"/>
      <c r="FQ593" s="663"/>
      <c r="FR593" s="663"/>
      <c r="FS593" s="663"/>
      <c r="FT593" s="663"/>
      <c r="FU593" s="663"/>
      <c r="FV593" s="663"/>
      <c r="FW593" s="663"/>
      <c r="FX593" s="663"/>
      <c r="FY593" s="663"/>
      <c r="FZ593" s="663"/>
      <c r="GA593" s="663"/>
      <c r="GB593" s="663"/>
      <c r="GC593" s="663"/>
      <c r="GD593" s="663"/>
      <c r="GE593" s="663"/>
      <c r="GF593" s="663"/>
      <c r="GG593" s="663"/>
    </row>
  </sheetData>
  <mergeCells count="4">
    <mergeCell ref="I1:I2"/>
    <mergeCell ref="J1:J2"/>
    <mergeCell ref="G1:G2"/>
    <mergeCell ref="H1:H2"/>
  </mergeCells>
  <pageMargins left="0.7" right="0.7" top="0.75" bottom="0.75" header="0.3" footer="0.3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F1178"/>
  <sheetViews>
    <sheetView zoomScale="106" zoomScaleNormal="106" workbookViewId="0">
      <pane xSplit="7" ySplit="5" topLeftCell="Q1145" activePane="bottomRight" state="frozen"/>
      <selection pane="topRight" activeCell="H1" sqref="H1"/>
      <selection pane="bottomLeft" activeCell="A6" sqref="A6"/>
      <selection pane="bottomRight" activeCell="X1163" sqref="X1163"/>
    </sheetView>
  </sheetViews>
  <sheetFormatPr defaultColWidth="9.109375" defaultRowHeight="13.8"/>
  <cols>
    <col min="1" max="6" width="4.44140625" style="285" customWidth="1"/>
    <col min="7" max="7" width="29.5546875" style="285" customWidth="1"/>
    <col min="8" max="8" width="13.6640625" style="285" customWidth="1"/>
    <col min="9" max="9" width="15" style="285" customWidth="1"/>
    <col min="10" max="10" width="14.5546875" style="285" hidden="1" customWidth="1"/>
    <col min="11" max="12" width="13.6640625" style="285" customWidth="1"/>
    <col min="13" max="13" width="13.6640625" style="285" hidden="1" customWidth="1"/>
    <col min="14" max="17" width="13.6640625" style="285" customWidth="1"/>
    <col min="18" max="18" width="13.6640625" style="285" bestFit="1" customWidth="1"/>
    <col min="19" max="19" width="14" style="285" customWidth="1"/>
    <col min="20" max="20" width="14" style="285" hidden="1" customWidth="1"/>
    <col min="21" max="22" width="13.88671875" style="285" customWidth="1"/>
    <col min="23" max="23" width="13.88671875" style="285" hidden="1" customWidth="1"/>
    <col min="24" max="24" width="13.44140625" style="285" customWidth="1"/>
    <col min="25" max="25" width="15.6640625" style="1400" customWidth="1"/>
    <col min="26" max="26" width="14" style="1400" customWidth="1"/>
    <col min="27" max="27" width="12.33203125" style="285" customWidth="1"/>
    <col min="28" max="30" width="13.88671875" style="285" customWidth="1"/>
    <col min="31" max="31" width="13.44140625" style="285" customWidth="1"/>
    <col min="32" max="32" width="16.6640625" style="285" customWidth="1"/>
    <col min="33" max="33" width="16.6640625" style="290" customWidth="1"/>
    <col min="34" max="34" width="13.5546875" style="747" customWidth="1"/>
    <col min="35" max="35" width="14.33203125" style="287" bestFit="1" customWidth="1"/>
    <col min="36" max="36" width="12.44140625" style="285" bestFit="1" customWidth="1"/>
    <col min="37" max="37" width="12" style="286" customWidth="1"/>
    <col min="38" max="38" width="9.109375" style="285"/>
    <col min="39" max="39" width="12.44140625" style="285" bestFit="1" customWidth="1"/>
    <col min="40" max="40" width="9.88671875" style="285" bestFit="1" customWidth="1"/>
    <col min="41" max="42" width="9.109375" style="285"/>
    <col min="43" max="43" width="11" style="285" bestFit="1" customWidth="1"/>
    <col min="44" max="44" width="9.109375" style="285"/>
    <col min="45" max="45" width="12.44140625" style="290" bestFit="1" customWidth="1"/>
    <col min="46" max="46" width="15.44140625" style="285" customWidth="1"/>
    <col min="47" max="47" width="11" style="285" bestFit="1" customWidth="1"/>
    <col min="48" max="48" width="12" style="285" customWidth="1"/>
    <col min="49" max="49" width="10.6640625" style="285" customWidth="1"/>
    <col min="50" max="50" width="12.44140625" style="285" bestFit="1" customWidth="1"/>
    <col min="51" max="16384" width="9.109375" style="285"/>
  </cols>
  <sheetData>
    <row r="1" spans="1:45" s="299" customFormat="1" ht="71.400000000000006" customHeight="1" thickBot="1">
      <c r="A1" s="806" t="s">
        <v>120</v>
      </c>
      <c r="B1" s="807"/>
      <c r="C1" s="807"/>
      <c r="D1" s="807"/>
      <c r="E1" s="807"/>
      <c r="F1" s="808"/>
      <c r="G1" s="809" t="s">
        <v>121</v>
      </c>
      <c r="H1" s="519" t="s">
        <v>3941</v>
      </c>
      <c r="I1" s="520" t="s">
        <v>3942</v>
      </c>
      <c r="J1" s="521" t="s">
        <v>3943</v>
      </c>
      <c r="K1" s="521" t="s">
        <v>3944</v>
      </c>
      <c r="L1" s="521" t="s">
        <v>2242</v>
      </c>
      <c r="M1" s="521" t="s">
        <v>2243</v>
      </c>
      <c r="N1" s="522" t="s">
        <v>2280</v>
      </c>
      <c r="O1" s="519" t="s">
        <v>3941</v>
      </c>
      <c r="P1" s="521" t="s">
        <v>3944</v>
      </c>
      <c r="Q1" s="810" t="s">
        <v>2280</v>
      </c>
      <c r="R1" s="519" t="s">
        <v>3941</v>
      </c>
      <c r="S1" s="520" t="s">
        <v>3942</v>
      </c>
      <c r="T1" s="521" t="s">
        <v>3943</v>
      </c>
      <c r="U1" s="521" t="s">
        <v>3944</v>
      </c>
      <c r="V1" s="811" t="s">
        <v>2242</v>
      </c>
      <c r="W1" s="812" t="s">
        <v>2243</v>
      </c>
      <c r="X1" s="522" t="s">
        <v>2280</v>
      </c>
      <c r="Y1" s="1344" t="s">
        <v>3941</v>
      </c>
      <c r="Z1" s="1345" t="s">
        <v>3942</v>
      </c>
      <c r="AA1" s="521" t="s">
        <v>3943</v>
      </c>
      <c r="AB1" s="521" t="s">
        <v>2281</v>
      </c>
      <c r="AC1" s="810" t="s">
        <v>2242</v>
      </c>
      <c r="AD1" s="471" t="s">
        <v>2243</v>
      </c>
      <c r="AE1" s="471" t="s">
        <v>2280</v>
      </c>
      <c r="AF1" s="470" t="s">
        <v>122</v>
      </c>
      <c r="AG1" s="836" t="s">
        <v>2585</v>
      </c>
      <c r="AI1" s="292"/>
      <c r="AK1" s="300"/>
      <c r="AS1" s="452"/>
    </row>
    <row r="2" spans="1:45" s="292" customFormat="1" ht="14.4" thickBot="1">
      <c r="A2" s="804" t="s">
        <v>123</v>
      </c>
      <c r="B2" s="804" t="s">
        <v>124</v>
      </c>
      <c r="C2" s="804" t="s">
        <v>125</v>
      </c>
      <c r="D2" s="804" t="s">
        <v>126</v>
      </c>
      <c r="E2" s="804" t="s">
        <v>127</v>
      </c>
      <c r="F2" s="804" t="s">
        <v>128</v>
      </c>
      <c r="G2" s="805"/>
      <c r="H2" s="1557" t="s">
        <v>2279</v>
      </c>
      <c r="I2" s="1555"/>
      <c r="J2" s="1555"/>
      <c r="K2" s="1555"/>
      <c r="L2" s="1555"/>
      <c r="M2" s="1555"/>
      <c r="N2" s="1556"/>
      <c r="O2" s="1552" t="s">
        <v>2278</v>
      </c>
      <c r="P2" s="1553"/>
      <c r="Q2" s="1554"/>
      <c r="R2" s="1552" t="s">
        <v>2277</v>
      </c>
      <c r="S2" s="1553"/>
      <c r="T2" s="1553"/>
      <c r="U2" s="1553"/>
      <c r="V2" s="1553"/>
      <c r="W2" s="1553"/>
      <c r="X2" s="1554"/>
      <c r="Y2" s="1552" t="s">
        <v>2276</v>
      </c>
      <c r="Z2" s="1553"/>
      <c r="AA2" s="1553"/>
      <c r="AB2" s="1553"/>
      <c r="AC2" s="1553"/>
      <c r="AD2" s="1555"/>
      <c r="AE2" s="1556"/>
      <c r="AF2" s="469"/>
      <c r="AG2" s="837"/>
      <c r="AH2" s="744"/>
      <c r="AK2" s="293"/>
      <c r="AS2" s="744"/>
    </row>
    <row r="3" spans="1:45" s="292" customFormat="1">
      <c r="A3" s="338">
        <v>300</v>
      </c>
      <c r="B3" s="337">
        <v>0</v>
      </c>
      <c r="C3" s="337">
        <v>0</v>
      </c>
      <c r="D3" s="337">
        <v>0</v>
      </c>
      <c r="E3" s="337">
        <v>0</v>
      </c>
      <c r="F3" s="337">
        <v>0</v>
      </c>
      <c r="G3" s="391" t="s">
        <v>538</v>
      </c>
      <c r="H3" s="468"/>
      <c r="I3" s="467"/>
      <c r="J3" s="467"/>
      <c r="K3" s="467"/>
      <c r="L3" s="467"/>
      <c r="M3" s="467"/>
      <c r="N3" s="467"/>
      <c r="O3" s="465"/>
      <c r="P3" s="464"/>
      <c r="Q3" s="466"/>
      <c r="R3" s="465"/>
      <c r="S3" s="464"/>
      <c r="T3" s="464"/>
      <c r="U3" s="464"/>
      <c r="V3" s="464"/>
      <c r="W3" s="464"/>
      <c r="X3" s="464"/>
      <c r="Y3" s="1346"/>
      <c r="Z3" s="1347"/>
      <c r="AA3" s="464"/>
      <c r="AB3" s="464"/>
      <c r="AC3" s="464"/>
      <c r="AD3" s="464"/>
      <c r="AE3" s="464"/>
      <c r="AF3" s="463" t="s">
        <v>539</v>
      </c>
      <c r="AG3" s="838"/>
      <c r="AH3" s="744"/>
      <c r="AK3" s="293"/>
      <c r="AS3" s="744"/>
    </row>
    <row r="4" spans="1:45" s="299" customFormat="1">
      <c r="A4" s="462">
        <v>300</v>
      </c>
      <c r="B4" s="461">
        <v>100</v>
      </c>
      <c r="C4" s="461"/>
      <c r="D4" s="461"/>
      <c r="E4" s="461"/>
      <c r="F4" s="461"/>
      <c r="G4" s="459" t="s">
        <v>540</v>
      </c>
      <c r="H4" s="458"/>
      <c r="I4" s="457"/>
      <c r="J4" s="457"/>
      <c r="K4" s="457"/>
      <c r="L4" s="457"/>
      <c r="M4" s="457"/>
      <c r="N4" s="457"/>
      <c r="O4" s="455"/>
      <c r="P4" s="454"/>
      <c r="Q4" s="456"/>
      <c r="R4" s="455"/>
      <c r="S4" s="454"/>
      <c r="T4" s="454"/>
      <c r="U4" s="454"/>
      <c r="V4" s="454"/>
      <c r="W4" s="454"/>
      <c r="X4" s="454"/>
      <c r="Y4" s="1348"/>
      <c r="Z4" s="1349"/>
      <c r="AA4" s="454"/>
      <c r="AB4" s="454"/>
      <c r="AC4" s="454"/>
      <c r="AD4" s="454"/>
      <c r="AE4" s="454"/>
      <c r="AF4" s="453" t="s">
        <v>541</v>
      </c>
      <c r="AG4" s="838"/>
      <c r="AH4" s="744"/>
      <c r="AI4" s="292"/>
      <c r="AK4" s="300"/>
      <c r="AS4" s="452"/>
    </row>
    <row r="5" spans="1:45" s="299" customFormat="1" ht="27.6">
      <c r="A5" s="462">
        <v>300</v>
      </c>
      <c r="B5" s="461">
        <v>100</v>
      </c>
      <c r="C5" s="460">
        <v>100</v>
      </c>
      <c r="D5" s="460"/>
      <c r="E5" s="460"/>
      <c r="F5" s="460"/>
      <c r="G5" s="459" t="s">
        <v>542</v>
      </c>
      <c r="H5" s="458"/>
      <c r="I5" s="457"/>
      <c r="J5" s="457"/>
      <c r="K5" s="457"/>
      <c r="L5" s="457"/>
      <c r="M5" s="457"/>
      <c r="N5" s="457"/>
      <c r="O5" s="455"/>
      <c r="P5" s="454"/>
      <c r="Q5" s="456"/>
      <c r="R5" s="455"/>
      <c r="S5" s="454"/>
      <c r="T5" s="454"/>
      <c r="U5" s="454"/>
      <c r="V5" s="454"/>
      <c r="W5" s="454"/>
      <c r="X5" s="454"/>
      <c r="Y5" s="1348"/>
      <c r="Z5" s="1349"/>
      <c r="AA5" s="454"/>
      <c r="AB5" s="454"/>
      <c r="AC5" s="454"/>
      <c r="AD5" s="454"/>
      <c r="AE5" s="454"/>
      <c r="AF5" s="453" t="s">
        <v>543</v>
      </c>
      <c r="AG5" s="838"/>
      <c r="AK5" s="300"/>
      <c r="AS5" s="452"/>
    </row>
    <row r="6" spans="1:45" s="299" customFormat="1" ht="55.2">
      <c r="A6" s="450">
        <v>300</v>
      </c>
      <c r="B6" s="426">
        <v>100</v>
      </c>
      <c r="C6" s="352">
        <v>100</v>
      </c>
      <c r="D6" s="357">
        <v>100</v>
      </c>
      <c r="E6" s="352"/>
      <c r="F6" s="352"/>
      <c r="G6" s="342" t="s">
        <v>546</v>
      </c>
      <c r="H6" s="329">
        <v>671002.81999999995</v>
      </c>
      <c r="I6" s="326">
        <v>31.19</v>
      </c>
      <c r="J6" s="358"/>
      <c r="K6" s="358">
        <v>699140.02000000048</v>
      </c>
      <c r="L6" s="358">
        <v>31.19</v>
      </c>
      <c r="M6" s="358"/>
      <c r="N6" s="327">
        <v>2133630</v>
      </c>
      <c r="O6" s="328">
        <v>0</v>
      </c>
      <c r="P6" s="326"/>
      <c r="Q6" s="327"/>
      <c r="R6" s="329"/>
      <c r="S6" s="326"/>
      <c r="T6" s="326"/>
      <c r="U6" s="326"/>
      <c r="V6" s="326"/>
      <c r="W6" s="326"/>
      <c r="X6" s="326"/>
      <c r="Y6" s="1350">
        <f>+H6+O6+R6</f>
        <v>671002.81999999995</v>
      </c>
      <c r="Z6" s="1351">
        <f>+I6+S6</f>
        <v>31.19</v>
      </c>
      <c r="AA6" s="326">
        <f>+J6+T6</f>
        <v>0</v>
      </c>
      <c r="AB6" s="326">
        <f>+K6+P6+U6</f>
        <v>699140.02000000048</v>
      </c>
      <c r="AC6" s="326">
        <f>+L6+V6</f>
        <v>31.19</v>
      </c>
      <c r="AD6" s="326">
        <f>+M6+W6</f>
        <v>0</v>
      </c>
      <c r="AE6" s="326">
        <f>+N6+X6+Q6</f>
        <v>2133630</v>
      </c>
      <c r="AF6" s="355" t="s">
        <v>545</v>
      </c>
      <c r="AG6" s="838"/>
      <c r="AH6" s="744">
        <f>SUM(Y6:Y58)</f>
        <v>13317278.989999993</v>
      </c>
      <c r="AI6" s="292" t="s">
        <v>2275</v>
      </c>
      <c r="AK6" s="451"/>
      <c r="AS6" s="452"/>
    </row>
    <row r="7" spans="1:45" s="299" customFormat="1">
      <c r="A7" s="450">
        <v>300</v>
      </c>
      <c r="B7" s="426">
        <v>100</v>
      </c>
      <c r="C7" s="352">
        <v>100</v>
      </c>
      <c r="D7" s="357">
        <v>200</v>
      </c>
      <c r="E7" s="352"/>
      <c r="F7" s="352"/>
      <c r="G7" s="342" t="s">
        <v>547</v>
      </c>
      <c r="H7" s="329">
        <v>23328.05</v>
      </c>
      <c r="I7" s="326">
        <v>16698.05</v>
      </c>
      <c r="J7" s="358"/>
      <c r="K7" s="358">
        <v>22617.799999999992</v>
      </c>
      <c r="L7" s="358">
        <v>16453.16</v>
      </c>
      <c r="M7" s="358"/>
      <c r="N7" s="327">
        <v>185000</v>
      </c>
      <c r="O7" s="328">
        <v>0</v>
      </c>
      <c r="P7" s="326"/>
      <c r="Q7" s="327"/>
      <c r="R7" s="329"/>
      <c r="S7" s="326"/>
      <c r="T7" s="326"/>
      <c r="U7" s="326"/>
      <c r="V7" s="326"/>
      <c r="W7" s="326"/>
      <c r="X7" s="326"/>
      <c r="Y7" s="1350">
        <f t="shared" ref="Y7:Y70" si="0">+H7+O7+R7</f>
        <v>23328.05</v>
      </c>
      <c r="Z7" s="1351">
        <f t="shared" ref="Z7:Z70" si="1">+I7+S7</f>
        <v>16698.05</v>
      </c>
      <c r="AA7" s="326">
        <f t="shared" ref="AA7:AA70" si="2">+J7+T7</f>
        <v>0</v>
      </c>
      <c r="AB7" s="326">
        <f t="shared" ref="AB7:AB70" si="3">+K7+P7+U7</f>
        <v>22617.799999999992</v>
      </c>
      <c r="AC7" s="326">
        <f t="shared" ref="AC7:AC70" si="4">+L7+V7</f>
        <v>16453.16</v>
      </c>
      <c r="AD7" s="326">
        <f t="shared" ref="AD7:AD70" si="5">+M7+W7</f>
        <v>0</v>
      </c>
      <c r="AE7" s="326">
        <f t="shared" ref="AE7:AE70" si="6">+N7+X7+Q7</f>
        <v>185000</v>
      </c>
      <c r="AF7" s="355" t="s">
        <v>548</v>
      </c>
      <c r="AG7" s="838"/>
      <c r="AH7" s="744"/>
      <c r="AI7" s="292"/>
      <c r="AK7" s="451"/>
      <c r="AS7" s="452"/>
    </row>
    <row r="8" spans="1:45" s="299" customFormat="1">
      <c r="A8" s="450">
        <v>300</v>
      </c>
      <c r="B8" s="426">
        <v>100</v>
      </c>
      <c r="C8" s="352">
        <v>100</v>
      </c>
      <c r="D8" s="357">
        <v>250</v>
      </c>
      <c r="E8" s="352"/>
      <c r="F8" s="352"/>
      <c r="G8" s="342" t="s">
        <v>549</v>
      </c>
      <c r="H8" s="329">
        <v>71247.5</v>
      </c>
      <c r="I8" s="326"/>
      <c r="J8" s="358"/>
      <c r="K8" s="358">
        <v>65356.9</v>
      </c>
      <c r="L8" s="358"/>
      <c r="M8" s="358"/>
      <c r="N8" s="327">
        <v>70000</v>
      </c>
      <c r="O8" s="328">
        <v>0</v>
      </c>
      <c r="P8" s="326"/>
      <c r="Q8" s="327"/>
      <c r="R8" s="329"/>
      <c r="S8" s="326"/>
      <c r="T8" s="326"/>
      <c r="U8" s="326"/>
      <c r="V8" s="326"/>
      <c r="W8" s="326"/>
      <c r="X8" s="326"/>
      <c r="Y8" s="1350">
        <f t="shared" si="0"/>
        <v>71247.5</v>
      </c>
      <c r="Z8" s="1351">
        <f t="shared" si="1"/>
        <v>0</v>
      </c>
      <c r="AA8" s="326">
        <f t="shared" si="2"/>
        <v>0</v>
      </c>
      <c r="AB8" s="326">
        <f t="shared" si="3"/>
        <v>65356.9</v>
      </c>
      <c r="AC8" s="326">
        <f t="shared" si="4"/>
        <v>0</v>
      </c>
      <c r="AD8" s="326">
        <f t="shared" si="5"/>
        <v>0</v>
      </c>
      <c r="AE8" s="326">
        <f t="shared" si="6"/>
        <v>70000</v>
      </c>
      <c r="AF8" s="355" t="s">
        <v>550</v>
      </c>
      <c r="AG8" s="838"/>
      <c r="AH8" s="744"/>
      <c r="AI8" s="292"/>
      <c r="AK8" s="300"/>
      <c r="AS8" s="452"/>
    </row>
    <row r="9" spans="1:45" s="299" customFormat="1" ht="27.6">
      <c r="A9" s="450">
        <v>300</v>
      </c>
      <c r="B9" s="426">
        <v>100</v>
      </c>
      <c r="C9" s="352">
        <v>100</v>
      </c>
      <c r="D9" s="357">
        <v>300</v>
      </c>
      <c r="E9" s="352"/>
      <c r="F9" s="352"/>
      <c r="G9" s="342" t="s">
        <v>551</v>
      </c>
      <c r="H9" s="334"/>
      <c r="I9" s="331"/>
      <c r="J9" s="359"/>
      <c r="K9" s="359"/>
      <c r="L9" s="359"/>
      <c r="M9" s="359"/>
      <c r="N9" s="332"/>
      <c r="O9" s="333">
        <v>0</v>
      </c>
      <c r="P9" s="331"/>
      <c r="Q9" s="332"/>
      <c r="R9" s="334"/>
      <c r="S9" s="331"/>
      <c r="T9" s="331"/>
      <c r="U9" s="331"/>
      <c r="V9" s="331"/>
      <c r="W9" s="331"/>
      <c r="X9" s="331"/>
      <c r="Y9" s="1352">
        <f t="shared" si="0"/>
        <v>0</v>
      </c>
      <c r="Z9" s="1353">
        <f t="shared" si="1"/>
        <v>0</v>
      </c>
      <c r="AA9" s="331">
        <f t="shared" si="2"/>
        <v>0</v>
      </c>
      <c r="AB9" s="331">
        <f t="shared" si="3"/>
        <v>0</v>
      </c>
      <c r="AC9" s="331">
        <f t="shared" si="4"/>
        <v>0</v>
      </c>
      <c r="AD9" s="331">
        <f t="shared" si="5"/>
        <v>0</v>
      </c>
      <c r="AE9" s="331">
        <f t="shared" si="6"/>
        <v>0</v>
      </c>
      <c r="AF9" s="355" t="s">
        <v>552</v>
      </c>
      <c r="AG9" s="838"/>
      <c r="AH9" s="744"/>
      <c r="AI9" s="292"/>
      <c r="AK9" s="300"/>
      <c r="AS9" s="452"/>
    </row>
    <row r="10" spans="1:45" s="299" customFormat="1" ht="55.2">
      <c r="A10" s="450">
        <v>300</v>
      </c>
      <c r="B10" s="426">
        <v>100</v>
      </c>
      <c r="C10" s="352">
        <v>100</v>
      </c>
      <c r="D10" s="357">
        <v>300</v>
      </c>
      <c r="E10" s="352">
        <v>100</v>
      </c>
      <c r="F10" s="352"/>
      <c r="G10" s="342" t="s">
        <v>553</v>
      </c>
      <c r="H10" s="329"/>
      <c r="I10" s="326"/>
      <c r="J10" s="358"/>
      <c r="K10" s="358"/>
      <c r="L10" s="358"/>
      <c r="M10" s="358"/>
      <c r="N10" s="327"/>
      <c r="O10" s="328">
        <v>0</v>
      </c>
      <c r="P10" s="326"/>
      <c r="Q10" s="327"/>
      <c r="R10" s="329"/>
      <c r="S10" s="326"/>
      <c r="T10" s="326"/>
      <c r="U10" s="326"/>
      <c r="V10" s="326"/>
      <c r="W10" s="326"/>
      <c r="X10" s="326"/>
      <c r="Y10" s="1350">
        <f t="shared" si="0"/>
        <v>0</v>
      </c>
      <c r="Z10" s="1351">
        <f t="shared" si="1"/>
        <v>0</v>
      </c>
      <c r="AA10" s="326">
        <f t="shared" si="2"/>
        <v>0</v>
      </c>
      <c r="AB10" s="326">
        <f t="shared" si="3"/>
        <v>0</v>
      </c>
      <c r="AC10" s="326">
        <f t="shared" si="4"/>
        <v>0</v>
      </c>
      <c r="AD10" s="326">
        <f t="shared" si="5"/>
        <v>0</v>
      </c>
      <c r="AE10" s="326">
        <f t="shared" si="6"/>
        <v>0</v>
      </c>
      <c r="AF10" s="355" t="s">
        <v>554</v>
      </c>
      <c r="AG10" s="838"/>
      <c r="AH10" s="744"/>
      <c r="AI10" s="292"/>
      <c r="AJ10" s="452"/>
      <c r="AK10" s="300"/>
      <c r="AS10" s="452"/>
    </row>
    <row r="11" spans="1:45" s="299" customFormat="1" ht="55.2">
      <c r="A11" s="450">
        <v>300</v>
      </c>
      <c r="B11" s="426">
        <v>100</v>
      </c>
      <c r="C11" s="352">
        <v>100</v>
      </c>
      <c r="D11" s="357">
        <v>300</v>
      </c>
      <c r="E11" s="352">
        <v>200</v>
      </c>
      <c r="F11" s="352"/>
      <c r="G11" s="342" t="s">
        <v>555</v>
      </c>
      <c r="H11" s="329"/>
      <c r="I11" s="326"/>
      <c r="J11" s="358"/>
      <c r="K11" s="358"/>
      <c r="L11" s="358"/>
      <c r="M11" s="358"/>
      <c r="N11" s="327"/>
      <c r="O11" s="328">
        <v>0</v>
      </c>
      <c r="P11" s="326"/>
      <c r="Q11" s="327"/>
      <c r="R11" s="329"/>
      <c r="S11" s="326"/>
      <c r="T11" s="326"/>
      <c r="U11" s="326"/>
      <c r="V11" s="326"/>
      <c r="W11" s="326"/>
      <c r="X11" s="326"/>
      <c r="Y11" s="1350">
        <f t="shared" si="0"/>
        <v>0</v>
      </c>
      <c r="Z11" s="1351">
        <f t="shared" si="1"/>
        <v>0</v>
      </c>
      <c r="AA11" s="326">
        <f t="shared" si="2"/>
        <v>0</v>
      </c>
      <c r="AB11" s="326">
        <f t="shared" si="3"/>
        <v>0</v>
      </c>
      <c r="AC11" s="326">
        <f t="shared" si="4"/>
        <v>0</v>
      </c>
      <c r="AD11" s="326">
        <f t="shared" si="5"/>
        <v>0</v>
      </c>
      <c r="AE11" s="326">
        <f t="shared" si="6"/>
        <v>0</v>
      </c>
      <c r="AF11" s="355" t="s">
        <v>556</v>
      </c>
      <c r="AG11" s="838"/>
      <c r="AH11" s="744"/>
      <c r="AI11" s="292"/>
      <c r="AK11" s="300"/>
      <c r="AS11" s="452"/>
    </row>
    <row r="12" spans="1:45" s="299" customFormat="1" ht="27.6">
      <c r="A12" s="450">
        <v>300</v>
      </c>
      <c r="B12" s="426">
        <v>100</v>
      </c>
      <c r="C12" s="352">
        <v>100</v>
      </c>
      <c r="D12" s="357">
        <v>300</v>
      </c>
      <c r="E12" s="352">
        <v>300</v>
      </c>
      <c r="F12" s="352"/>
      <c r="G12" s="342" t="s">
        <v>557</v>
      </c>
      <c r="H12" s="328"/>
      <c r="I12" s="326"/>
      <c r="J12" s="358"/>
      <c r="K12" s="358"/>
      <c r="L12" s="358"/>
      <c r="M12" s="358"/>
      <c r="N12" s="327"/>
      <c r="O12" s="328">
        <v>0</v>
      </c>
      <c r="P12" s="326"/>
      <c r="Q12" s="327"/>
      <c r="R12" s="329"/>
      <c r="S12" s="326"/>
      <c r="T12" s="326"/>
      <c r="U12" s="326"/>
      <c r="V12" s="326"/>
      <c r="W12" s="326"/>
      <c r="X12" s="326"/>
      <c r="Y12" s="1350">
        <f t="shared" si="0"/>
        <v>0</v>
      </c>
      <c r="Z12" s="1351">
        <f t="shared" si="1"/>
        <v>0</v>
      </c>
      <c r="AA12" s="326">
        <f t="shared" si="2"/>
        <v>0</v>
      </c>
      <c r="AB12" s="326">
        <f t="shared" si="3"/>
        <v>0</v>
      </c>
      <c r="AC12" s="326">
        <f t="shared" si="4"/>
        <v>0</v>
      </c>
      <c r="AD12" s="326">
        <f t="shared" si="5"/>
        <v>0</v>
      </c>
      <c r="AE12" s="326">
        <f t="shared" si="6"/>
        <v>0</v>
      </c>
      <c r="AF12" s="355" t="s">
        <v>558</v>
      </c>
      <c r="AG12" s="838"/>
      <c r="AH12" s="744"/>
      <c r="AI12" s="292"/>
      <c r="AK12" s="300"/>
      <c r="AS12" s="452"/>
    </row>
    <row r="13" spans="1:45" s="299" customFormat="1">
      <c r="A13" s="450">
        <v>300</v>
      </c>
      <c r="B13" s="426">
        <v>100</v>
      </c>
      <c r="C13" s="352">
        <v>200</v>
      </c>
      <c r="D13" s="352"/>
      <c r="E13" s="352"/>
      <c r="F13" s="352"/>
      <c r="G13" s="403" t="s">
        <v>559</v>
      </c>
      <c r="H13" s="333"/>
      <c r="I13" s="331"/>
      <c r="J13" s="359"/>
      <c r="K13" s="359"/>
      <c r="L13" s="359"/>
      <c r="M13" s="359"/>
      <c r="N13" s="332"/>
      <c r="O13" s="333">
        <v>0</v>
      </c>
      <c r="P13" s="331"/>
      <c r="Q13" s="332"/>
      <c r="R13" s="334"/>
      <c r="S13" s="331"/>
      <c r="T13" s="331"/>
      <c r="U13" s="331"/>
      <c r="V13" s="331"/>
      <c r="W13" s="331"/>
      <c r="X13" s="331"/>
      <c r="Y13" s="1352">
        <f t="shared" si="0"/>
        <v>0</v>
      </c>
      <c r="Z13" s="1353">
        <f t="shared" si="1"/>
        <v>0</v>
      </c>
      <c r="AA13" s="331">
        <f t="shared" si="2"/>
        <v>0</v>
      </c>
      <c r="AB13" s="331">
        <f t="shared" si="3"/>
        <v>0</v>
      </c>
      <c r="AC13" s="331">
        <f t="shared" si="4"/>
        <v>0</v>
      </c>
      <c r="AD13" s="331">
        <f t="shared" si="5"/>
        <v>0</v>
      </c>
      <c r="AE13" s="331">
        <f t="shared" si="6"/>
        <v>0</v>
      </c>
      <c r="AF13" s="424" t="s">
        <v>560</v>
      </c>
      <c r="AG13" s="838"/>
      <c r="AH13" s="744"/>
      <c r="AI13" s="292"/>
      <c r="AK13" s="300"/>
      <c r="AS13" s="452"/>
    </row>
    <row r="14" spans="1:45" s="299" customFormat="1" ht="41.4">
      <c r="A14" s="353">
        <v>300</v>
      </c>
      <c r="B14" s="352">
        <v>100</v>
      </c>
      <c r="C14" s="352">
        <v>200</v>
      </c>
      <c r="D14" s="357">
        <v>100</v>
      </c>
      <c r="E14" s="357"/>
      <c r="F14" s="357"/>
      <c r="G14" s="342" t="s">
        <v>561</v>
      </c>
      <c r="H14" s="328"/>
      <c r="I14" s="326"/>
      <c r="J14" s="358"/>
      <c r="K14" s="358"/>
      <c r="L14" s="358"/>
      <c r="M14" s="358"/>
      <c r="N14" s="327"/>
      <c r="O14" s="328">
        <v>0</v>
      </c>
      <c r="P14" s="326"/>
      <c r="Q14" s="327"/>
      <c r="R14" s="329"/>
      <c r="S14" s="326"/>
      <c r="T14" s="326"/>
      <c r="U14" s="326"/>
      <c r="V14" s="326"/>
      <c r="W14" s="326"/>
      <c r="X14" s="326"/>
      <c r="Y14" s="1350">
        <f t="shared" si="0"/>
        <v>0</v>
      </c>
      <c r="Z14" s="1351">
        <f t="shared" si="1"/>
        <v>0</v>
      </c>
      <c r="AA14" s="326">
        <f t="shared" si="2"/>
        <v>0</v>
      </c>
      <c r="AB14" s="326">
        <f t="shared" si="3"/>
        <v>0</v>
      </c>
      <c r="AC14" s="326">
        <f t="shared" si="4"/>
        <v>0</v>
      </c>
      <c r="AD14" s="326">
        <f t="shared" si="5"/>
        <v>0</v>
      </c>
      <c r="AE14" s="326">
        <f t="shared" si="6"/>
        <v>0</v>
      </c>
      <c r="AF14" s="424" t="s">
        <v>562</v>
      </c>
      <c r="AG14" s="838"/>
      <c r="AH14" s="744"/>
      <c r="AI14" s="292"/>
      <c r="AK14" s="300"/>
      <c r="AS14" s="452"/>
    </row>
    <row r="15" spans="1:45" s="299" customFormat="1" ht="41.4">
      <c r="A15" s="450">
        <v>300</v>
      </c>
      <c r="B15" s="426">
        <v>100</v>
      </c>
      <c r="C15" s="352">
        <v>200</v>
      </c>
      <c r="D15" s="357">
        <v>200</v>
      </c>
      <c r="E15" s="352"/>
      <c r="F15" s="352"/>
      <c r="G15" s="342" t="s">
        <v>563</v>
      </c>
      <c r="H15" s="328"/>
      <c r="I15" s="326"/>
      <c r="J15" s="358"/>
      <c r="K15" s="358"/>
      <c r="L15" s="358"/>
      <c r="M15" s="358"/>
      <c r="N15" s="327"/>
      <c r="O15" s="328">
        <v>0</v>
      </c>
      <c r="P15" s="326"/>
      <c r="Q15" s="327"/>
      <c r="R15" s="329"/>
      <c r="S15" s="326"/>
      <c r="T15" s="326"/>
      <c r="U15" s="326"/>
      <c r="V15" s="326"/>
      <c r="W15" s="326"/>
      <c r="X15" s="326"/>
      <c r="Y15" s="1350">
        <f t="shared" si="0"/>
        <v>0</v>
      </c>
      <c r="Z15" s="1351">
        <f t="shared" si="1"/>
        <v>0</v>
      </c>
      <c r="AA15" s="326">
        <f t="shared" si="2"/>
        <v>0</v>
      </c>
      <c r="AB15" s="326">
        <f t="shared" si="3"/>
        <v>0</v>
      </c>
      <c r="AC15" s="326">
        <f t="shared" si="4"/>
        <v>0</v>
      </c>
      <c r="AD15" s="326">
        <f t="shared" si="5"/>
        <v>0</v>
      </c>
      <c r="AE15" s="326">
        <f t="shared" si="6"/>
        <v>0</v>
      </c>
      <c r="AF15" s="355" t="s">
        <v>564</v>
      </c>
      <c r="AG15" s="838"/>
      <c r="AH15" s="744"/>
      <c r="AI15" s="292"/>
      <c r="AK15" s="300"/>
      <c r="AS15" s="452"/>
    </row>
    <row r="16" spans="1:45" s="299" customFormat="1">
      <c r="A16" s="450">
        <v>300</v>
      </c>
      <c r="B16" s="426">
        <v>100</v>
      </c>
      <c r="C16" s="352">
        <v>200</v>
      </c>
      <c r="D16" s="357">
        <v>300</v>
      </c>
      <c r="E16" s="352"/>
      <c r="F16" s="352"/>
      <c r="G16" s="342" t="s">
        <v>565</v>
      </c>
      <c r="H16" s="328"/>
      <c r="I16" s="326"/>
      <c r="J16" s="358"/>
      <c r="K16" s="358"/>
      <c r="L16" s="358"/>
      <c r="M16" s="358"/>
      <c r="N16" s="327"/>
      <c r="O16" s="328">
        <v>0</v>
      </c>
      <c r="P16" s="326"/>
      <c r="Q16" s="327"/>
      <c r="R16" s="329"/>
      <c r="S16" s="326"/>
      <c r="T16" s="326"/>
      <c r="U16" s="326"/>
      <c r="V16" s="326"/>
      <c r="W16" s="326"/>
      <c r="X16" s="326"/>
      <c r="Y16" s="1350">
        <f t="shared" si="0"/>
        <v>0</v>
      </c>
      <c r="Z16" s="1351">
        <f t="shared" si="1"/>
        <v>0</v>
      </c>
      <c r="AA16" s="326">
        <f t="shared" si="2"/>
        <v>0</v>
      </c>
      <c r="AB16" s="326">
        <f t="shared" si="3"/>
        <v>0</v>
      </c>
      <c r="AC16" s="326">
        <f t="shared" si="4"/>
        <v>0</v>
      </c>
      <c r="AD16" s="326">
        <f t="shared" si="5"/>
        <v>0</v>
      </c>
      <c r="AE16" s="326">
        <f t="shared" si="6"/>
        <v>0</v>
      </c>
      <c r="AF16" s="355" t="s">
        <v>566</v>
      </c>
      <c r="AG16" s="838"/>
      <c r="AH16" s="744"/>
      <c r="AI16" s="292"/>
      <c r="AK16" s="300"/>
      <c r="AS16" s="452"/>
    </row>
    <row r="17" spans="1:45" s="299" customFormat="1">
      <c r="A17" s="450">
        <v>300</v>
      </c>
      <c r="B17" s="426">
        <v>100</v>
      </c>
      <c r="C17" s="352">
        <v>300</v>
      </c>
      <c r="D17" s="352"/>
      <c r="E17" s="352"/>
      <c r="F17" s="352"/>
      <c r="G17" s="323" t="s">
        <v>567</v>
      </c>
      <c r="H17" s="333"/>
      <c r="I17" s="331"/>
      <c r="J17" s="359"/>
      <c r="K17" s="359"/>
      <c r="L17" s="359"/>
      <c r="M17" s="359"/>
      <c r="N17" s="332"/>
      <c r="O17" s="333">
        <v>0</v>
      </c>
      <c r="P17" s="331"/>
      <c r="Q17" s="332"/>
      <c r="R17" s="334"/>
      <c r="S17" s="331"/>
      <c r="T17" s="331"/>
      <c r="U17" s="331"/>
      <c r="V17" s="331"/>
      <c r="W17" s="331"/>
      <c r="X17" s="331"/>
      <c r="Y17" s="1352">
        <f t="shared" si="0"/>
        <v>0</v>
      </c>
      <c r="Z17" s="1353">
        <f t="shared" si="1"/>
        <v>0</v>
      </c>
      <c r="AA17" s="331">
        <f t="shared" si="2"/>
        <v>0</v>
      </c>
      <c r="AB17" s="331">
        <f t="shared" si="3"/>
        <v>0</v>
      </c>
      <c r="AC17" s="331">
        <f t="shared" si="4"/>
        <v>0</v>
      </c>
      <c r="AD17" s="331">
        <f t="shared" si="5"/>
        <v>0</v>
      </c>
      <c r="AE17" s="331">
        <f t="shared" si="6"/>
        <v>0</v>
      </c>
      <c r="AF17" s="355" t="s">
        <v>568</v>
      </c>
      <c r="AG17" s="838"/>
      <c r="AH17" s="744"/>
      <c r="AI17" s="292"/>
      <c r="AK17" s="300"/>
      <c r="AS17" s="452"/>
    </row>
    <row r="18" spans="1:45" s="299" customFormat="1">
      <c r="A18" s="450">
        <v>300</v>
      </c>
      <c r="B18" s="426">
        <v>100</v>
      </c>
      <c r="C18" s="352">
        <v>300</v>
      </c>
      <c r="D18" s="357">
        <v>100</v>
      </c>
      <c r="E18" s="352"/>
      <c r="F18" s="352"/>
      <c r="G18" s="315" t="s">
        <v>569</v>
      </c>
      <c r="H18" s="328">
        <v>2075177.47</v>
      </c>
      <c r="I18" s="326">
        <v>159365.93</v>
      </c>
      <c r="J18" s="358"/>
      <c r="K18" s="358">
        <v>2010048.62</v>
      </c>
      <c r="L18" s="358">
        <v>156358.1</v>
      </c>
      <c r="M18" s="358"/>
      <c r="N18" s="327">
        <v>1937970</v>
      </c>
      <c r="O18" s="328"/>
      <c r="P18" s="326">
        <v>1000</v>
      </c>
      <c r="Q18" s="327">
        <v>1000</v>
      </c>
      <c r="R18" s="329"/>
      <c r="S18" s="326"/>
      <c r="T18" s="326"/>
      <c r="U18" s="326"/>
      <c r="V18" s="326"/>
      <c r="W18" s="326"/>
      <c r="X18" s="326"/>
      <c r="Y18" s="1350">
        <f t="shared" si="0"/>
        <v>2075177.47</v>
      </c>
      <c r="Z18" s="1351">
        <f t="shared" si="1"/>
        <v>159365.93</v>
      </c>
      <c r="AA18" s="326">
        <f t="shared" si="2"/>
        <v>0</v>
      </c>
      <c r="AB18" s="326">
        <f t="shared" si="3"/>
        <v>2011048.62</v>
      </c>
      <c r="AC18" s="326">
        <f t="shared" si="4"/>
        <v>156358.1</v>
      </c>
      <c r="AD18" s="326">
        <f t="shared" si="5"/>
        <v>0</v>
      </c>
      <c r="AE18" s="326">
        <f t="shared" si="6"/>
        <v>1938970</v>
      </c>
      <c r="AF18" s="355" t="s">
        <v>570</v>
      </c>
      <c r="AG18" s="838"/>
      <c r="AH18" s="744"/>
      <c r="AI18" s="292"/>
      <c r="AK18" s="300"/>
      <c r="AS18" s="452"/>
    </row>
    <row r="19" spans="1:45" s="299" customFormat="1">
      <c r="A19" s="450">
        <v>300</v>
      </c>
      <c r="B19" s="426">
        <v>100</v>
      </c>
      <c r="C19" s="352">
        <v>300</v>
      </c>
      <c r="D19" s="357">
        <v>200</v>
      </c>
      <c r="E19" s="352"/>
      <c r="F19" s="352"/>
      <c r="G19" s="342" t="s">
        <v>571</v>
      </c>
      <c r="H19" s="328">
        <v>431795.52</v>
      </c>
      <c r="I19" s="832"/>
      <c r="J19" s="358"/>
      <c r="K19" s="358">
        <v>436992.02</v>
      </c>
      <c r="L19" s="358"/>
      <c r="M19" s="358"/>
      <c r="N19" s="327">
        <v>602649</v>
      </c>
      <c r="O19" s="328"/>
      <c r="P19" s="326"/>
      <c r="Q19" s="327"/>
      <c r="R19" s="329"/>
      <c r="S19" s="326"/>
      <c r="T19" s="326"/>
      <c r="U19" s="326"/>
      <c r="V19" s="326"/>
      <c r="W19" s="326"/>
      <c r="X19" s="326"/>
      <c r="Y19" s="1350">
        <f t="shared" si="0"/>
        <v>431795.52</v>
      </c>
      <c r="Z19" s="1351">
        <f t="shared" si="1"/>
        <v>0</v>
      </c>
      <c r="AA19" s="326">
        <f t="shared" si="2"/>
        <v>0</v>
      </c>
      <c r="AB19" s="326">
        <f t="shared" si="3"/>
        <v>436992.02</v>
      </c>
      <c r="AC19" s="326">
        <f t="shared" si="4"/>
        <v>0</v>
      </c>
      <c r="AD19" s="326">
        <f t="shared" si="5"/>
        <v>0</v>
      </c>
      <c r="AE19" s="326">
        <f t="shared" si="6"/>
        <v>602649</v>
      </c>
      <c r="AF19" s="355" t="s">
        <v>572</v>
      </c>
      <c r="AG19" s="839">
        <v>-165656.79999999999</v>
      </c>
      <c r="AI19" s="292"/>
      <c r="AK19" s="300"/>
      <c r="AS19" s="452"/>
    </row>
    <row r="20" spans="1:45" s="299" customFormat="1" ht="27.6">
      <c r="A20" s="450">
        <v>300</v>
      </c>
      <c r="B20" s="426">
        <v>100</v>
      </c>
      <c r="C20" s="352">
        <v>300</v>
      </c>
      <c r="D20" s="357">
        <v>300</v>
      </c>
      <c r="E20" s="352"/>
      <c r="F20" s="352"/>
      <c r="G20" s="342" t="s">
        <v>573</v>
      </c>
      <c r="H20" s="328">
        <v>3578585.66</v>
      </c>
      <c r="I20" s="326">
        <v>1093048.76</v>
      </c>
      <c r="J20" s="358"/>
      <c r="K20" s="358">
        <v>2620816.02</v>
      </c>
      <c r="L20" s="358">
        <v>1120592.3999999999</v>
      </c>
      <c r="M20" s="358"/>
      <c r="N20" s="327">
        <v>1294379</v>
      </c>
      <c r="O20" s="328"/>
      <c r="P20" s="326">
        <v>753693.4</v>
      </c>
      <c r="Q20" s="358">
        <v>827693</v>
      </c>
      <c r="R20" s="329"/>
      <c r="S20" s="326"/>
      <c r="T20" s="326"/>
      <c r="U20" s="326"/>
      <c r="V20" s="326"/>
      <c r="W20" s="326"/>
      <c r="X20" s="326"/>
      <c r="Y20" s="1350">
        <f t="shared" si="0"/>
        <v>3578585.66</v>
      </c>
      <c r="Z20" s="1351">
        <f t="shared" si="1"/>
        <v>1093048.76</v>
      </c>
      <c r="AA20" s="326">
        <f t="shared" si="2"/>
        <v>0</v>
      </c>
      <c r="AB20" s="326">
        <f t="shared" si="3"/>
        <v>3374509.42</v>
      </c>
      <c r="AC20" s="326">
        <f t="shared" si="4"/>
        <v>1120592.3999999999</v>
      </c>
      <c r="AD20" s="326">
        <f t="shared" si="5"/>
        <v>0</v>
      </c>
      <c r="AE20" s="326">
        <f t="shared" si="6"/>
        <v>2122072</v>
      </c>
      <c r="AF20" s="355" t="s">
        <v>574</v>
      </c>
      <c r="AG20" s="838"/>
      <c r="AH20" s="744"/>
      <c r="AI20" s="292"/>
      <c r="AK20" s="300"/>
      <c r="AS20" s="452"/>
    </row>
    <row r="21" spans="1:45" s="299" customFormat="1">
      <c r="A21" s="450">
        <v>300</v>
      </c>
      <c r="B21" s="426">
        <v>100</v>
      </c>
      <c r="C21" s="357">
        <v>400</v>
      </c>
      <c r="D21" s="352"/>
      <c r="E21" s="352"/>
      <c r="F21" s="352"/>
      <c r="G21" s="315" t="s">
        <v>575</v>
      </c>
      <c r="H21" s="328">
        <v>2954.31</v>
      </c>
      <c r="I21" s="326"/>
      <c r="J21" s="358"/>
      <c r="K21" s="358">
        <v>2132.0299999999988</v>
      </c>
      <c r="L21" s="358"/>
      <c r="M21" s="358"/>
      <c r="N21" s="327">
        <v>7164</v>
      </c>
      <c r="O21" s="328"/>
      <c r="P21" s="326"/>
      <c r="Q21" s="327"/>
      <c r="R21" s="329"/>
      <c r="S21" s="326"/>
      <c r="T21" s="326"/>
      <c r="U21" s="326"/>
      <c r="V21" s="326"/>
      <c r="W21" s="326"/>
      <c r="X21" s="326"/>
      <c r="Y21" s="1350">
        <f t="shared" si="0"/>
        <v>2954.31</v>
      </c>
      <c r="Z21" s="1351">
        <f t="shared" si="1"/>
        <v>0</v>
      </c>
      <c r="AA21" s="326">
        <f t="shared" si="2"/>
        <v>0</v>
      </c>
      <c r="AB21" s="326">
        <f t="shared" si="3"/>
        <v>2132.0299999999988</v>
      </c>
      <c r="AC21" s="326">
        <f t="shared" si="4"/>
        <v>0</v>
      </c>
      <c r="AD21" s="326">
        <f t="shared" si="5"/>
        <v>0</v>
      </c>
      <c r="AE21" s="326">
        <f t="shared" si="6"/>
        <v>7164</v>
      </c>
      <c r="AF21" s="355" t="s">
        <v>576</v>
      </c>
      <c r="AG21" s="838"/>
      <c r="AH21" s="744"/>
      <c r="AI21" s="292"/>
      <c r="AK21" s="300"/>
      <c r="AS21" s="452"/>
    </row>
    <row r="22" spans="1:45" s="299" customFormat="1">
      <c r="A22" s="450">
        <v>300</v>
      </c>
      <c r="B22" s="426">
        <v>100</v>
      </c>
      <c r="C22" s="357">
        <v>500</v>
      </c>
      <c r="D22" s="352"/>
      <c r="E22" s="352"/>
      <c r="F22" s="352"/>
      <c r="G22" s="342" t="s">
        <v>577</v>
      </c>
      <c r="H22" s="328">
        <v>696.45</v>
      </c>
      <c r="I22" s="326"/>
      <c r="J22" s="358"/>
      <c r="K22" s="358">
        <v>4979.8099999999995</v>
      </c>
      <c r="L22" s="358"/>
      <c r="M22" s="358"/>
      <c r="N22" s="327"/>
      <c r="O22" s="328"/>
      <c r="P22" s="326"/>
      <c r="Q22" s="327"/>
      <c r="R22" s="329"/>
      <c r="S22" s="326"/>
      <c r="T22" s="326"/>
      <c r="U22" s="326"/>
      <c r="V22" s="326"/>
      <c r="W22" s="326"/>
      <c r="X22" s="326"/>
      <c r="Y22" s="1350">
        <f t="shared" si="0"/>
        <v>696.45</v>
      </c>
      <c r="Z22" s="1351">
        <f t="shared" si="1"/>
        <v>0</v>
      </c>
      <c r="AA22" s="326">
        <f t="shared" si="2"/>
        <v>0</v>
      </c>
      <c r="AB22" s="326">
        <f t="shared" si="3"/>
        <v>4979.8099999999995</v>
      </c>
      <c r="AC22" s="326">
        <f t="shared" si="4"/>
        <v>0</v>
      </c>
      <c r="AD22" s="326">
        <f t="shared" si="5"/>
        <v>0</v>
      </c>
      <c r="AE22" s="326">
        <f t="shared" si="6"/>
        <v>0</v>
      </c>
      <c r="AF22" s="355" t="s">
        <v>578</v>
      </c>
      <c r="AG22" s="838"/>
      <c r="AH22" s="744"/>
      <c r="AI22" s="292"/>
      <c r="AK22" s="300"/>
      <c r="AS22" s="452"/>
    </row>
    <row r="23" spans="1:45" s="299" customFormat="1">
      <c r="A23" s="450">
        <v>300</v>
      </c>
      <c r="B23" s="426">
        <v>100</v>
      </c>
      <c r="C23" s="357">
        <v>600</v>
      </c>
      <c r="D23" s="352"/>
      <c r="E23" s="352"/>
      <c r="F23" s="352"/>
      <c r="G23" s="315" t="s">
        <v>579</v>
      </c>
      <c r="H23" s="328">
        <v>35404.31</v>
      </c>
      <c r="I23" s="326"/>
      <c r="J23" s="358"/>
      <c r="K23" s="358">
        <v>29165.93</v>
      </c>
      <c r="L23" s="358"/>
      <c r="M23" s="358"/>
      <c r="N23" s="327">
        <v>16500</v>
      </c>
      <c r="O23" s="328"/>
      <c r="P23" s="326"/>
      <c r="Q23" s="327"/>
      <c r="R23" s="329"/>
      <c r="S23" s="326"/>
      <c r="T23" s="326"/>
      <c r="U23" s="326"/>
      <c r="V23" s="326"/>
      <c r="W23" s="326"/>
      <c r="X23" s="326"/>
      <c r="Y23" s="1350">
        <f t="shared" si="0"/>
        <v>35404.31</v>
      </c>
      <c r="Z23" s="1351">
        <f t="shared" si="1"/>
        <v>0</v>
      </c>
      <c r="AA23" s="326">
        <f t="shared" si="2"/>
        <v>0</v>
      </c>
      <c r="AB23" s="326">
        <f t="shared" si="3"/>
        <v>29165.93</v>
      </c>
      <c r="AC23" s="326">
        <f t="shared" si="4"/>
        <v>0</v>
      </c>
      <c r="AD23" s="326">
        <f t="shared" si="5"/>
        <v>0</v>
      </c>
      <c r="AE23" s="326">
        <f t="shared" si="6"/>
        <v>16500</v>
      </c>
      <c r="AF23" s="355" t="s">
        <v>580</v>
      </c>
      <c r="AG23" s="838"/>
      <c r="AH23" s="744"/>
      <c r="AI23" s="292"/>
      <c r="AK23" s="300"/>
      <c r="AS23" s="452"/>
    </row>
    <row r="24" spans="1:45" s="299" customFormat="1" ht="27.6">
      <c r="A24" s="450">
        <v>300</v>
      </c>
      <c r="B24" s="426">
        <v>100</v>
      </c>
      <c r="C24" s="357">
        <v>700</v>
      </c>
      <c r="D24" s="352"/>
      <c r="E24" s="352"/>
      <c r="F24" s="352"/>
      <c r="G24" s="342" t="s">
        <v>581</v>
      </c>
      <c r="H24" s="328"/>
      <c r="I24" s="326"/>
      <c r="J24" s="358"/>
      <c r="K24" s="358"/>
      <c r="L24" s="358"/>
      <c r="M24" s="358"/>
      <c r="N24" s="327"/>
      <c r="O24" s="328"/>
      <c r="P24" s="326"/>
      <c r="Q24" s="327"/>
      <c r="R24" s="329"/>
      <c r="S24" s="326"/>
      <c r="T24" s="326"/>
      <c r="U24" s="326"/>
      <c r="V24" s="326"/>
      <c r="W24" s="326"/>
      <c r="X24" s="326"/>
      <c r="Y24" s="1350">
        <f t="shared" si="0"/>
        <v>0</v>
      </c>
      <c r="Z24" s="1351">
        <f t="shared" si="1"/>
        <v>0</v>
      </c>
      <c r="AA24" s="326">
        <f t="shared" si="2"/>
        <v>0</v>
      </c>
      <c r="AB24" s="326">
        <f t="shared" si="3"/>
        <v>0</v>
      </c>
      <c r="AC24" s="326">
        <f t="shared" si="4"/>
        <v>0</v>
      </c>
      <c r="AD24" s="326">
        <f t="shared" si="5"/>
        <v>0</v>
      </c>
      <c r="AE24" s="326">
        <f t="shared" si="6"/>
        <v>0</v>
      </c>
      <c r="AF24" s="355" t="s">
        <v>582</v>
      </c>
      <c r="AG24" s="838"/>
      <c r="AH24" s="744"/>
      <c r="AI24" s="292"/>
      <c r="AK24" s="300"/>
      <c r="AS24" s="452"/>
    </row>
    <row r="25" spans="1:45" s="299" customFormat="1">
      <c r="A25" s="450">
        <v>300</v>
      </c>
      <c r="B25" s="426">
        <v>100</v>
      </c>
      <c r="C25" s="357">
        <v>800</v>
      </c>
      <c r="D25" s="352"/>
      <c r="E25" s="352"/>
      <c r="F25" s="352"/>
      <c r="G25" s="342" t="s">
        <v>583</v>
      </c>
      <c r="H25" s="328">
        <v>380396.58</v>
      </c>
      <c r="I25" s="326">
        <f>24496.34+53356</f>
        <v>77852.34</v>
      </c>
      <c r="J25" s="358"/>
      <c r="K25" s="358">
        <v>228613.04</v>
      </c>
      <c r="L25" s="358">
        <v>23046.48</v>
      </c>
      <c r="M25" s="358"/>
      <c r="N25" s="327">
        <v>236190</v>
      </c>
      <c r="O25" s="328"/>
      <c r="P25" s="326">
        <v>191500</v>
      </c>
      <c r="Q25" s="358">
        <v>171500</v>
      </c>
      <c r="R25" s="329"/>
      <c r="S25" s="326"/>
      <c r="T25" s="326"/>
      <c r="U25" s="326"/>
      <c r="V25" s="326"/>
      <c r="W25" s="326"/>
      <c r="X25" s="326"/>
      <c r="Y25" s="1350">
        <f t="shared" si="0"/>
        <v>380396.58</v>
      </c>
      <c r="Z25" s="1351">
        <f t="shared" si="1"/>
        <v>77852.34</v>
      </c>
      <c r="AA25" s="326">
        <f t="shared" si="2"/>
        <v>0</v>
      </c>
      <c r="AB25" s="326">
        <f t="shared" si="3"/>
        <v>420113.04000000004</v>
      </c>
      <c r="AC25" s="326">
        <f t="shared" si="4"/>
        <v>23046.48</v>
      </c>
      <c r="AD25" s="326">
        <f t="shared" si="5"/>
        <v>0</v>
      </c>
      <c r="AE25" s="326">
        <f t="shared" si="6"/>
        <v>407690</v>
      </c>
      <c r="AF25" s="355" t="s">
        <v>584</v>
      </c>
      <c r="AG25" s="838"/>
      <c r="AH25" s="744"/>
      <c r="AI25" s="292"/>
      <c r="AK25" s="300"/>
      <c r="AS25" s="452"/>
    </row>
    <row r="26" spans="1:45" s="299" customFormat="1" ht="27.6">
      <c r="A26" s="450">
        <v>300</v>
      </c>
      <c r="B26" s="426">
        <v>100</v>
      </c>
      <c r="C26" s="352">
        <v>900</v>
      </c>
      <c r="D26" s="352"/>
      <c r="E26" s="352"/>
      <c r="F26" s="352"/>
      <c r="G26" s="323" t="s">
        <v>585</v>
      </c>
      <c r="H26" s="333"/>
      <c r="I26" s="331"/>
      <c r="J26" s="359"/>
      <c r="K26" s="359"/>
      <c r="L26" s="359"/>
      <c r="M26" s="359"/>
      <c r="N26" s="332">
        <v>0</v>
      </c>
      <c r="O26" s="333"/>
      <c r="P26" s="331">
        <v>0</v>
      </c>
      <c r="Q26" s="332"/>
      <c r="R26" s="334"/>
      <c r="S26" s="331"/>
      <c r="T26" s="331"/>
      <c r="U26" s="331"/>
      <c r="V26" s="331"/>
      <c r="W26" s="331"/>
      <c r="X26" s="331"/>
      <c r="Y26" s="1352">
        <f t="shared" si="0"/>
        <v>0</v>
      </c>
      <c r="Z26" s="1353">
        <f t="shared" si="1"/>
        <v>0</v>
      </c>
      <c r="AA26" s="331">
        <f t="shared" si="2"/>
        <v>0</v>
      </c>
      <c r="AB26" s="331">
        <f t="shared" si="3"/>
        <v>0</v>
      </c>
      <c r="AC26" s="331">
        <f t="shared" si="4"/>
        <v>0</v>
      </c>
      <c r="AD26" s="331">
        <f t="shared" si="5"/>
        <v>0</v>
      </c>
      <c r="AE26" s="331">
        <f t="shared" si="6"/>
        <v>0</v>
      </c>
      <c r="AF26" s="355" t="s">
        <v>586</v>
      </c>
      <c r="AG26" s="838"/>
      <c r="AH26" s="744"/>
      <c r="AI26" s="292"/>
      <c r="AK26" s="300"/>
      <c r="AS26" s="452"/>
    </row>
    <row r="27" spans="1:45" s="299" customFormat="1" ht="27.6">
      <c r="A27" s="450"/>
      <c r="B27" s="426"/>
      <c r="C27" s="352"/>
      <c r="D27" s="448"/>
      <c r="E27" s="448"/>
      <c r="F27" s="448"/>
      <c r="G27" s="315" t="s">
        <v>542</v>
      </c>
      <c r="H27" s="333"/>
      <c r="I27" s="331"/>
      <c r="J27" s="359"/>
      <c r="K27" s="359"/>
      <c r="L27" s="359"/>
      <c r="M27" s="359"/>
      <c r="N27" s="332">
        <v>0</v>
      </c>
      <c r="O27" s="333"/>
      <c r="P27" s="331">
        <v>0</v>
      </c>
      <c r="Q27" s="332"/>
      <c r="R27" s="334"/>
      <c r="S27" s="331"/>
      <c r="T27" s="331"/>
      <c r="U27" s="331"/>
      <c r="V27" s="331"/>
      <c r="W27" s="331"/>
      <c r="X27" s="331"/>
      <c r="Y27" s="1352">
        <f t="shared" si="0"/>
        <v>0</v>
      </c>
      <c r="Z27" s="1353">
        <f t="shared" si="1"/>
        <v>0</v>
      </c>
      <c r="AA27" s="331">
        <f t="shared" si="2"/>
        <v>0</v>
      </c>
      <c r="AB27" s="331">
        <f t="shared" si="3"/>
        <v>0</v>
      </c>
      <c r="AC27" s="331">
        <f t="shared" si="4"/>
        <v>0</v>
      </c>
      <c r="AD27" s="331">
        <f t="shared" si="5"/>
        <v>0</v>
      </c>
      <c r="AE27" s="331">
        <f t="shared" si="6"/>
        <v>0</v>
      </c>
      <c r="AF27" s="355" t="s">
        <v>587</v>
      </c>
      <c r="AG27" s="838"/>
      <c r="AH27" s="744"/>
      <c r="AI27" s="292"/>
      <c r="AK27" s="300"/>
      <c r="AS27" s="452"/>
    </row>
    <row r="28" spans="1:45" s="299" customFormat="1" ht="41.4">
      <c r="A28" s="450">
        <v>300</v>
      </c>
      <c r="B28" s="426">
        <v>100</v>
      </c>
      <c r="C28" s="352">
        <v>900</v>
      </c>
      <c r="D28" s="449">
        <v>50</v>
      </c>
      <c r="E28" s="448"/>
      <c r="F28" s="448"/>
      <c r="G28" s="315" t="s">
        <v>544</v>
      </c>
      <c r="H28" s="815">
        <v>3833938.44</v>
      </c>
      <c r="I28" s="523"/>
      <c r="J28" s="524"/>
      <c r="K28" s="524">
        <v>3834272.07</v>
      </c>
      <c r="L28" s="524"/>
      <c r="M28" s="524"/>
      <c r="N28" s="525">
        <v>3584591</v>
      </c>
      <c r="O28" s="328"/>
      <c r="P28" s="326">
        <v>0</v>
      </c>
      <c r="Q28" s="327"/>
      <c r="R28" s="329"/>
      <c r="S28" s="326"/>
      <c r="T28" s="326"/>
      <c r="U28" s="326"/>
      <c r="V28" s="326"/>
      <c r="W28" s="326"/>
      <c r="X28" s="326"/>
      <c r="Y28" s="1350">
        <f t="shared" si="0"/>
        <v>3833938.44</v>
      </c>
      <c r="Z28" s="1351">
        <f t="shared" si="1"/>
        <v>0</v>
      </c>
      <c r="AA28" s="326">
        <f t="shared" si="2"/>
        <v>0</v>
      </c>
      <c r="AB28" s="326">
        <f t="shared" si="3"/>
        <v>3834272.07</v>
      </c>
      <c r="AC28" s="326">
        <f t="shared" si="4"/>
        <v>0</v>
      </c>
      <c r="AD28" s="326">
        <f t="shared" si="5"/>
        <v>0</v>
      </c>
      <c r="AE28" s="326">
        <f t="shared" si="6"/>
        <v>3584591</v>
      </c>
      <c r="AF28" s="355" t="s">
        <v>587</v>
      </c>
      <c r="AG28" s="838"/>
      <c r="AH28" s="744"/>
      <c r="AI28" s="292"/>
      <c r="AK28" s="451"/>
      <c r="AS28" s="452"/>
    </row>
    <row r="29" spans="1:45" s="299" customFormat="1">
      <c r="A29" s="450">
        <v>300</v>
      </c>
      <c r="B29" s="426">
        <v>100</v>
      </c>
      <c r="C29" s="352">
        <v>900</v>
      </c>
      <c r="D29" s="449">
        <v>100</v>
      </c>
      <c r="E29" s="448"/>
      <c r="F29" s="448"/>
      <c r="G29" s="342" t="s">
        <v>547</v>
      </c>
      <c r="H29" s="815">
        <v>65936.94</v>
      </c>
      <c r="I29" s="523"/>
      <c r="J29" s="524"/>
      <c r="K29" s="524">
        <v>65792.740000000005</v>
      </c>
      <c r="L29" s="524"/>
      <c r="M29" s="524"/>
      <c r="N29" s="525">
        <v>64156</v>
      </c>
      <c r="O29" s="328"/>
      <c r="P29" s="326">
        <v>0</v>
      </c>
      <c r="Q29" s="327"/>
      <c r="R29" s="329"/>
      <c r="S29" s="326"/>
      <c r="T29" s="326"/>
      <c r="U29" s="326"/>
      <c r="V29" s="326"/>
      <c r="W29" s="326"/>
      <c r="X29" s="326"/>
      <c r="Y29" s="1350">
        <f t="shared" si="0"/>
        <v>65936.94</v>
      </c>
      <c r="Z29" s="1351">
        <f t="shared" si="1"/>
        <v>0</v>
      </c>
      <c r="AA29" s="326">
        <f t="shared" si="2"/>
        <v>0</v>
      </c>
      <c r="AB29" s="326">
        <f t="shared" si="3"/>
        <v>65792.740000000005</v>
      </c>
      <c r="AC29" s="326">
        <f t="shared" si="4"/>
        <v>0</v>
      </c>
      <c r="AD29" s="326">
        <f t="shared" si="5"/>
        <v>0</v>
      </c>
      <c r="AE29" s="326">
        <f t="shared" si="6"/>
        <v>64156</v>
      </c>
      <c r="AF29" s="355" t="s">
        <v>587</v>
      </c>
      <c r="AG29" s="838"/>
      <c r="AH29" s="744"/>
      <c r="AI29" s="292"/>
      <c r="AK29" s="451"/>
      <c r="AS29" s="452"/>
    </row>
    <row r="30" spans="1:45" s="299" customFormat="1" ht="27.6">
      <c r="A30" s="450">
        <v>300</v>
      </c>
      <c r="B30" s="426">
        <v>100</v>
      </c>
      <c r="C30" s="352">
        <v>900</v>
      </c>
      <c r="D30" s="449">
        <v>150</v>
      </c>
      <c r="E30" s="448"/>
      <c r="F30" s="448"/>
      <c r="G30" s="342" t="s">
        <v>551</v>
      </c>
      <c r="H30" s="816"/>
      <c r="I30" s="526"/>
      <c r="J30" s="527"/>
      <c r="K30" s="527"/>
      <c r="L30" s="527"/>
      <c r="M30" s="527"/>
      <c r="N30" s="528"/>
      <c r="O30" s="798"/>
      <c r="P30" s="395">
        <v>0</v>
      </c>
      <c r="Q30" s="396"/>
      <c r="R30" s="401"/>
      <c r="S30" s="395"/>
      <c r="T30" s="395"/>
      <c r="U30" s="395"/>
      <c r="V30" s="395"/>
      <c r="W30" s="395"/>
      <c r="X30" s="395"/>
      <c r="Y30" s="1354">
        <f t="shared" si="0"/>
        <v>0</v>
      </c>
      <c r="Z30" s="1355">
        <f t="shared" si="1"/>
        <v>0</v>
      </c>
      <c r="AA30" s="395">
        <f t="shared" si="2"/>
        <v>0</v>
      </c>
      <c r="AB30" s="395">
        <f t="shared" si="3"/>
        <v>0</v>
      </c>
      <c r="AC30" s="395">
        <f t="shared" si="4"/>
        <v>0</v>
      </c>
      <c r="AD30" s="395">
        <f t="shared" si="5"/>
        <v>0</v>
      </c>
      <c r="AE30" s="395">
        <f t="shared" si="6"/>
        <v>0</v>
      </c>
      <c r="AF30" s="355" t="s">
        <v>587</v>
      </c>
      <c r="AG30" s="838"/>
      <c r="AH30" s="744"/>
      <c r="AI30" s="292"/>
      <c r="AK30" s="451"/>
      <c r="AS30" s="452"/>
    </row>
    <row r="31" spans="1:45" s="299" customFormat="1">
      <c r="A31" s="450"/>
      <c r="B31" s="426"/>
      <c r="C31" s="352"/>
      <c r="D31" s="449"/>
      <c r="E31" s="448"/>
      <c r="F31" s="448"/>
      <c r="G31" s="315" t="s">
        <v>567</v>
      </c>
      <c r="H31" s="816"/>
      <c r="I31" s="526"/>
      <c r="J31" s="527"/>
      <c r="K31" s="527"/>
      <c r="L31" s="527"/>
      <c r="M31" s="527"/>
      <c r="N31" s="528"/>
      <c r="O31" s="333"/>
      <c r="P31" s="331">
        <v>0</v>
      </c>
      <c r="Q31" s="332"/>
      <c r="R31" s="334"/>
      <c r="S31" s="331"/>
      <c r="T31" s="331"/>
      <c r="U31" s="331"/>
      <c r="V31" s="331"/>
      <c r="W31" s="331"/>
      <c r="X31" s="331"/>
      <c r="Y31" s="1352">
        <f t="shared" si="0"/>
        <v>0</v>
      </c>
      <c r="Z31" s="1353">
        <f t="shared" si="1"/>
        <v>0</v>
      </c>
      <c r="AA31" s="331">
        <f t="shared" si="2"/>
        <v>0</v>
      </c>
      <c r="AB31" s="331">
        <f t="shared" si="3"/>
        <v>0</v>
      </c>
      <c r="AC31" s="331">
        <f t="shared" si="4"/>
        <v>0</v>
      </c>
      <c r="AD31" s="331">
        <f t="shared" si="5"/>
        <v>0</v>
      </c>
      <c r="AE31" s="331">
        <f t="shared" si="6"/>
        <v>0</v>
      </c>
      <c r="AF31" s="355" t="s">
        <v>588</v>
      </c>
      <c r="AG31" s="838"/>
      <c r="AH31" s="744"/>
      <c r="AI31" s="292"/>
      <c r="AK31" s="300"/>
      <c r="AS31" s="452"/>
    </row>
    <row r="32" spans="1:45" s="299" customFormat="1">
      <c r="A32" s="450">
        <v>300</v>
      </c>
      <c r="B32" s="426">
        <v>100</v>
      </c>
      <c r="C32" s="352">
        <v>900</v>
      </c>
      <c r="D32" s="449">
        <v>200</v>
      </c>
      <c r="E32" s="448"/>
      <c r="F32" s="448"/>
      <c r="G32" s="342" t="s">
        <v>569</v>
      </c>
      <c r="H32" s="815">
        <v>1251939.42</v>
      </c>
      <c r="I32" s="523"/>
      <c r="J32" s="524"/>
      <c r="K32" s="524">
        <v>1251934.6599999999</v>
      </c>
      <c r="L32" s="524"/>
      <c r="M32" s="524"/>
      <c r="N32" s="525">
        <v>1142030</v>
      </c>
      <c r="O32" s="328"/>
      <c r="P32" s="326">
        <v>0</v>
      </c>
      <c r="Q32" s="327"/>
      <c r="R32" s="329"/>
      <c r="S32" s="326"/>
      <c r="T32" s="326"/>
      <c r="U32" s="326"/>
      <c r="V32" s="326"/>
      <c r="W32" s="326"/>
      <c r="X32" s="326"/>
      <c r="Y32" s="1350">
        <f t="shared" si="0"/>
        <v>1251939.42</v>
      </c>
      <c r="Z32" s="1351">
        <f t="shared" si="1"/>
        <v>0</v>
      </c>
      <c r="AA32" s="326">
        <f t="shared" si="2"/>
        <v>0</v>
      </c>
      <c r="AB32" s="326">
        <f t="shared" si="3"/>
        <v>1251934.6599999999</v>
      </c>
      <c r="AC32" s="326">
        <f t="shared" si="4"/>
        <v>0</v>
      </c>
      <c r="AD32" s="326">
        <f t="shared" si="5"/>
        <v>0</v>
      </c>
      <c r="AE32" s="326">
        <f t="shared" si="6"/>
        <v>1142030</v>
      </c>
      <c r="AF32" s="355" t="s">
        <v>588</v>
      </c>
      <c r="AG32" s="838"/>
      <c r="AH32" s="744"/>
      <c r="AI32" s="292"/>
      <c r="AK32" s="300"/>
      <c r="AS32" s="452"/>
    </row>
    <row r="33" spans="1:45" s="299" customFormat="1">
      <c r="A33" s="450">
        <v>300</v>
      </c>
      <c r="B33" s="426">
        <v>100</v>
      </c>
      <c r="C33" s="352">
        <v>900</v>
      </c>
      <c r="D33" s="449">
        <v>250</v>
      </c>
      <c r="E33" s="448"/>
      <c r="F33" s="448"/>
      <c r="G33" s="315" t="s">
        <v>571</v>
      </c>
      <c r="H33" s="815"/>
      <c r="I33" s="523"/>
      <c r="J33" s="524"/>
      <c r="K33" s="524"/>
      <c r="L33" s="524"/>
      <c r="M33" s="524"/>
      <c r="N33" s="525"/>
      <c r="O33" s="328"/>
      <c r="P33" s="326">
        <v>0</v>
      </c>
      <c r="Q33" s="327"/>
      <c r="R33" s="329"/>
      <c r="S33" s="326"/>
      <c r="T33" s="326"/>
      <c r="U33" s="326"/>
      <c r="V33" s="326"/>
      <c r="W33" s="326"/>
      <c r="X33" s="326"/>
      <c r="Y33" s="1350">
        <f t="shared" si="0"/>
        <v>0</v>
      </c>
      <c r="Z33" s="1351">
        <f t="shared" si="1"/>
        <v>0</v>
      </c>
      <c r="AA33" s="326">
        <f t="shared" si="2"/>
        <v>0</v>
      </c>
      <c r="AB33" s="326">
        <f t="shared" si="3"/>
        <v>0</v>
      </c>
      <c r="AC33" s="326">
        <f t="shared" si="4"/>
        <v>0</v>
      </c>
      <c r="AD33" s="326">
        <f t="shared" si="5"/>
        <v>0</v>
      </c>
      <c r="AE33" s="326">
        <f t="shared" si="6"/>
        <v>0</v>
      </c>
      <c r="AF33" s="355" t="s">
        <v>588</v>
      </c>
      <c r="AG33" s="838"/>
      <c r="AH33" s="744"/>
      <c r="AI33" s="292"/>
      <c r="AK33" s="300"/>
      <c r="AS33" s="452"/>
    </row>
    <row r="34" spans="1:45" s="299" customFormat="1" ht="27.6">
      <c r="A34" s="450">
        <v>300</v>
      </c>
      <c r="B34" s="426">
        <v>100</v>
      </c>
      <c r="C34" s="352">
        <v>900</v>
      </c>
      <c r="D34" s="449">
        <v>300</v>
      </c>
      <c r="E34" s="448"/>
      <c r="F34" s="448"/>
      <c r="G34" s="342" t="s">
        <v>573</v>
      </c>
      <c r="H34" s="815">
        <v>44527.06</v>
      </c>
      <c r="I34" s="523"/>
      <c r="J34" s="524"/>
      <c r="K34" s="524">
        <v>44527.06</v>
      </c>
      <c r="L34" s="524"/>
      <c r="M34" s="524"/>
      <c r="N34" s="525">
        <v>5621</v>
      </c>
      <c r="O34" s="328"/>
      <c r="P34" s="326">
        <v>0</v>
      </c>
      <c r="Q34" s="327"/>
      <c r="R34" s="329"/>
      <c r="S34" s="326"/>
      <c r="T34" s="326"/>
      <c r="U34" s="326"/>
      <c r="V34" s="326"/>
      <c r="W34" s="326"/>
      <c r="X34" s="326"/>
      <c r="Y34" s="1350">
        <f t="shared" si="0"/>
        <v>44527.06</v>
      </c>
      <c r="Z34" s="1351">
        <f t="shared" si="1"/>
        <v>0</v>
      </c>
      <c r="AA34" s="326">
        <f t="shared" si="2"/>
        <v>0</v>
      </c>
      <c r="AB34" s="326">
        <f t="shared" si="3"/>
        <v>44527.06</v>
      </c>
      <c r="AC34" s="326">
        <f t="shared" si="4"/>
        <v>0</v>
      </c>
      <c r="AD34" s="326">
        <f t="shared" si="5"/>
        <v>0</v>
      </c>
      <c r="AE34" s="326">
        <f t="shared" si="6"/>
        <v>5621</v>
      </c>
      <c r="AF34" s="355" t="s">
        <v>588</v>
      </c>
      <c r="AG34" s="838"/>
      <c r="AH34" s="744"/>
      <c r="AI34" s="292"/>
      <c r="AK34" s="300"/>
      <c r="AS34" s="452"/>
    </row>
    <row r="35" spans="1:45" s="299" customFormat="1">
      <c r="A35" s="450">
        <v>300</v>
      </c>
      <c r="B35" s="426">
        <v>100</v>
      </c>
      <c r="C35" s="352">
        <v>900</v>
      </c>
      <c r="D35" s="449">
        <v>350</v>
      </c>
      <c r="E35" s="448"/>
      <c r="F35" s="448"/>
      <c r="G35" s="342" t="s">
        <v>575</v>
      </c>
      <c r="H35" s="815">
        <v>12491.37</v>
      </c>
      <c r="I35" s="523"/>
      <c r="J35" s="524"/>
      <c r="K35" s="524">
        <v>12491.37</v>
      </c>
      <c r="L35" s="524"/>
      <c r="M35" s="524"/>
      <c r="N35" s="525">
        <v>12836</v>
      </c>
      <c r="O35" s="328"/>
      <c r="P35" s="326">
        <v>0</v>
      </c>
      <c r="Q35" s="327"/>
      <c r="R35" s="329"/>
      <c r="S35" s="326"/>
      <c r="T35" s="326"/>
      <c r="U35" s="326"/>
      <c r="V35" s="326"/>
      <c r="W35" s="326"/>
      <c r="X35" s="326"/>
      <c r="Y35" s="1350">
        <f t="shared" si="0"/>
        <v>12491.37</v>
      </c>
      <c r="Z35" s="1351">
        <f t="shared" si="1"/>
        <v>0</v>
      </c>
      <c r="AA35" s="326">
        <f t="shared" si="2"/>
        <v>0</v>
      </c>
      <c r="AB35" s="326">
        <f t="shared" si="3"/>
        <v>12491.37</v>
      </c>
      <c r="AC35" s="326">
        <f t="shared" si="4"/>
        <v>0</v>
      </c>
      <c r="AD35" s="326">
        <f t="shared" si="5"/>
        <v>0</v>
      </c>
      <c r="AE35" s="326">
        <f t="shared" si="6"/>
        <v>12836</v>
      </c>
      <c r="AF35" s="355" t="s">
        <v>589</v>
      </c>
      <c r="AG35" s="838"/>
      <c r="AH35" s="744"/>
      <c r="AI35" s="292"/>
      <c r="AK35" s="300"/>
      <c r="AS35" s="452"/>
    </row>
    <row r="36" spans="1:45" s="299" customFormat="1">
      <c r="A36" s="450">
        <v>300</v>
      </c>
      <c r="B36" s="426">
        <v>100</v>
      </c>
      <c r="C36" s="352">
        <v>900</v>
      </c>
      <c r="D36" s="449">
        <v>400</v>
      </c>
      <c r="E36" s="448"/>
      <c r="F36" s="448"/>
      <c r="G36" s="315" t="s">
        <v>577</v>
      </c>
      <c r="H36" s="815">
        <v>6964.68</v>
      </c>
      <c r="I36" s="523"/>
      <c r="J36" s="524"/>
      <c r="K36" s="524">
        <v>6964.68</v>
      </c>
      <c r="L36" s="524"/>
      <c r="M36" s="524"/>
      <c r="N36" s="525">
        <v>5556</v>
      </c>
      <c r="O36" s="328"/>
      <c r="P36" s="326">
        <v>0</v>
      </c>
      <c r="Q36" s="327"/>
      <c r="R36" s="329"/>
      <c r="S36" s="326"/>
      <c r="T36" s="326"/>
      <c r="U36" s="326"/>
      <c r="V36" s="326"/>
      <c r="W36" s="326"/>
      <c r="X36" s="326"/>
      <c r="Y36" s="1350">
        <f t="shared" si="0"/>
        <v>6964.68</v>
      </c>
      <c r="Z36" s="1351">
        <f t="shared" si="1"/>
        <v>0</v>
      </c>
      <c r="AA36" s="326">
        <f t="shared" si="2"/>
        <v>0</v>
      </c>
      <c r="AB36" s="326">
        <f t="shared" si="3"/>
        <v>6964.68</v>
      </c>
      <c r="AC36" s="326">
        <f t="shared" si="4"/>
        <v>0</v>
      </c>
      <c r="AD36" s="326">
        <f t="shared" si="5"/>
        <v>0</v>
      </c>
      <c r="AE36" s="326">
        <f t="shared" si="6"/>
        <v>5556</v>
      </c>
      <c r="AF36" s="355" t="s">
        <v>590</v>
      </c>
      <c r="AG36" s="838"/>
      <c r="AH36" s="744"/>
      <c r="AI36" s="292"/>
      <c r="AK36" s="300"/>
      <c r="AS36" s="452"/>
    </row>
    <row r="37" spans="1:45" s="299" customFormat="1">
      <c r="A37" s="450">
        <v>300</v>
      </c>
      <c r="B37" s="426">
        <v>100</v>
      </c>
      <c r="C37" s="352">
        <v>900</v>
      </c>
      <c r="D37" s="449">
        <v>450</v>
      </c>
      <c r="E37" s="448"/>
      <c r="F37" s="448"/>
      <c r="G37" s="342" t="s">
        <v>579</v>
      </c>
      <c r="H37" s="815"/>
      <c r="I37" s="523"/>
      <c r="J37" s="524"/>
      <c r="K37" s="524"/>
      <c r="L37" s="524"/>
      <c r="M37" s="524"/>
      <c r="N37" s="525"/>
      <c r="O37" s="328"/>
      <c r="P37" s="326">
        <v>0</v>
      </c>
      <c r="Q37" s="327"/>
      <c r="R37" s="329"/>
      <c r="S37" s="326"/>
      <c r="T37" s="326"/>
      <c r="U37" s="326"/>
      <c r="V37" s="326"/>
      <c r="W37" s="326"/>
      <c r="X37" s="326"/>
      <c r="Y37" s="1350">
        <f t="shared" si="0"/>
        <v>0</v>
      </c>
      <c r="Z37" s="1351">
        <f t="shared" si="1"/>
        <v>0</v>
      </c>
      <c r="AA37" s="326">
        <f t="shared" si="2"/>
        <v>0</v>
      </c>
      <c r="AB37" s="326">
        <f t="shared" si="3"/>
        <v>0</v>
      </c>
      <c r="AC37" s="326">
        <f t="shared" si="4"/>
        <v>0</v>
      </c>
      <c r="AD37" s="326">
        <f t="shared" si="5"/>
        <v>0</v>
      </c>
      <c r="AE37" s="326">
        <f t="shared" si="6"/>
        <v>0</v>
      </c>
      <c r="AF37" s="355" t="s">
        <v>591</v>
      </c>
      <c r="AG37" s="838"/>
      <c r="AH37" s="744"/>
      <c r="AI37" s="292"/>
      <c r="AK37" s="300"/>
      <c r="AS37" s="452"/>
    </row>
    <row r="38" spans="1:45" s="299" customFormat="1" ht="27.6">
      <c r="A38" s="450">
        <v>300</v>
      </c>
      <c r="B38" s="426">
        <v>100</v>
      </c>
      <c r="C38" s="352">
        <v>900</v>
      </c>
      <c r="D38" s="449">
        <v>500</v>
      </c>
      <c r="E38" s="448"/>
      <c r="F38" s="448"/>
      <c r="G38" s="315" t="s">
        <v>581</v>
      </c>
      <c r="H38" s="815"/>
      <c r="I38" s="523"/>
      <c r="J38" s="524"/>
      <c r="K38" s="524"/>
      <c r="L38" s="524"/>
      <c r="M38" s="524"/>
      <c r="N38" s="525"/>
      <c r="O38" s="328"/>
      <c r="P38" s="326">
        <v>0</v>
      </c>
      <c r="Q38" s="327"/>
      <c r="R38" s="329"/>
      <c r="S38" s="326"/>
      <c r="T38" s="326"/>
      <c r="U38" s="326"/>
      <c r="V38" s="326"/>
      <c r="W38" s="326"/>
      <c r="X38" s="326"/>
      <c r="Y38" s="1350">
        <f t="shared" si="0"/>
        <v>0</v>
      </c>
      <c r="Z38" s="1351">
        <f t="shared" si="1"/>
        <v>0</v>
      </c>
      <c r="AA38" s="326">
        <f t="shared" si="2"/>
        <v>0</v>
      </c>
      <c r="AB38" s="326">
        <f t="shared" si="3"/>
        <v>0</v>
      </c>
      <c r="AC38" s="326">
        <f t="shared" si="4"/>
        <v>0</v>
      </c>
      <c r="AD38" s="326">
        <f t="shared" si="5"/>
        <v>0</v>
      </c>
      <c r="AE38" s="326">
        <f t="shared" si="6"/>
        <v>0</v>
      </c>
      <c r="AF38" s="355" t="s">
        <v>592</v>
      </c>
      <c r="AG38" s="838"/>
      <c r="AH38" s="744"/>
      <c r="AI38" s="292"/>
      <c r="AK38" s="300"/>
      <c r="AS38" s="452"/>
    </row>
    <row r="39" spans="1:45" s="299" customFormat="1">
      <c r="A39" s="353">
        <v>300</v>
      </c>
      <c r="B39" s="352">
        <v>100</v>
      </c>
      <c r="C39" s="352">
        <v>900</v>
      </c>
      <c r="D39" s="357">
        <v>900</v>
      </c>
      <c r="E39" s="357"/>
      <c r="F39" s="357"/>
      <c r="G39" s="342" t="s">
        <v>593</v>
      </c>
      <c r="H39" s="816">
        <v>107491.44</v>
      </c>
      <c r="I39" s="526"/>
      <c r="J39" s="527"/>
      <c r="K39" s="527">
        <v>107491.44</v>
      </c>
      <c r="L39" s="527"/>
      <c r="M39" s="527"/>
      <c r="N39" s="528">
        <v>93810</v>
      </c>
      <c r="O39" s="798"/>
      <c r="P39" s="395">
        <v>0</v>
      </c>
      <c r="Q39" s="396"/>
      <c r="R39" s="401"/>
      <c r="S39" s="395"/>
      <c r="T39" s="395"/>
      <c r="U39" s="395"/>
      <c r="V39" s="395"/>
      <c r="W39" s="395"/>
      <c r="X39" s="395"/>
      <c r="Y39" s="1354">
        <f t="shared" si="0"/>
        <v>107491.44</v>
      </c>
      <c r="Z39" s="1355">
        <f t="shared" si="1"/>
        <v>0</v>
      </c>
      <c r="AA39" s="395">
        <f t="shared" si="2"/>
        <v>0</v>
      </c>
      <c r="AB39" s="395">
        <f t="shared" si="3"/>
        <v>107491.44</v>
      </c>
      <c r="AC39" s="395">
        <f t="shared" si="4"/>
        <v>0</v>
      </c>
      <c r="AD39" s="395">
        <f t="shared" si="5"/>
        <v>0</v>
      </c>
      <c r="AE39" s="395">
        <f t="shared" si="6"/>
        <v>93810</v>
      </c>
      <c r="AF39" s="355" t="s">
        <v>594</v>
      </c>
      <c r="AG39" s="838"/>
      <c r="AH39" s="744"/>
      <c r="AI39" s="292"/>
      <c r="AK39" s="300"/>
      <c r="AS39" s="452"/>
    </row>
    <row r="40" spans="1:45" s="299" customFormat="1">
      <c r="A40" s="450">
        <v>300</v>
      </c>
      <c r="B40" s="426">
        <v>200</v>
      </c>
      <c r="C40" s="352"/>
      <c r="D40" s="352"/>
      <c r="E40" s="357"/>
      <c r="F40" s="357"/>
      <c r="G40" s="428" t="s">
        <v>595</v>
      </c>
      <c r="H40" s="333"/>
      <c r="I40" s="331"/>
      <c r="J40" s="359"/>
      <c r="K40" s="359"/>
      <c r="L40" s="359"/>
      <c r="M40" s="359"/>
      <c r="N40" s="332"/>
      <c r="O40" s="333"/>
      <c r="P40" s="331">
        <v>0</v>
      </c>
      <c r="Q40" s="332"/>
      <c r="R40" s="334"/>
      <c r="S40" s="331"/>
      <c r="T40" s="331"/>
      <c r="U40" s="331"/>
      <c r="V40" s="331"/>
      <c r="W40" s="331"/>
      <c r="X40" s="331"/>
      <c r="Y40" s="1352">
        <f t="shared" si="0"/>
        <v>0</v>
      </c>
      <c r="Z40" s="1353">
        <f t="shared" si="1"/>
        <v>0</v>
      </c>
      <c r="AA40" s="331">
        <f t="shared" si="2"/>
        <v>0</v>
      </c>
      <c r="AB40" s="331">
        <f t="shared" si="3"/>
        <v>0</v>
      </c>
      <c r="AC40" s="331">
        <f t="shared" si="4"/>
        <v>0</v>
      </c>
      <c r="AD40" s="331">
        <f t="shared" si="5"/>
        <v>0</v>
      </c>
      <c r="AE40" s="331">
        <f t="shared" si="6"/>
        <v>0</v>
      </c>
      <c r="AF40" s="355" t="s">
        <v>596</v>
      </c>
      <c r="AG40" s="838"/>
      <c r="AH40" s="744"/>
      <c r="AI40" s="292"/>
      <c r="AK40" s="300"/>
      <c r="AS40" s="452"/>
    </row>
    <row r="41" spans="1:45" s="299" customFormat="1">
      <c r="A41" s="450">
        <v>300</v>
      </c>
      <c r="B41" s="426">
        <v>200</v>
      </c>
      <c r="C41" s="357">
        <v>100</v>
      </c>
      <c r="D41" s="352"/>
      <c r="E41" s="352"/>
      <c r="F41" s="352"/>
      <c r="G41" s="342" t="s">
        <v>597</v>
      </c>
      <c r="H41" s="328">
        <v>2565.5300000000002</v>
      </c>
      <c r="I41" s="326">
        <v>8.3699999999999992</v>
      </c>
      <c r="J41" s="358"/>
      <c r="K41" s="358">
        <v>4660.75</v>
      </c>
      <c r="L41" s="358">
        <v>3208.37</v>
      </c>
      <c r="M41" s="358"/>
      <c r="N41" s="327">
        <v>836</v>
      </c>
      <c r="O41" s="328"/>
      <c r="P41" s="326">
        <v>0</v>
      </c>
      <c r="Q41" s="358"/>
      <c r="R41" s="329"/>
      <c r="S41" s="326"/>
      <c r="T41" s="326"/>
      <c r="U41" s="326"/>
      <c r="V41" s="326"/>
      <c r="W41" s="326"/>
      <c r="X41" s="326"/>
      <c r="Y41" s="1350">
        <f t="shared" si="0"/>
        <v>2565.5300000000002</v>
      </c>
      <c r="Z41" s="1351">
        <f t="shared" si="1"/>
        <v>8.3699999999999992</v>
      </c>
      <c r="AA41" s="326">
        <f t="shared" si="2"/>
        <v>0</v>
      </c>
      <c r="AB41" s="326">
        <f t="shared" si="3"/>
        <v>4660.75</v>
      </c>
      <c r="AC41" s="326">
        <f t="shared" si="4"/>
        <v>3208.37</v>
      </c>
      <c r="AD41" s="326">
        <f t="shared" si="5"/>
        <v>0</v>
      </c>
      <c r="AE41" s="326">
        <f t="shared" si="6"/>
        <v>836</v>
      </c>
      <c r="AF41" s="355" t="s">
        <v>598</v>
      </c>
      <c r="AG41" s="838"/>
      <c r="AH41" s="744"/>
      <c r="AI41" s="292"/>
      <c r="AK41" s="300"/>
      <c r="AS41" s="452"/>
    </row>
    <row r="42" spans="1:45" s="299" customFormat="1" ht="27.6">
      <c r="A42" s="450">
        <v>300</v>
      </c>
      <c r="B42" s="426">
        <v>200</v>
      </c>
      <c r="C42" s="357">
        <v>200</v>
      </c>
      <c r="D42" s="352"/>
      <c r="E42" s="352"/>
      <c r="F42" s="352"/>
      <c r="G42" s="315" t="s">
        <v>599</v>
      </c>
      <c r="H42" s="328">
        <v>52092.67</v>
      </c>
      <c r="I42" s="326"/>
      <c r="J42" s="358"/>
      <c r="K42" s="358">
        <v>102787.60999999999</v>
      </c>
      <c r="L42" s="358">
        <v>100292.27000000002</v>
      </c>
      <c r="M42" s="358"/>
      <c r="N42" s="327">
        <v>45698</v>
      </c>
      <c r="O42" s="328"/>
      <c r="P42" s="326">
        <v>0</v>
      </c>
      <c r="Q42" s="327"/>
      <c r="R42" s="329"/>
      <c r="S42" s="326"/>
      <c r="T42" s="326"/>
      <c r="U42" s="326"/>
      <c r="V42" s="326"/>
      <c r="W42" s="326"/>
      <c r="X42" s="326"/>
      <c r="Y42" s="1350">
        <f t="shared" si="0"/>
        <v>52092.67</v>
      </c>
      <c r="Z42" s="1351">
        <f t="shared" si="1"/>
        <v>0</v>
      </c>
      <c r="AA42" s="326">
        <f t="shared" si="2"/>
        <v>0</v>
      </c>
      <c r="AB42" s="326">
        <f t="shared" si="3"/>
        <v>102787.60999999999</v>
      </c>
      <c r="AC42" s="326">
        <f t="shared" si="4"/>
        <v>100292.27000000002</v>
      </c>
      <c r="AD42" s="326">
        <f t="shared" si="5"/>
        <v>0</v>
      </c>
      <c r="AE42" s="326">
        <f t="shared" si="6"/>
        <v>45698</v>
      </c>
      <c r="AF42" s="355" t="s">
        <v>600</v>
      </c>
      <c r="AG42" s="838"/>
      <c r="AH42" s="744"/>
      <c r="AI42" s="292"/>
      <c r="AK42" s="300"/>
      <c r="AS42" s="452"/>
    </row>
    <row r="43" spans="1:45" s="299" customFormat="1" ht="27.6">
      <c r="A43" s="450">
        <v>300</v>
      </c>
      <c r="B43" s="426">
        <v>200</v>
      </c>
      <c r="C43" s="357">
        <v>300</v>
      </c>
      <c r="D43" s="352"/>
      <c r="E43" s="352"/>
      <c r="F43" s="352"/>
      <c r="G43" s="342" t="s">
        <v>601</v>
      </c>
      <c r="H43" s="328">
        <v>4655.8500000000004</v>
      </c>
      <c r="I43" s="326"/>
      <c r="J43" s="358"/>
      <c r="K43" s="358">
        <v>4612.5600000000004</v>
      </c>
      <c r="L43" s="358"/>
      <c r="M43" s="358"/>
      <c r="N43" s="327">
        <v>8000</v>
      </c>
      <c r="O43" s="328"/>
      <c r="P43" s="326">
        <v>0</v>
      </c>
      <c r="Q43" s="327"/>
      <c r="R43" s="329"/>
      <c r="S43" s="326"/>
      <c r="T43" s="326"/>
      <c r="U43" s="326"/>
      <c r="V43" s="326"/>
      <c r="W43" s="326"/>
      <c r="X43" s="326"/>
      <c r="Y43" s="1350">
        <f t="shared" si="0"/>
        <v>4655.8500000000004</v>
      </c>
      <c r="Z43" s="1351">
        <f t="shared" si="1"/>
        <v>0</v>
      </c>
      <c r="AA43" s="326">
        <f t="shared" si="2"/>
        <v>0</v>
      </c>
      <c r="AB43" s="326">
        <f t="shared" si="3"/>
        <v>4612.5600000000004</v>
      </c>
      <c r="AC43" s="326">
        <f t="shared" si="4"/>
        <v>0</v>
      </c>
      <c r="AD43" s="326">
        <f t="shared" si="5"/>
        <v>0</v>
      </c>
      <c r="AE43" s="326">
        <f t="shared" si="6"/>
        <v>8000</v>
      </c>
      <c r="AF43" s="355" t="s">
        <v>602</v>
      </c>
      <c r="AG43" s="838"/>
      <c r="AH43" s="744"/>
      <c r="AI43" s="292"/>
      <c r="AK43" s="300"/>
      <c r="AS43" s="452"/>
    </row>
    <row r="44" spans="1:45" s="299" customFormat="1">
      <c r="A44" s="450">
        <v>300</v>
      </c>
      <c r="B44" s="426">
        <v>200</v>
      </c>
      <c r="C44" s="352">
        <v>400</v>
      </c>
      <c r="D44" s="352"/>
      <c r="E44" s="352"/>
      <c r="F44" s="352"/>
      <c r="G44" s="323" t="s">
        <v>603</v>
      </c>
      <c r="H44" s="333"/>
      <c r="I44" s="335"/>
      <c r="J44" s="359"/>
      <c r="K44" s="359"/>
      <c r="L44" s="359"/>
      <c r="M44" s="359"/>
      <c r="N44" s="332"/>
      <c r="O44" s="333"/>
      <c r="P44" s="331">
        <v>0</v>
      </c>
      <c r="Q44" s="332"/>
      <c r="R44" s="334"/>
      <c r="S44" s="331"/>
      <c r="T44" s="331"/>
      <c r="U44" s="331"/>
      <c r="V44" s="331"/>
      <c r="W44" s="331"/>
      <c r="X44" s="331"/>
      <c r="Y44" s="1352">
        <f t="shared" si="0"/>
        <v>0</v>
      </c>
      <c r="Z44" s="1353">
        <f t="shared" si="1"/>
        <v>0</v>
      </c>
      <c r="AA44" s="331">
        <f t="shared" si="2"/>
        <v>0</v>
      </c>
      <c r="AB44" s="331">
        <f t="shared" si="3"/>
        <v>0</v>
      </c>
      <c r="AC44" s="331">
        <f t="shared" si="4"/>
        <v>0</v>
      </c>
      <c r="AD44" s="331">
        <f t="shared" si="5"/>
        <v>0</v>
      </c>
      <c r="AE44" s="331">
        <f t="shared" si="6"/>
        <v>0</v>
      </c>
      <c r="AF44" s="355" t="s">
        <v>604</v>
      </c>
      <c r="AG44" s="838"/>
      <c r="AH44" s="744"/>
      <c r="AI44" s="292"/>
      <c r="AK44" s="300"/>
      <c r="AS44" s="452"/>
    </row>
    <row r="45" spans="1:45" s="299" customFormat="1">
      <c r="A45" s="450">
        <v>300</v>
      </c>
      <c r="B45" s="426">
        <v>200</v>
      </c>
      <c r="C45" s="352">
        <v>400</v>
      </c>
      <c r="D45" s="449">
        <v>100</v>
      </c>
      <c r="E45" s="448"/>
      <c r="F45" s="448"/>
      <c r="G45" s="342" t="s">
        <v>605</v>
      </c>
      <c r="H45" s="328">
        <v>87732.6</v>
      </c>
      <c r="I45" s="326">
        <v>5.98</v>
      </c>
      <c r="J45" s="358"/>
      <c r="K45" s="358">
        <v>56884.920000000006</v>
      </c>
      <c r="L45" s="358">
        <v>511.7</v>
      </c>
      <c r="M45" s="358"/>
      <c r="N45" s="327">
        <v>88444</v>
      </c>
      <c r="O45" s="328"/>
      <c r="P45" s="326">
        <v>0</v>
      </c>
      <c r="Q45" s="327"/>
      <c r="R45" s="329"/>
      <c r="S45" s="326"/>
      <c r="T45" s="326"/>
      <c r="U45" s="326"/>
      <c r="V45" s="326"/>
      <c r="W45" s="326"/>
      <c r="X45" s="326"/>
      <c r="Y45" s="1350">
        <f t="shared" si="0"/>
        <v>87732.6</v>
      </c>
      <c r="Z45" s="1351">
        <f t="shared" si="1"/>
        <v>5.98</v>
      </c>
      <c r="AA45" s="326">
        <f t="shared" si="2"/>
        <v>0</v>
      </c>
      <c r="AB45" s="326">
        <f t="shared" si="3"/>
        <v>56884.920000000006</v>
      </c>
      <c r="AC45" s="326">
        <f t="shared" si="4"/>
        <v>511.7</v>
      </c>
      <c r="AD45" s="326">
        <f t="shared" si="5"/>
        <v>0</v>
      </c>
      <c r="AE45" s="326">
        <f t="shared" si="6"/>
        <v>88444</v>
      </c>
      <c r="AF45" s="436"/>
      <c r="AG45" s="840"/>
      <c r="AH45" s="744"/>
      <c r="AI45" s="292"/>
      <c r="AK45" s="300"/>
      <c r="AS45" s="452"/>
    </row>
    <row r="46" spans="1:45" s="299" customFormat="1" ht="27.6">
      <c r="A46" s="450">
        <v>300</v>
      </c>
      <c r="B46" s="426">
        <v>200</v>
      </c>
      <c r="C46" s="352">
        <v>400</v>
      </c>
      <c r="D46" s="449">
        <v>200</v>
      </c>
      <c r="E46" s="448"/>
      <c r="F46" s="448"/>
      <c r="G46" s="315" t="s">
        <v>606</v>
      </c>
      <c r="H46" s="328">
        <v>1418.53</v>
      </c>
      <c r="I46" s="326"/>
      <c r="J46" s="358"/>
      <c r="K46" s="358">
        <v>27263.550000000003</v>
      </c>
      <c r="L46" s="358">
        <v>317.33</v>
      </c>
      <c r="M46" s="358"/>
      <c r="N46" s="327">
        <v>12454</v>
      </c>
      <c r="O46" s="328"/>
      <c r="P46" s="326">
        <v>7000</v>
      </c>
      <c r="Q46" s="358">
        <v>7000</v>
      </c>
      <c r="R46" s="329"/>
      <c r="S46" s="326"/>
      <c r="T46" s="326"/>
      <c r="U46" s="326"/>
      <c r="V46" s="326"/>
      <c r="W46" s="326"/>
      <c r="X46" s="326"/>
      <c r="Y46" s="1350">
        <f t="shared" si="0"/>
        <v>1418.53</v>
      </c>
      <c r="Z46" s="1351">
        <f t="shared" si="1"/>
        <v>0</v>
      </c>
      <c r="AA46" s="326">
        <f t="shared" si="2"/>
        <v>0</v>
      </c>
      <c r="AB46" s="326">
        <f t="shared" si="3"/>
        <v>34263.550000000003</v>
      </c>
      <c r="AC46" s="326">
        <f t="shared" si="4"/>
        <v>317.33</v>
      </c>
      <c r="AD46" s="326">
        <f t="shared" si="5"/>
        <v>0</v>
      </c>
      <c r="AE46" s="326">
        <f t="shared" si="6"/>
        <v>19454</v>
      </c>
      <c r="AF46" s="436"/>
      <c r="AG46" s="840"/>
      <c r="AH46" s="744"/>
      <c r="AI46" s="292"/>
      <c r="AK46" s="300"/>
      <c r="AS46" s="452"/>
    </row>
    <row r="47" spans="1:45" s="299" customFormat="1" ht="27.6">
      <c r="A47" s="450">
        <v>300</v>
      </c>
      <c r="B47" s="426">
        <v>200</v>
      </c>
      <c r="C47" s="352">
        <v>400</v>
      </c>
      <c r="D47" s="449">
        <v>300</v>
      </c>
      <c r="E47" s="448"/>
      <c r="F47" s="448"/>
      <c r="G47" s="342" t="s">
        <v>607</v>
      </c>
      <c r="H47" s="328">
        <v>15414.77</v>
      </c>
      <c r="I47" s="326"/>
      <c r="J47" s="358"/>
      <c r="K47" s="358">
        <v>4158.01</v>
      </c>
      <c r="L47" s="358"/>
      <c r="M47" s="358"/>
      <c r="N47" s="327">
        <v>10000</v>
      </c>
      <c r="O47" s="328"/>
      <c r="P47" s="326">
        <v>0</v>
      </c>
      <c r="Q47" s="327"/>
      <c r="R47" s="329"/>
      <c r="S47" s="326"/>
      <c r="T47" s="326"/>
      <c r="U47" s="326"/>
      <c r="V47" s="326"/>
      <c r="W47" s="326"/>
      <c r="X47" s="326"/>
      <c r="Y47" s="1350">
        <f t="shared" si="0"/>
        <v>15414.77</v>
      </c>
      <c r="Z47" s="1351">
        <f t="shared" si="1"/>
        <v>0</v>
      </c>
      <c r="AA47" s="326">
        <f t="shared" si="2"/>
        <v>0</v>
      </c>
      <c r="AB47" s="326">
        <f t="shared" si="3"/>
        <v>4158.01</v>
      </c>
      <c r="AC47" s="326">
        <f t="shared" si="4"/>
        <v>0</v>
      </c>
      <c r="AD47" s="326">
        <f t="shared" si="5"/>
        <v>0</v>
      </c>
      <c r="AE47" s="326">
        <f t="shared" si="6"/>
        <v>10000</v>
      </c>
      <c r="AF47" s="436"/>
      <c r="AG47" s="840"/>
      <c r="AH47" s="744"/>
      <c r="AI47" s="292"/>
      <c r="AK47" s="300"/>
      <c r="AS47" s="452"/>
    </row>
    <row r="48" spans="1:45" s="299" customFormat="1">
      <c r="A48" s="450">
        <v>300</v>
      </c>
      <c r="B48" s="426">
        <v>200</v>
      </c>
      <c r="C48" s="352">
        <v>500</v>
      </c>
      <c r="D48" s="352"/>
      <c r="E48" s="352"/>
      <c r="F48" s="352"/>
      <c r="G48" s="323" t="s">
        <v>608</v>
      </c>
      <c r="H48" s="333"/>
      <c r="I48" s="335"/>
      <c r="J48" s="359"/>
      <c r="K48" s="359"/>
      <c r="L48" s="359"/>
      <c r="M48" s="359"/>
      <c r="N48" s="332"/>
      <c r="O48" s="333"/>
      <c r="P48" s="331">
        <v>0</v>
      </c>
      <c r="Q48" s="332"/>
      <c r="R48" s="334"/>
      <c r="S48" s="331"/>
      <c r="T48" s="331"/>
      <c r="U48" s="331"/>
      <c r="V48" s="331"/>
      <c r="W48" s="331"/>
      <c r="X48" s="331"/>
      <c r="Y48" s="1352">
        <f t="shared" si="0"/>
        <v>0</v>
      </c>
      <c r="Z48" s="1353">
        <f t="shared" si="1"/>
        <v>0</v>
      </c>
      <c r="AA48" s="331">
        <f t="shared" si="2"/>
        <v>0</v>
      </c>
      <c r="AB48" s="331">
        <f t="shared" si="3"/>
        <v>0</v>
      </c>
      <c r="AC48" s="331">
        <f t="shared" si="4"/>
        <v>0</v>
      </c>
      <c r="AD48" s="331">
        <f t="shared" si="5"/>
        <v>0</v>
      </c>
      <c r="AE48" s="331">
        <f t="shared" si="6"/>
        <v>0</v>
      </c>
      <c r="AF48" s="355" t="s">
        <v>609</v>
      </c>
      <c r="AG48" s="838"/>
      <c r="AH48" s="744"/>
      <c r="AI48" s="292"/>
      <c r="AK48" s="300"/>
      <c r="AS48" s="452"/>
    </row>
    <row r="49" spans="1:45" s="299" customFormat="1" ht="27.6">
      <c r="A49" s="450">
        <v>300</v>
      </c>
      <c r="B49" s="426">
        <v>200</v>
      </c>
      <c r="C49" s="352">
        <v>500</v>
      </c>
      <c r="D49" s="449">
        <v>100</v>
      </c>
      <c r="E49" s="448"/>
      <c r="F49" s="448"/>
      <c r="G49" s="342" t="s">
        <v>610</v>
      </c>
      <c r="H49" s="328">
        <v>30835.45</v>
      </c>
      <c r="I49" s="326"/>
      <c r="J49" s="358"/>
      <c r="K49" s="358">
        <v>18225.560000000001</v>
      </c>
      <c r="L49" s="358"/>
      <c r="M49" s="358"/>
      <c r="N49" s="327">
        <v>12000</v>
      </c>
      <c r="O49" s="328"/>
      <c r="P49" s="326">
        <v>0</v>
      </c>
      <c r="Q49" s="327"/>
      <c r="R49" s="329"/>
      <c r="S49" s="326"/>
      <c r="T49" s="326"/>
      <c r="U49" s="326"/>
      <c r="V49" s="326"/>
      <c r="W49" s="326"/>
      <c r="X49" s="326"/>
      <c r="Y49" s="1350">
        <f t="shared" si="0"/>
        <v>30835.45</v>
      </c>
      <c r="Z49" s="1351">
        <f t="shared" si="1"/>
        <v>0</v>
      </c>
      <c r="AA49" s="326">
        <f t="shared" si="2"/>
        <v>0</v>
      </c>
      <c r="AB49" s="326">
        <f t="shared" si="3"/>
        <v>18225.560000000001</v>
      </c>
      <c r="AC49" s="326">
        <f t="shared" si="4"/>
        <v>0</v>
      </c>
      <c r="AD49" s="326">
        <f t="shared" si="5"/>
        <v>0</v>
      </c>
      <c r="AE49" s="326">
        <f t="shared" si="6"/>
        <v>12000</v>
      </c>
      <c r="AF49" s="310"/>
      <c r="AG49" s="841"/>
      <c r="AH49" s="744"/>
      <c r="AI49" s="292"/>
      <c r="AK49" s="300"/>
      <c r="AS49" s="452"/>
    </row>
    <row r="50" spans="1:45" s="299" customFormat="1" ht="27.6">
      <c r="A50" s="450">
        <v>300</v>
      </c>
      <c r="B50" s="426">
        <v>200</v>
      </c>
      <c r="C50" s="352">
        <v>500</v>
      </c>
      <c r="D50" s="449">
        <v>200</v>
      </c>
      <c r="E50" s="448"/>
      <c r="F50" s="448"/>
      <c r="G50" s="315" t="s">
        <v>611</v>
      </c>
      <c r="H50" s="328">
        <v>1119.0899999999999</v>
      </c>
      <c r="I50" s="326"/>
      <c r="J50" s="358"/>
      <c r="K50" s="358">
        <v>802.8</v>
      </c>
      <c r="L50" s="358"/>
      <c r="M50" s="358"/>
      <c r="N50" s="327">
        <v>3000</v>
      </c>
      <c r="O50" s="328"/>
      <c r="P50" s="326">
        <v>0</v>
      </c>
      <c r="Q50" s="327"/>
      <c r="R50" s="329"/>
      <c r="S50" s="326"/>
      <c r="T50" s="326"/>
      <c r="U50" s="326"/>
      <c r="V50" s="326"/>
      <c r="W50" s="326"/>
      <c r="X50" s="326"/>
      <c r="Y50" s="1350">
        <f t="shared" si="0"/>
        <v>1119.0899999999999</v>
      </c>
      <c r="Z50" s="1351">
        <f t="shared" si="1"/>
        <v>0</v>
      </c>
      <c r="AA50" s="326">
        <f t="shared" si="2"/>
        <v>0</v>
      </c>
      <c r="AB50" s="326">
        <f t="shared" si="3"/>
        <v>802.8</v>
      </c>
      <c r="AC50" s="326">
        <f t="shared" si="4"/>
        <v>0</v>
      </c>
      <c r="AD50" s="326">
        <f t="shared" si="5"/>
        <v>0</v>
      </c>
      <c r="AE50" s="326">
        <f t="shared" si="6"/>
        <v>3000</v>
      </c>
      <c r="AF50" s="310"/>
      <c r="AG50" s="841"/>
      <c r="AH50" s="744"/>
      <c r="AI50" s="292"/>
      <c r="AK50" s="300"/>
      <c r="AS50" s="452"/>
    </row>
    <row r="51" spans="1:45" s="299" customFormat="1">
      <c r="A51" s="450">
        <v>300</v>
      </c>
      <c r="B51" s="426">
        <v>200</v>
      </c>
      <c r="C51" s="357">
        <v>600</v>
      </c>
      <c r="D51" s="352"/>
      <c r="E51" s="352"/>
      <c r="F51" s="352"/>
      <c r="G51" s="342" t="s">
        <v>612</v>
      </c>
      <c r="H51" s="328">
        <v>85393.16</v>
      </c>
      <c r="I51" s="326">
        <v>8059.63</v>
      </c>
      <c r="J51" s="358"/>
      <c r="K51" s="358">
        <v>66036.210000000006</v>
      </c>
      <c r="L51" s="358">
        <v>15395.64</v>
      </c>
      <c r="M51" s="358"/>
      <c r="N51" s="327">
        <v>33633</v>
      </c>
      <c r="O51" s="328"/>
      <c r="P51" s="326">
        <v>115500</v>
      </c>
      <c r="Q51" s="358">
        <v>113500</v>
      </c>
      <c r="R51" s="329"/>
      <c r="S51" s="326"/>
      <c r="T51" s="326"/>
      <c r="U51" s="326"/>
      <c r="V51" s="326"/>
      <c r="W51" s="326"/>
      <c r="X51" s="326"/>
      <c r="Y51" s="1350">
        <f t="shared" si="0"/>
        <v>85393.16</v>
      </c>
      <c r="Z51" s="1351">
        <f t="shared" si="1"/>
        <v>8059.63</v>
      </c>
      <c r="AA51" s="326">
        <f t="shared" si="2"/>
        <v>0</v>
      </c>
      <c r="AB51" s="326">
        <f t="shared" si="3"/>
        <v>181536.21000000002</v>
      </c>
      <c r="AC51" s="326">
        <f t="shared" si="4"/>
        <v>15395.64</v>
      </c>
      <c r="AD51" s="326">
        <f t="shared" si="5"/>
        <v>0</v>
      </c>
      <c r="AE51" s="326">
        <f t="shared" si="6"/>
        <v>147133</v>
      </c>
      <c r="AF51" s="355" t="s">
        <v>613</v>
      </c>
      <c r="AG51" s="838"/>
      <c r="AH51" s="744"/>
      <c r="AI51" s="292"/>
      <c r="AK51" s="300"/>
      <c r="AS51" s="452"/>
    </row>
    <row r="52" spans="1:45" s="299" customFormat="1" ht="41.4">
      <c r="A52" s="450">
        <v>300</v>
      </c>
      <c r="B52" s="426">
        <v>200</v>
      </c>
      <c r="C52" s="352">
        <v>700</v>
      </c>
      <c r="D52" s="352"/>
      <c r="E52" s="352"/>
      <c r="F52" s="352"/>
      <c r="G52" s="323" t="s">
        <v>614</v>
      </c>
      <c r="H52" s="333"/>
      <c r="I52" s="335"/>
      <c r="J52" s="359"/>
      <c r="K52" s="359"/>
      <c r="L52" s="359"/>
      <c r="M52" s="359"/>
      <c r="N52" s="332"/>
      <c r="O52" s="333"/>
      <c r="P52" s="331">
        <v>0</v>
      </c>
      <c r="Q52" s="332"/>
      <c r="R52" s="334"/>
      <c r="S52" s="331"/>
      <c r="T52" s="331"/>
      <c r="U52" s="331"/>
      <c r="V52" s="331"/>
      <c r="W52" s="331"/>
      <c r="X52" s="331"/>
      <c r="Y52" s="1352">
        <f t="shared" si="0"/>
        <v>0</v>
      </c>
      <c r="Z52" s="1353">
        <f t="shared" si="1"/>
        <v>0</v>
      </c>
      <c r="AA52" s="331">
        <f t="shared" si="2"/>
        <v>0</v>
      </c>
      <c r="AB52" s="331">
        <f t="shared" si="3"/>
        <v>0</v>
      </c>
      <c r="AC52" s="331">
        <f t="shared" si="4"/>
        <v>0</v>
      </c>
      <c r="AD52" s="331">
        <f t="shared" si="5"/>
        <v>0</v>
      </c>
      <c r="AE52" s="331">
        <f t="shared" si="6"/>
        <v>0</v>
      </c>
      <c r="AF52" s="355" t="s">
        <v>615</v>
      </c>
      <c r="AG52" s="838"/>
      <c r="AH52" s="744"/>
      <c r="AI52" s="292"/>
      <c r="AK52" s="300"/>
      <c r="AS52" s="452"/>
    </row>
    <row r="53" spans="1:45" s="299" customFormat="1">
      <c r="A53" s="450">
        <v>300</v>
      </c>
      <c r="B53" s="426">
        <v>200</v>
      </c>
      <c r="C53" s="352">
        <v>700</v>
      </c>
      <c r="D53" s="449">
        <v>100</v>
      </c>
      <c r="E53" s="448"/>
      <c r="F53" s="448"/>
      <c r="G53" s="315" t="s">
        <v>597</v>
      </c>
      <c r="H53" s="815">
        <v>6547.62</v>
      </c>
      <c r="I53" s="523"/>
      <c r="J53" s="524"/>
      <c r="K53" s="524">
        <v>6547.62</v>
      </c>
      <c r="L53" s="524"/>
      <c r="M53" s="524"/>
      <c r="N53" s="525">
        <v>5164</v>
      </c>
      <c r="O53" s="328"/>
      <c r="P53" s="326">
        <v>0</v>
      </c>
      <c r="Q53" s="327"/>
      <c r="R53" s="329"/>
      <c r="S53" s="326"/>
      <c r="T53" s="326"/>
      <c r="U53" s="326"/>
      <c r="V53" s="326"/>
      <c r="W53" s="326"/>
      <c r="X53" s="326"/>
      <c r="Y53" s="1350">
        <f t="shared" si="0"/>
        <v>6547.62</v>
      </c>
      <c r="Z53" s="1351">
        <f t="shared" si="1"/>
        <v>0</v>
      </c>
      <c r="AA53" s="326">
        <f t="shared" si="2"/>
        <v>0</v>
      </c>
      <c r="AB53" s="326">
        <f t="shared" si="3"/>
        <v>6547.62</v>
      </c>
      <c r="AC53" s="326">
        <f t="shared" si="4"/>
        <v>0</v>
      </c>
      <c r="AD53" s="326">
        <f t="shared" si="5"/>
        <v>0</v>
      </c>
      <c r="AE53" s="326">
        <f t="shared" si="6"/>
        <v>5164</v>
      </c>
      <c r="AF53" s="355"/>
      <c r="AG53" s="838"/>
      <c r="AH53" s="744"/>
      <c r="AI53" s="292"/>
      <c r="AK53" s="300"/>
      <c r="AS53" s="452"/>
    </row>
    <row r="54" spans="1:45" s="299" customFormat="1" ht="27.6">
      <c r="A54" s="450">
        <v>300</v>
      </c>
      <c r="B54" s="426">
        <v>200</v>
      </c>
      <c r="C54" s="352">
        <v>700</v>
      </c>
      <c r="D54" s="449">
        <v>200</v>
      </c>
      <c r="E54" s="448"/>
      <c r="F54" s="448"/>
      <c r="G54" s="315" t="s">
        <v>599</v>
      </c>
      <c r="H54" s="815">
        <v>366247.26</v>
      </c>
      <c r="I54" s="523">
        <v>317781.21999999997</v>
      </c>
      <c r="J54" s="524"/>
      <c r="K54" s="524">
        <v>366247.26</v>
      </c>
      <c r="L54" s="524">
        <v>260000</v>
      </c>
      <c r="M54" s="524"/>
      <c r="N54" s="525">
        <v>99302</v>
      </c>
      <c r="O54" s="328"/>
      <c r="P54" s="326">
        <v>0</v>
      </c>
      <c r="Q54" s="327"/>
      <c r="R54" s="329"/>
      <c r="S54" s="326"/>
      <c r="T54" s="326"/>
      <c r="U54" s="326"/>
      <c r="V54" s="326"/>
      <c r="W54" s="326"/>
      <c r="X54" s="326"/>
      <c r="Y54" s="1350">
        <f t="shared" si="0"/>
        <v>366247.26</v>
      </c>
      <c r="Z54" s="1351">
        <f t="shared" si="1"/>
        <v>317781.21999999997</v>
      </c>
      <c r="AA54" s="326">
        <f t="shared" si="2"/>
        <v>0</v>
      </c>
      <c r="AB54" s="326">
        <f t="shared" si="3"/>
        <v>366247.26</v>
      </c>
      <c r="AC54" s="326">
        <f t="shared" si="4"/>
        <v>260000</v>
      </c>
      <c r="AD54" s="326">
        <f t="shared" si="5"/>
        <v>0</v>
      </c>
      <c r="AE54" s="326">
        <f t="shared" si="6"/>
        <v>99302</v>
      </c>
      <c r="AF54" s="355"/>
      <c r="AG54" s="838"/>
      <c r="AH54" s="744"/>
      <c r="AI54" s="292"/>
      <c r="AK54" s="300"/>
      <c r="AS54" s="452"/>
    </row>
    <row r="55" spans="1:45" s="299" customFormat="1" ht="27.6">
      <c r="A55" s="450">
        <v>300</v>
      </c>
      <c r="B55" s="426">
        <v>200</v>
      </c>
      <c r="C55" s="352">
        <v>700</v>
      </c>
      <c r="D55" s="449">
        <v>300</v>
      </c>
      <c r="E55" s="448"/>
      <c r="F55" s="448"/>
      <c r="G55" s="315" t="s">
        <v>601</v>
      </c>
      <c r="H55" s="815"/>
      <c r="I55" s="523"/>
      <c r="J55" s="524"/>
      <c r="K55" s="524"/>
      <c r="L55" s="524"/>
      <c r="M55" s="524"/>
      <c r="N55" s="525"/>
      <c r="O55" s="328"/>
      <c r="P55" s="326">
        <v>0</v>
      </c>
      <c r="Q55" s="327"/>
      <c r="R55" s="329"/>
      <c r="S55" s="326"/>
      <c r="T55" s="326"/>
      <c r="U55" s="326"/>
      <c r="V55" s="326"/>
      <c r="W55" s="326"/>
      <c r="X55" s="326"/>
      <c r="Y55" s="1350">
        <f t="shared" si="0"/>
        <v>0</v>
      </c>
      <c r="Z55" s="1351">
        <f t="shared" si="1"/>
        <v>0</v>
      </c>
      <c r="AA55" s="326">
        <f t="shared" si="2"/>
        <v>0</v>
      </c>
      <c r="AB55" s="326">
        <f t="shared" si="3"/>
        <v>0</v>
      </c>
      <c r="AC55" s="326">
        <f t="shared" si="4"/>
        <v>0</v>
      </c>
      <c r="AD55" s="326">
        <f t="shared" si="5"/>
        <v>0</v>
      </c>
      <c r="AE55" s="326">
        <f t="shared" si="6"/>
        <v>0</v>
      </c>
      <c r="AF55" s="355"/>
      <c r="AG55" s="838"/>
      <c r="AH55" s="744"/>
      <c r="AI55" s="292"/>
      <c r="AK55" s="300"/>
      <c r="AS55" s="452"/>
    </row>
    <row r="56" spans="1:45" s="299" customFormat="1">
      <c r="A56" s="450">
        <v>300</v>
      </c>
      <c r="B56" s="426">
        <v>200</v>
      </c>
      <c r="C56" s="352">
        <v>700</v>
      </c>
      <c r="D56" s="449">
        <v>400</v>
      </c>
      <c r="E56" s="448"/>
      <c r="F56" s="448"/>
      <c r="G56" s="315" t="s">
        <v>603</v>
      </c>
      <c r="H56" s="815">
        <v>67925.600000000006</v>
      </c>
      <c r="I56" s="523"/>
      <c r="J56" s="524"/>
      <c r="K56" s="524">
        <v>67925.600000000006</v>
      </c>
      <c r="L56" s="524"/>
      <c r="M56" s="524"/>
      <c r="N56" s="525">
        <v>64102</v>
      </c>
      <c r="O56" s="328"/>
      <c r="P56" s="326">
        <v>0</v>
      </c>
      <c r="Q56" s="327"/>
      <c r="R56" s="329"/>
      <c r="S56" s="326"/>
      <c r="T56" s="326"/>
      <c r="U56" s="326"/>
      <c r="V56" s="326"/>
      <c r="W56" s="326"/>
      <c r="X56" s="326"/>
      <c r="Y56" s="1350">
        <f t="shared" si="0"/>
        <v>67925.600000000006</v>
      </c>
      <c r="Z56" s="1351">
        <f t="shared" si="1"/>
        <v>0</v>
      </c>
      <c r="AA56" s="326">
        <f t="shared" si="2"/>
        <v>0</v>
      </c>
      <c r="AB56" s="326">
        <f t="shared" si="3"/>
        <v>67925.600000000006</v>
      </c>
      <c r="AC56" s="326">
        <f t="shared" si="4"/>
        <v>0</v>
      </c>
      <c r="AD56" s="326">
        <f t="shared" si="5"/>
        <v>0</v>
      </c>
      <c r="AE56" s="326">
        <f t="shared" si="6"/>
        <v>64102</v>
      </c>
      <c r="AF56" s="355"/>
      <c r="AG56" s="838"/>
      <c r="AH56" s="744"/>
      <c r="AI56" s="292"/>
      <c r="AK56" s="300"/>
      <c r="AS56" s="452"/>
    </row>
    <row r="57" spans="1:45" s="299" customFormat="1">
      <c r="A57" s="450">
        <v>300</v>
      </c>
      <c r="B57" s="426">
        <v>200</v>
      </c>
      <c r="C57" s="352">
        <v>700</v>
      </c>
      <c r="D57" s="449">
        <v>500</v>
      </c>
      <c r="E57" s="448"/>
      <c r="F57" s="448"/>
      <c r="G57" s="315" t="s">
        <v>608</v>
      </c>
      <c r="H57" s="815"/>
      <c r="I57" s="523"/>
      <c r="J57" s="524"/>
      <c r="K57" s="524"/>
      <c r="L57" s="524"/>
      <c r="M57" s="524"/>
      <c r="N57" s="525"/>
      <c r="O57" s="328"/>
      <c r="P57" s="326">
        <v>0</v>
      </c>
      <c r="Q57" s="327"/>
      <c r="R57" s="329"/>
      <c r="S57" s="326"/>
      <c r="T57" s="326"/>
      <c r="U57" s="326"/>
      <c r="V57" s="326"/>
      <c r="W57" s="326"/>
      <c r="X57" s="326"/>
      <c r="Y57" s="1350">
        <f t="shared" si="0"/>
        <v>0</v>
      </c>
      <c r="Z57" s="1351">
        <f t="shared" si="1"/>
        <v>0</v>
      </c>
      <c r="AA57" s="326">
        <f t="shared" si="2"/>
        <v>0</v>
      </c>
      <c r="AB57" s="326">
        <f t="shared" si="3"/>
        <v>0</v>
      </c>
      <c r="AC57" s="326">
        <f t="shared" si="4"/>
        <v>0</v>
      </c>
      <c r="AD57" s="326">
        <f t="shared" si="5"/>
        <v>0</v>
      </c>
      <c r="AE57" s="326">
        <f t="shared" si="6"/>
        <v>0</v>
      </c>
      <c r="AF57" s="355"/>
      <c r="AG57" s="838"/>
      <c r="AH57" s="744"/>
      <c r="AI57" s="292"/>
      <c r="AK57" s="300"/>
      <c r="AS57" s="452"/>
    </row>
    <row r="58" spans="1:45" s="292" customFormat="1" ht="41.4">
      <c r="A58" s="353">
        <v>300</v>
      </c>
      <c r="B58" s="352">
        <v>200</v>
      </c>
      <c r="C58" s="352">
        <v>700</v>
      </c>
      <c r="D58" s="357">
        <v>900</v>
      </c>
      <c r="E58" s="357"/>
      <c r="F58" s="357"/>
      <c r="G58" s="342" t="s">
        <v>616</v>
      </c>
      <c r="H58" s="815">
        <v>1452.84</v>
      </c>
      <c r="I58" s="523"/>
      <c r="J58" s="524"/>
      <c r="K58" s="524">
        <v>1452.84</v>
      </c>
      <c r="L58" s="524"/>
      <c r="M58" s="524"/>
      <c r="N58" s="525">
        <v>1367</v>
      </c>
      <c r="O58" s="328"/>
      <c r="P58" s="326">
        <v>0</v>
      </c>
      <c r="Q58" s="327"/>
      <c r="R58" s="329"/>
      <c r="S58" s="326"/>
      <c r="T58" s="326"/>
      <c r="U58" s="326"/>
      <c r="V58" s="326"/>
      <c r="W58" s="326"/>
      <c r="X58" s="326"/>
      <c r="Y58" s="1350">
        <f t="shared" si="0"/>
        <v>1452.84</v>
      </c>
      <c r="Z58" s="1351">
        <f t="shared" si="1"/>
        <v>0</v>
      </c>
      <c r="AA58" s="326">
        <f t="shared" si="2"/>
        <v>0</v>
      </c>
      <c r="AB58" s="326">
        <f t="shared" si="3"/>
        <v>1452.84</v>
      </c>
      <c r="AC58" s="326">
        <f t="shared" si="4"/>
        <v>0</v>
      </c>
      <c r="AD58" s="326">
        <f t="shared" si="5"/>
        <v>0</v>
      </c>
      <c r="AE58" s="326">
        <f t="shared" si="6"/>
        <v>1367</v>
      </c>
      <c r="AF58" s="424"/>
      <c r="AG58" s="838"/>
      <c r="AH58" s="744"/>
      <c r="AK58" s="293"/>
      <c r="AS58" s="744"/>
    </row>
    <row r="59" spans="1:45" s="299" customFormat="1">
      <c r="A59" s="338">
        <v>305</v>
      </c>
      <c r="B59" s="337">
        <v>0</v>
      </c>
      <c r="C59" s="337">
        <v>0</v>
      </c>
      <c r="D59" s="337">
        <v>0</v>
      </c>
      <c r="E59" s="337">
        <v>0</v>
      </c>
      <c r="F59" s="337">
        <v>0</v>
      </c>
      <c r="G59" s="391" t="s">
        <v>617</v>
      </c>
      <c r="H59" s="334"/>
      <c r="I59" s="331"/>
      <c r="J59" s="359"/>
      <c r="K59" s="359"/>
      <c r="L59" s="359"/>
      <c r="M59" s="359"/>
      <c r="N59" s="332"/>
      <c r="O59" s="333"/>
      <c r="P59" s="331">
        <v>0</v>
      </c>
      <c r="Q59" s="332"/>
      <c r="R59" s="334"/>
      <c r="S59" s="331"/>
      <c r="T59" s="331"/>
      <c r="U59" s="331"/>
      <c r="V59" s="331"/>
      <c r="W59" s="331"/>
      <c r="X59" s="331"/>
      <c r="Y59" s="1352">
        <f t="shared" si="0"/>
        <v>0</v>
      </c>
      <c r="Z59" s="1353">
        <f t="shared" si="1"/>
        <v>0</v>
      </c>
      <c r="AA59" s="331">
        <f t="shared" si="2"/>
        <v>0</v>
      </c>
      <c r="AB59" s="331">
        <f t="shared" si="3"/>
        <v>0</v>
      </c>
      <c r="AC59" s="331">
        <f t="shared" si="4"/>
        <v>0</v>
      </c>
      <c r="AD59" s="331">
        <f t="shared" si="5"/>
        <v>0</v>
      </c>
      <c r="AE59" s="331">
        <f t="shared" si="6"/>
        <v>0</v>
      </c>
      <c r="AF59" s="330" t="s">
        <v>618</v>
      </c>
      <c r="AG59" s="837"/>
      <c r="AH59" s="744">
        <f>SUM(Y60:Y417)</f>
        <v>16281121.789999995</v>
      </c>
      <c r="AI59" s="292" t="s">
        <v>2274</v>
      </c>
      <c r="AK59" s="300"/>
      <c r="AS59" s="452"/>
    </row>
    <row r="60" spans="1:45" s="299" customFormat="1">
      <c r="A60" s="353">
        <v>305</v>
      </c>
      <c r="B60" s="352">
        <v>100</v>
      </c>
      <c r="C60" s="352"/>
      <c r="D60" s="352"/>
      <c r="E60" s="352"/>
      <c r="F60" s="352"/>
      <c r="G60" s="323" t="s">
        <v>619</v>
      </c>
      <c r="H60" s="334"/>
      <c r="I60" s="331"/>
      <c r="J60" s="359"/>
      <c r="K60" s="359"/>
      <c r="L60" s="359"/>
      <c r="M60" s="359"/>
      <c r="N60" s="332"/>
      <c r="O60" s="333"/>
      <c r="P60" s="331">
        <v>0</v>
      </c>
      <c r="Q60" s="332"/>
      <c r="R60" s="334"/>
      <c r="S60" s="331"/>
      <c r="T60" s="331"/>
      <c r="U60" s="331"/>
      <c r="V60" s="331"/>
      <c r="W60" s="331"/>
      <c r="X60" s="331"/>
      <c r="Y60" s="1352">
        <f t="shared" si="0"/>
        <v>0</v>
      </c>
      <c r="Z60" s="1353">
        <f t="shared" si="1"/>
        <v>0</v>
      </c>
      <c r="AA60" s="331">
        <f t="shared" si="2"/>
        <v>0</v>
      </c>
      <c r="AB60" s="331">
        <f t="shared" si="3"/>
        <v>0</v>
      </c>
      <c r="AC60" s="331">
        <f t="shared" si="4"/>
        <v>0</v>
      </c>
      <c r="AD60" s="331">
        <f t="shared" si="5"/>
        <v>0</v>
      </c>
      <c r="AE60" s="331">
        <f t="shared" si="6"/>
        <v>0</v>
      </c>
      <c r="AF60" s="355" t="s">
        <v>620</v>
      </c>
      <c r="AG60" s="838"/>
      <c r="AH60" s="367"/>
      <c r="AI60" s="292"/>
      <c r="AK60" s="300"/>
      <c r="AS60" s="452"/>
    </row>
    <row r="61" spans="1:45" s="299" customFormat="1" ht="27.6">
      <c r="A61" s="353">
        <v>305</v>
      </c>
      <c r="B61" s="352">
        <v>100</v>
      </c>
      <c r="C61" s="352">
        <v>50</v>
      </c>
      <c r="D61" s="352"/>
      <c r="E61" s="352"/>
      <c r="F61" s="352"/>
      <c r="G61" s="323" t="s">
        <v>621</v>
      </c>
      <c r="H61" s="334"/>
      <c r="I61" s="331"/>
      <c r="J61" s="359"/>
      <c r="K61" s="359"/>
      <c r="L61" s="359"/>
      <c r="M61" s="359"/>
      <c r="N61" s="332"/>
      <c r="O61" s="333"/>
      <c r="P61" s="331">
        <v>0</v>
      </c>
      <c r="Q61" s="332"/>
      <c r="R61" s="334"/>
      <c r="S61" s="331"/>
      <c r="T61" s="331"/>
      <c r="U61" s="331"/>
      <c r="V61" s="331"/>
      <c r="W61" s="331"/>
      <c r="X61" s="331"/>
      <c r="Y61" s="1352">
        <f t="shared" si="0"/>
        <v>0</v>
      </c>
      <c r="Z61" s="1353">
        <f t="shared" si="1"/>
        <v>0</v>
      </c>
      <c r="AA61" s="331">
        <f t="shared" si="2"/>
        <v>0</v>
      </c>
      <c r="AB61" s="331">
        <f t="shared" si="3"/>
        <v>0</v>
      </c>
      <c r="AC61" s="331">
        <f t="shared" si="4"/>
        <v>0</v>
      </c>
      <c r="AD61" s="331">
        <f t="shared" si="5"/>
        <v>0</v>
      </c>
      <c r="AE61" s="331">
        <f t="shared" si="6"/>
        <v>0</v>
      </c>
      <c r="AF61" s="355" t="s">
        <v>622</v>
      </c>
      <c r="AG61" s="838"/>
      <c r="AH61" s="367"/>
      <c r="AI61" s="292"/>
      <c r="AK61" s="300"/>
      <c r="AS61" s="452"/>
    </row>
    <row r="62" spans="1:45" s="299" customFormat="1">
      <c r="A62" s="353">
        <v>305</v>
      </c>
      <c r="B62" s="352">
        <v>100</v>
      </c>
      <c r="C62" s="352">
        <v>50</v>
      </c>
      <c r="D62" s="352">
        <v>100</v>
      </c>
      <c r="E62" s="352"/>
      <c r="F62" s="352"/>
      <c r="G62" s="443" t="s">
        <v>623</v>
      </c>
      <c r="H62" s="334"/>
      <c r="I62" s="331"/>
      <c r="J62" s="359"/>
      <c r="K62" s="359"/>
      <c r="L62" s="359"/>
      <c r="M62" s="359"/>
      <c r="N62" s="332"/>
      <c r="O62" s="333"/>
      <c r="P62" s="331">
        <v>0</v>
      </c>
      <c r="Q62" s="332"/>
      <c r="R62" s="334"/>
      <c r="S62" s="331"/>
      <c r="T62" s="331"/>
      <c r="U62" s="331"/>
      <c r="V62" s="331"/>
      <c r="W62" s="331"/>
      <c r="X62" s="331"/>
      <c r="Y62" s="1352">
        <f t="shared" si="0"/>
        <v>0</v>
      </c>
      <c r="Z62" s="1353">
        <f t="shared" si="1"/>
        <v>0</v>
      </c>
      <c r="AA62" s="331">
        <f t="shared" si="2"/>
        <v>0</v>
      </c>
      <c r="AB62" s="331">
        <f t="shared" si="3"/>
        <v>0</v>
      </c>
      <c r="AC62" s="331">
        <f t="shared" si="4"/>
        <v>0</v>
      </c>
      <c r="AD62" s="331">
        <f t="shared" si="5"/>
        <v>0</v>
      </c>
      <c r="AE62" s="331">
        <f t="shared" si="6"/>
        <v>0</v>
      </c>
      <c r="AF62" s="355" t="s">
        <v>624</v>
      </c>
      <c r="AG62" s="838"/>
      <c r="AH62" s="367"/>
      <c r="AI62" s="292"/>
      <c r="AK62" s="300"/>
      <c r="AS62" s="452"/>
    </row>
    <row r="63" spans="1:45" s="299" customFormat="1">
      <c r="A63" s="353">
        <v>305</v>
      </c>
      <c r="B63" s="352">
        <v>100</v>
      </c>
      <c r="C63" s="352">
        <v>50</v>
      </c>
      <c r="D63" s="352">
        <v>100</v>
      </c>
      <c r="E63" s="352">
        <v>10</v>
      </c>
      <c r="F63" s="352"/>
      <c r="G63" s="323" t="s">
        <v>625</v>
      </c>
      <c r="H63" s="334"/>
      <c r="I63" s="331"/>
      <c r="J63" s="359"/>
      <c r="K63" s="359"/>
      <c r="L63" s="359"/>
      <c r="M63" s="359"/>
      <c r="N63" s="332"/>
      <c r="O63" s="333"/>
      <c r="P63" s="331">
        <v>0</v>
      </c>
      <c r="Q63" s="332"/>
      <c r="R63" s="334"/>
      <c r="S63" s="331"/>
      <c r="T63" s="331"/>
      <c r="U63" s="331"/>
      <c r="V63" s="331"/>
      <c r="W63" s="331"/>
      <c r="X63" s="331"/>
      <c r="Y63" s="1352">
        <f t="shared" si="0"/>
        <v>0</v>
      </c>
      <c r="Z63" s="1353">
        <f t="shared" si="1"/>
        <v>0</v>
      </c>
      <c r="AA63" s="331">
        <f t="shared" si="2"/>
        <v>0</v>
      </c>
      <c r="AB63" s="331">
        <f t="shared" si="3"/>
        <v>0</v>
      </c>
      <c r="AC63" s="331">
        <f t="shared" si="4"/>
        <v>0</v>
      </c>
      <c r="AD63" s="331">
        <f t="shared" si="5"/>
        <v>0</v>
      </c>
      <c r="AE63" s="331">
        <f t="shared" si="6"/>
        <v>0</v>
      </c>
      <c r="AF63" s="355" t="s">
        <v>626</v>
      </c>
      <c r="AG63" s="838"/>
      <c r="AH63" s="744"/>
      <c r="AI63" s="292"/>
      <c r="AK63" s="300"/>
      <c r="AS63" s="452"/>
    </row>
    <row r="64" spans="1:45" s="299" customFormat="1">
      <c r="A64" s="353">
        <v>305</v>
      </c>
      <c r="B64" s="352">
        <v>100</v>
      </c>
      <c r="C64" s="352">
        <v>50</v>
      </c>
      <c r="D64" s="352">
        <v>100</v>
      </c>
      <c r="E64" s="352">
        <v>10</v>
      </c>
      <c r="F64" s="357">
        <v>5</v>
      </c>
      <c r="G64" s="315" t="s">
        <v>627</v>
      </c>
      <c r="H64" s="329"/>
      <c r="I64" s="326"/>
      <c r="J64" s="358"/>
      <c r="K64" s="358"/>
      <c r="L64" s="358"/>
      <c r="M64" s="358"/>
      <c r="N64" s="327"/>
      <c r="O64" s="328"/>
      <c r="P64" s="326">
        <v>0</v>
      </c>
      <c r="Q64" s="327"/>
      <c r="R64" s="329"/>
      <c r="S64" s="326"/>
      <c r="T64" s="326"/>
      <c r="U64" s="326"/>
      <c r="V64" s="326"/>
      <c r="W64" s="326"/>
      <c r="X64" s="326"/>
      <c r="Y64" s="1350">
        <f t="shared" si="0"/>
        <v>0</v>
      </c>
      <c r="Z64" s="1351">
        <f t="shared" si="1"/>
        <v>0</v>
      </c>
      <c r="AA64" s="326">
        <f t="shared" si="2"/>
        <v>0</v>
      </c>
      <c r="AB64" s="326">
        <f t="shared" si="3"/>
        <v>0</v>
      </c>
      <c r="AC64" s="326">
        <f t="shared" si="4"/>
        <v>0</v>
      </c>
      <c r="AD64" s="326">
        <f t="shared" si="5"/>
        <v>0</v>
      </c>
      <c r="AE64" s="326">
        <f t="shared" si="6"/>
        <v>0</v>
      </c>
      <c r="AF64" s="355"/>
      <c r="AG64" s="838"/>
      <c r="AH64" s="744"/>
      <c r="AI64" s="292"/>
      <c r="AK64" s="300"/>
      <c r="AS64" s="452"/>
    </row>
    <row r="65" spans="1:45" s="299" customFormat="1">
      <c r="A65" s="353">
        <v>305</v>
      </c>
      <c r="B65" s="352">
        <v>100</v>
      </c>
      <c r="C65" s="352">
        <v>50</v>
      </c>
      <c r="D65" s="352">
        <v>100</v>
      </c>
      <c r="E65" s="352">
        <v>10</v>
      </c>
      <c r="F65" s="357">
        <v>10</v>
      </c>
      <c r="G65" s="315" t="s">
        <v>628</v>
      </c>
      <c r="H65" s="329"/>
      <c r="I65" s="326"/>
      <c r="J65" s="358"/>
      <c r="K65" s="358"/>
      <c r="L65" s="358"/>
      <c r="M65" s="358"/>
      <c r="N65" s="327"/>
      <c r="O65" s="328"/>
      <c r="P65" s="326">
        <v>0</v>
      </c>
      <c r="Q65" s="327"/>
      <c r="R65" s="329"/>
      <c r="S65" s="326"/>
      <c r="T65" s="326"/>
      <c r="U65" s="326"/>
      <c r="V65" s="326"/>
      <c r="W65" s="326"/>
      <c r="X65" s="326"/>
      <c r="Y65" s="1350">
        <f t="shared" si="0"/>
        <v>0</v>
      </c>
      <c r="Z65" s="1351">
        <f t="shared" si="1"/>
        <v>0</v>
      </c>
      <c r="AA65" s="326">
        <f t="shared" si="2"/>
        <v>0</v>
      </c>
      <c r="AB65" s="326">
        <f t="shared" si="3"/>
        <v>0</v>
      </c>
      <c r="AC65" s="326">
        <f t="shared" si="4"/>
        <v>0</v>
      </c>
      <c r="AD65" s="326">
        <f t="shared" si="5"/>
        <v>0</v>
      </c>
      <c r="AE65" s="326">
        <f t="shared" si="6"/>
        <v>0</v>
      </c>
      <c r="AF65" s="355"/>
      <c r="AG65" s="838"/>
      <c r="AH65" s="744"/>
      <c r="AI65" s="292"/>
      <c r="AK65" s="300"/>
      <c r="AS65" s="452"/>
    </row>
    <row r="66" spans="1:45" s="299" customFormat="1" ht="27.6">
      <c r="A66" s="353">
        <v>305</v>
      </c>
      <c r="B66" s="352">
        <v>100</v>
      </c>
      <c r="C66" s="352">
        <v>50</v>
      </c>
      <c r="D66" s="352">
        <v>100</v>
      </c>
      <c r="E66" s="352">
        <v>10</v>
      </c>
      <c r="F66" s="357">
        <v>15</v>
      </c>
      <c r="G66" s="315" t="s">
        <v>629</v>
      </c>
      <c r="H66" s="329"/>
      <c r="I66" s="326"/>
      <c r="J66" s="358"/>
      <c r="K66" s="358"/>
      <c r="L66" s="358"/>
      <c r="M66" s="358"/>
      <c r="N66" s="327"/>
      <c r="O66" s="328"/>
      <c r="P66" s="326">
        <v>0</v>
      </c>
      <c r="Q66" s="327"/>
      <c r="R66" s="329"/>
      <c r="S66" s="326"/>
      <c r="T66" s="326"/>
      <c r="U66" s="326"/>
      <c r="V66" s="326"/>
      <c r="W66" s="326"/>
      <c r="X66" s="326"/>
      <c r="Y66" s="1350">
        <f t="shared" si="0"/>
        <v>0</v>
      </c>
      <c r="Z66" s="1351">
        <f t="shared" si="1"/>
        <v>0</v>
      </c>
      <c r="AA66" s="326">
        <f t="shared" si="2"/>
        <v>0</v>
      </c>
      <c r="AB66" s="326">
        <f t="shared" si="3"/>
        <v>0</v>
      </c>
      <c r="AC66" s="326">
        <f t="shared" si="4"/>
        <v>0</v>
      </c>
      <c r="AD66" s="326">
        <f t="shared" si="5"/>
        <v>0</v>
      </c>
      <c r="AE66" s="326">
        <f t="shared" si="6"/>
        <v>0</v>
      </c>
      <c r="AF66" s="355"/>
      <c r="AG66" s="838"/>
      <c r="AH66" s="744"/>
      <c r="AI66" s="292"/>
      <c r="AK66" s="300"/>
      <c r="AS66" s="452"/>
    </row>
    <row r="67" spans="1:45" s="299" customFormat="1" ht="27.6">
      <c r="A67" s="353">
        <v>305</v>
      </c>
      <c r="B67" s="352">
        <v>100</v>
      </c>
      <c r="C67" s="352">
        <v>50</v>
      </c>
      <c r="D67" s="352">
        <v>100</v>
      </c>
      <c r="E67" s="352">
        <v>10</v>
      </c>
      <c r="F67" s="357">
        <v>20</v>
      </c>
      <c r="G67" s="315" t="s">
        <v>630</v>
      </c>
      <c r="H67" s="314"/>
      <c r="I67" s="311"/>
      <c r="J67" s="319"/>
      <c r="K67" s="319"/>
      <c r="L67" s="319"/>
      <c r="M67" s="319"/>
      <c r="N67" s="312"/>
      <c r="O67" s="313"/>
      <c r="P67" s="311">
        <v>0</v>
      </c>
      <c r="Q67" s="312"/>
      <c r="R67" s="314"/>
      <c r="S67" s="311"/>
      <c r="T67" s="311"/>
      <c r="U67" s="311"/>
      <c r="V67" s="311"/>
      <c r="W67" s="311"/>
      <c r="X67" s="311"/>
      <c r="Y67" s="1356">
        <f t="shared" si="0"/>
        <v>0</v>
      </c>
      <c r="Z67" s="1357">
        <f t="shared" si="1"/>
        <v>0</v>
      </c>
      <c r="AA67" s="311">
        <f t="shared" si="2"/>
        <v>0</v>
      </c>
      <c r="AB67" s="311">
        <f t="shared" si="3"/>
        <v>0</v>
      </c>
      <c r="AC67" s="311">
        <f t="shared" si="4"/>
        <v>0</v>
      </c>
      <c r="AD67" s="311">
        <f t="shared" si="5"/>
        <v>0</v>
      </c>
      <c r="AE67" s="311">
        <f t="shared" si="6"/>
        <v>0</v>
      </c>
      <c r="AF67" s="355"/>
      <c r="AG67" s="838"/>
      <c r="AH67" s="744"/>
      <c r="AI67" s="292"/>
      <c r="AK67" s="300"/>
      <c r="AS67" s="452"/>
    </row>
    <row r="68" spans="1:45" s="299" customFormat="1" ht="27.6">
      <c r="A68" s="353">
        <v>305</v>
      </c>
      <c r="B68" s="352">
        <v>100</v>
      </c>
      <c r="C68" s="352">
        <v>50</v>
      </c>
      <c r="D68" s="352">
        <v>100</v>
      </c>
      <c r="E68" s="352">
        <v>10</v>
      </c>
      <c r="F68" s="357">
        <v>25</v>
      </c>
      <c r="G68" s="315" t="s">
        <v>631</v>
      </c>
      <c r="H68" s="314"/>
      <c r="I68" s="311"/>
      <c r="J68" s="319"/>
      <c r="K68" s="319"/>
      <c r="L68" s="319"/>
      <c r="M68" s="319"/>
      <c r="N68" s="312"/>
      <c r="O68" s="313"/>
      <c r="P68" s="311">
        <v>0</v>
      </c>
      <c r="Q68" s="312"/>
      <c r="R68" s="314"/>
      <c r="S68" s="311"/>
      <c r="T68" s="311"/>
      <c r="U68" s="311"/>
      <c r="V68" s="311"/>
      <c r="W68" s="311"/>
      <c r="X68" s="311"/>
      <c r="Y68" s="1356">
        <f t="shared" si="0"/>
        <v>0</v>
      </c>
      <c r="Z68" s="1357">
        <f t="shared" si="1"/>
        <v>0</v>
      </c>
      <c r="AA68" s="311">
        <f t="shared" si="2"/>
        <v>0</v>
      </c>
      <c r="AB68" s="311">
        <f t="shared" si="3"/>
        <v>0</v>
      </c>
      <c r="AC68" s="311">
        <f t="shared" si="4"/>
        <v>0</v>
      </c>
      <c r="AD68" s="311">
        <f t="shared" si="5"/>
        <v>0</v>
      </c>
      <c r="AE68" s="311">
        <f t="shared" si="6"/>
        <v>0</v>
      </c>
      <c r="AF68" s="355"/>
      <c r="AG68" s="838"/>
      <c r="AH68" s="744"/>
      <c r="AI68" s="292"/>
      <c r="AK68" s="300"/>
      <c r="AS68" s="452"/>
    </row>
    <row r="69" spans="1:45" s="299" customFormat="1">
      <c r="A69" s="353">
        <v>305</v>
      </c>
      <c r="B69" s="352">
        <v>100</v>
      </c>
      <c r="C69" s="352">
        <v>50</v>
      </c>
      <c r="D69" s="352">
        <v>100</v>
      </c>
      <c r="E69" s="352">
        <v>10</v>
      </c>
      <c r="F69" s="357">
        <v>30</v>
      </c>
      <c r="G69" s="315" t="s">
        <v>632</v>
      </c>
      <c r="H69" s="314"/>
      <c r="I69" s="311"/>
      <c r="J69" s="319"/>
      <c r="K69" s="319"/>
      <c r="L69" s="319"/>
      <c r="M69" s="319"/>
      <c r="N69" s="312"/>
      <c r="O69" s="313"/>
      <c r="P69" s="311">
        <v>0</v>
      </c>
      <c r="Q69" s="312"/>
      <c r="R69" s="314"/>
      <c r="S69" s="311"/>
      <c r="T69" s="311"/>
      <c r="U69" s="311"/>
      <c r="V69" s="311"/>
      <c r="W69" s="311"/>
      <c r="X69" s="311"/>
      <c r="Y69" s="1356">
        <f t="shared" si="0"/>
        <v>0</v>
      </c>
      <c r="Z69" s="1357">
        <f t="shared" si="1"/>
        <v>0</v>
      </c>
      <c r="AA69" s="311">
        <f t="shared" si="2"/>
        <v>0</v>
      </c>
      <c r="AB69" s="311">
        <f t="shared" si="3"/>
        <v>0</v>
      </c>
      <c r="AC69" s="311">
        <f t="shared" si="4"/>
        <v>0</v>
      </c>
      <c r="AD69" s="311">
        <f t="shared" si="5"/>
        <v>0</v>
      </c>
      <c r="AE69" s="311">
        <f t="shared" si="6"/>
        <v>0</v>
      </c>
      <c r="AF69" s="355"/>
      <c r="AG69" s="838"/>
      <c r="AH69" s="744"/>
      <c r="AI69" s="292"/>
      <c r="AK69" s="300"/>
      <c r="AS69" s="452"/>
    </row>
    <row r="70" spans="1:45" s="299" customFormat="1">
      <c r="A70" s="353">
        <v>305</v>
      </c>
      <c r="B70" s="352">
        <v>100</v>
      </c>
      <c r="C70" s="352">
        <v>50</v>
      </c>
      <c r="D70" s="352">
        <v>100</v>
      </c>
      <c r="E70" s="352">
        <v>10</v>
      </c>
      <c r="F70" s="357">
        <v>35</v>
      </c>
      <c r="G70" s="315" t="s">
        <v>633</v>
      </c>
      <c r="H70" s="314"/>
      <c r="I70" s="311"/>
      <c r="J70" s="319"/>
      <c r="K70" s="319"/>
      <c r="L70" s="319"/>
      <c r="M70" s="319"/>
      <c r="N70" s="312"/>
      <c r="O70" s="313"/>
      <c r="P70" s="311">
        <v>0</v>
      </c>
      <c r="Q70" s="312"/>
      <c r="R70" s="314"/>
      <c r="S70" s="311"/>
      <c r="T70" s="311"/>
      <c r="U70" s="311"/>
      <c r="V70" s="311"/>
      <c r="W70" s="311"/>
      <c r="X70" s="311"/>
      <c r="Y70" s="1356">
        <f t="shared" si="0"/>
        <v>0</v>
      </c>
      <c r="Z70" s="1357">
        <f t="shared" si="1"/>
        <v>0</v>
      </c>
      <c r="AA70" s="311">
        <f t="shared" si="2"/>
        <v>0</v>
      </c>
      <c r="AB70" s="311">
        <f t="shared" si="3"/>
        <v>0</v>
      </c>
      <c r="AC70" s="311">
        <f t="shared" si="4"/>
        <v>0</v>
      </c>
      <c r="AD70" s="311">
        <f t="shared" si="5"/>
        <v>0</v>
      </c>
      <c r="AE70" s="311">
        <f t="shared" si="6"/>
        <v>0</v>
      </c>
      <c r="AF70" s="355"/>
      <c r="AG70" s="838"/>
      <c r="AH70" s="744"/>
      <c r="AI70" s="292"/>
      <c r="AK70" s="300"/>
      <c r="AS70" s="452"/>
    </row>
    <row r="71" spans="1:45" s="299" customFormat="1">
      <c r="A71" s="353">
        <v>305</v>
      </c>
      <c r="B71" s="352">
        <v>100</v>
      </c>
      <c r="C71" s="352">
        <v>50</v>
      </c>
      <c r="D71" s="352">
        <v>100</v>
      </c>
      <c r="E71" s="352">
        <v>10</v>
      </c>
      <c r="F71" s="357">
        <v>40</v>
      </c>
      <c r="G71" s="315" t="s">
        <v>634</v>
      </c>
      <c r="H71" s="314"/>
      <c r="I71" s="311"/>
      <c r="J71" s="319"/>
      <c r="K71" s="319"/>
      <c r="L71" s="319"/>
      <c r="M71" s="319"/>
      <c r="N71" s="312"/>
      <c r="O71" s="313"/>
      <c r="P71" s="311">
        <v>0</v>
      </c>
      <c r="Q71" s="312"/>
      <c r="R71" s="314"/>
      <c r="S71" s="311"/>
      <c r="T71" s="311"/>
      <c r="U71" s="311"/>
      <c r="V71" s="311"/>
      <c r="W71" s="311"/>
      <c r="X71" s="311"/>
      <c r="Y71" s="1356">
        <f t="shared" ref="Y71:Y134" si="7">+H71+O71+R71</f>
        <v>0</v>
      </c>
      <c r="Z71" s="1357">
        <f t="shared" ref="Z71:Z134" si="8">+I71+S71</f>
        <v>0</v>
      </c>
      <c r="AA71" s="311">
        <f t="shared" ref="AA71:AA134" si="9">+J71+T71</f>
        <v>0</v>
      </c>
      <c r="AB71" s="311">
        <f t="shared" ref="AB71:AB134" si="10">+K71+P71+U71</f>
        <v>0</v>
      </c>
      <c r="AC71" s="311">
        <f t="shared" ref="AC71:AC134" si="11">+L71+V71</f>
        <v>0</v>
      </c>
      <c r="AD71" s="311">
        <f t="shared" ref="AD71:AD134" si="12">+M71+W71</f>
        <v>0</v>
      </c>
      <c r="AE71" s="311">
        <f t="shared" ref="AE71:AE134" si="13">+N71+X71+Q71</f>
        <v>0</v>
      </c>
      <c r="AF71" s="355"/>
      <c r="AG71" s="838"/>
      <c r="AH71" s="744"/>
      <c r="AI71" s="292"/>
      <c r="AK71" s="300"/>
      <c r="AS71" s="452"/>
    </row>
    <row r="72" spans="1:45" s="299" customFormat="1">
      <c r="A72" s="353">
        <v>305</v>
      </c>
      <c r="B72" s="352">
        <v>100</v>
      </c>
      <c r="C72" s="352">
        <v>50</v>
      </c>
      <c r="D72" s="352">
        <v>100</v>
      </c>
      <c r="E72" s="352">
        <v>10</v>
      </c>
      <c r="F72" s="357">
        <v>45</v>
      </c>
      <c r="G72" s="315" t="s">
        <v>635</v>
      </c>
      <c r="H72" s="314"/>
      <c r="I72" s="311"/>
      <c r="J72" s="319"/>
      <c r="K72" s="319"/>
      <c r="L72" s="319"/>
      <c r="M72" s="319"/>
      <c r="N72" s="312"/>
      <c r="O72" s="313"/>
      <c r="P72" s="311">
        <v>0</v>
      </c>
      <c r="Q72" s="312"/>
      <c r="R72" s="314"/>
      <c r="S72" s="311"/>
      <c r="T72" s="311"/>
      <c r="U72" s="311"/>
      <c r="V72" s="311"/>
      <c r="W72" s="311"/>
      <c r="X72" s="311"/>
      <c r="Y72" s="1356">
        <f t="shared" si="7"/>
        <v>0</v>
      </c>
      <c r="Z72" s="1357">
        <f t="shared" si="8"/>
        <v>0</v>
      </c>
      <c r="AA72" s="311">
        <f t="shared" si="9"/>
        <v>0</v>
      </c>
      <c r="AB72" s="311">
        <f t="shared" si="10"/>
        <v>0</v>
      </c>
      <c r="AC72" s="311">
        <f t="shared" si="11"/>
        <v>0</v>
      </c>
      <c r="AD72" s="311">
        <f t="shared" si="12"/>
        <v>0</v>
      </c>
      <c r="AE72" s="311">
        <f t="shared" si="13"/>
        <v>0</v>
      </c>
      <c r="AF72" s="355"/>
      <c r="AG72" s="838"/>
      <c r="AH72" s="744"/>
      <c r="AI72" s="292"/>
      <c r="AK72" s="300"/>
      <c r="AS72" s="452"/>
    </row>
    <row r="73" spans="1:45" s="299" customFormat="1">
      <c r="A73" s="353">
        <v>305</v>
      </c>
      <c r="B73" s="352">
        <v>100</v>
      </c>
      <c r="C73" s="352">
        <v>50</v>
      </c>
      <c r="D73" s="352">
        <v>100</v>
      </c>
      <c r="E73" s="352">
        <v>10</v>
      </c>
      <c r="F73" s="357">
        <v>50</v>
      </c>
      <c r="G73" s="315" t="s">
        <v>636</v>
      </c>
      <c r="H73" s="314"/>
      <c r="I73" s="311"/>
      <c r="J73" s="319"/>
      <c r="K73" s="319"/>
      <c r="L73" s="319"/>
      <c r="M73" s="319"/>
      <c r="N73" s="312"/>
      <c r="O73" s="313"/>
      <c r="P73" s="311">
        <v>0</v>
      </c>
      <c r="Q73" s="312"/>
      <c r="R73" s="314"/>
      <c r="S73" s="311"/>
      <c r="T73" s="311"/>
      <c r="U73" s="311"/>
      <c r="V73" s="311"/>
      <c r="W73" s="311"/>
      <c r="X73" s="311"/>
      <c r="Y73" s="1356">
        <f t="shared" si="7"/>
        <v>0</v>
      </c>
      <c r="Z73" s="1357">
        <f t="shared" si="8"/>
        <v>0</v>
      </c>
      <c r="AA73" s="311">
        <f t="shared" si="9"/>
        <v>0</v>
      </c>
      <c r="AB73" s="311">
        <f t="shared" si="10"/>
        <v>0</v>
      </c>
      <c r="AC73" s="311">
        <f t="shared" si="11"/>
        <v>0</v>
      </c>
      <c r="AD73" s="311">
        <f t="shared" si="12"/>
        <v>0</v>
      </c>
      <c r="AE73" s="311">
        <f t="shared" si="13"/>
        <v>0</v>
      </c>
      <c r="AF73" s="355"/>
      <c r="AG73" s="838"/>
      <c r="AH73" s="744"/>
      <c r="AI73" s="292"/>
      <c r="AK73" s="300"/>
      <c r="AS73" s="452"/>
    </row>
    <row r="74" spans="1:45" s="299" customFormat="1">
      <c r="A74" s="353">
        <v>305</v>
      </c>
      <c r="B74" s="352">
        <v>100</v>
      </c>
      <c r="C74" s="352">
        <v>50</v>
      </c>
      <c r="D74" s="352">
        <v>100</v>
      </c>
      <c r="E74" s="352">
        <v>10</v>
      </c>
      <c r="F74" s="357">
        <v>55</v>
      </c>
      <c r="G74" s="315" t="s">
        <v>637</v>
      </c>
      <c r="H74" s="314"/>
      <c r="I74" s="311"/>
      <c r="J74" s="319"/>
      <c r="K74" s="319"/>
      <c r="L74" s="319"/>
      <c r="M74" s="319"/>
      <c r="N74" s="312"/>
      <c r="O74" s="313"/>
      <c r="P74" s="311">
        <v>0</v>
      </c>
      <c r="Q74" s="312"/>
      <c r="R74" s="314"/>
      <c r="S74" s="311"/>
      <c r="T74" s="311"/>
      <c r="U74" s="311"/>
      <c r="V74" s="311"/>
      <c r="W74" s="311"/>
      <c r="X74" s="311"/>
      <c r="Y74" s="1356">
        <f t="shared" si="7"/>
        <v>0</v>
      </c>
      <c r="Z74" s="1357">
        <f t="shared" si="8"/>
        <v>0</v>
      </c>
      <c r="AA74" s="311">
        <f t="shared" si="9"/>
        <v>0</v>
      </c>
      <c r="AB74" s="311">
        <f t="shared" si="10"/>
        <v>0</v>
      </c>
      <c r="AC74" s="311">
        <f t="shared" si="11"/>
        <v>0</v>
      </c>
      <c r="AD74" s="311">
        <f t="shared" si="12"/>
        <v>0</v>
      </c>
      <c r="AE74" s="311">
        <f t="shared" si="13"/>
        <v>0</v>
      </c>
      <c r="AF74" s="355"/>
      <c r="AG74" s="838"/>
      <c r="AH74" s="744"/>
      <c r="AI74" s="292"/>
      <c r="AK74" s="300"/>
      <c r="AS74" s="452"/>
    </row>
    <row r="75" spans="1:45" s="299" customFormat="1">
      <c r="A75" s="353">
        <v>305</v>
      </c>
      <c r="B75" s="352">
        <v>100</v>
      </c>
      <c r="C75" s="352">
        <v>50</v>
      </c>
      <c r="D75" s="352">
        <v>100</v>
      </c>
      <c r="E75" s="426">
        <v>20</v>
      </c>
      <c r="F75" s="426"/>
      <c r="G75" s="428" t="s">
        <v>638</v>
      </c>
      <c r="H75" s="334"/>
      <c r="I75" s="331"/>
      <c r="J75" s="359"/>
      <c r="K75" s="359"/>
      <c r="L75" s="359"/>
      <c r="M75" s="359"/>
      <c r="N75" s="332"/>
      <c r="O75" s="333"/>
      <c r="P75" s="331">
        <v>0</v>
      </c>
      <c r="Q75" s="332"/>
      <c r="R75" s="334"/>
      <c r="S75" s="331"/>
      <c r="T75" s="331"/>
      <c r="U75" s="331"/>
      <c r="V75" s="331"/>
      <c r="W75" s="331"/>
      <c r="X75" s="331"/>
      <c r="Y75" s="1352">
        <f t="shared" si="7"/>
        <v>0</v>
      </c>
      <c r="Z75" s="1353">
        <f t="shared" si="8"/>
        <v>0</v>
      </c>
      <c r="AA75" s="331">
        <f t="shared" si="9"/>
        <v>0</v>
      </c>
      <c r="AB75" s="331">
        <f t="shared" si="10"/>
        <v>0</v>
      </c>
      <c r="AC75" s="331">
        <f t="shared" si="11"/>
        <v>0</v>
      </c>
      <c r="AD75" s="331">
        <f t="shared" si="12"/>
        <v>0</v>
      </c>
      <c r="AE75" s="331">
        <f t="shared" si="13"/>
        <v>0</v>
      </c>
      <c r="AF75" s="355" t="s">
        <v>639</v>
      </c>
      <c r="AG75" s="838"/>
      <c r="AH75" s="744"/>
      <c r="AI75" s="292"/>
      <c r="AK75" s="300"/>
      <c r="AS75" s="452"/>
    </row>
    <row r="76" spans="1:45" s="299" customFormat="1">
      <c r="A76" s="353">
        <v>305</v>
      </c>
      <c r="B76" s="352">
        <v>100</v>
      </c>
      <c r="C76" s="352">
        <v>50</v>
      </c>
      <c r="D76" s="352">
        <v>100</v>
      </c>
      <c r="E76" s="426">
        <v>20</v>
      </c>
      <c r="F76" s="357">
        <v>5</v>
      </c>
      <c r="G76" s="315" t="s">
        <v>627</v>
      </c>
      <c r="H76" s="329"/>
      <c r="I76" s="326"/>
      <c r="J76" s="358"/>
      <c r="K76" s="358"/>
      <c r="L76" s="358"/>
      <c r="M76" s="358"/>
      <c r="N76" s="327"/>
      <c r="O76" s="328"/>
      <c r="P76" s="326">
        <v>0</v>
      </c>
      <c r="Q76" s="327"/>
      <c r="R76" s="329"/>
      <c r="S76" s="326"/>
      <c r="T76" s="326"/>
      <c r="U76" s="326"/>
      <c r="V76" s="326"/>
      <c r="W76" s="326"/>
      <c r="X76" s="326"/>
      <c r="Y76" s="1350">
        <f t="shared" si="7"/>
        <v>0</v>
      </c>
      <c r="Z76" s="1351">
        <f t="shared" si="8"/>
        <v>0</v>
      </c>
      <c r="AA76" s="326">
        <f t="shared" si="9"/>
        <v>0</v>
      </c>
      <c r="AB76" s="326">
        <f t="shared" si="10"/>
        <v>0</v>
      </c>
      <c r="AC76" s="326">
        <f t="shared" si="11"/>
        <v>0</v>
      </c>
      <c r="AD76" s="326">
        <f t="shared" si="12"/>
        <v>0</v>
      </c>
      <c r="AE76" s="326">
        <f t="shared" si="13"/>
        <v>0</v>
      </c>
      <c r="AF76" s="355"/>
      <c r="AG76" s="838"/>
      <c r="AH76" s="744"/>
      <c r="AI76" s="292"/>
      <c r="AK76" s="300"/>
      <c r="AS76" s="452"/>
    </row>
    <row r="77" spans="1:45" s="299" customFormat="1">
      <c r="A77" s="353">
        <v>305</v>
      </c>
      <c r="B77" s="352">
        <v>100</v>
      </c>
      <c r="C77" s="352">
        <v>50</v>
      </c>
      <c r="D77" s="352">
        <v>100</v>
      </c>
      <c r="E77" s="426">
        <v>20</v>
      </c>
      <c r="F77" s="357">
        <v>10</v>
      </c>
      <c r="G77" s="315" t="s">
        <v>628</v>
      </c>
      <c r="H77" s="329"/>
      <c r="I77" s="326"/>
      <c r="J77" s="358"/>
      <c r="K77" s="358"/>
      <c r="L77" s="358"/>
      <c r="M77" s="358"/>
      <c r="N77" s="327"/>
      <c r="O77" s="328"/>
      <c r="P77" s="326">
        <v>0</v>
      </c>
      <c r="Q77" s="327"/>
      <c r="R77" s="329"/>
      <c r="S77" s="326"/>
      <c r="T77" s="326"/>
      <c r="U77" s="326"/>
      <c r="V77" s="326"/>
      <c r="W77" s="326"/>
      <c r="X77" s="326"/>
      <c r="Y77" s="1350">
        <f t="shared" si="7"/>
        <v>0</v>
      </c>
      <c r="Z77" s="1351">
        <f t="shared" si="8"/>
        <v>0</v>
      </c>
      <c r="AA77" s="326">
        <f t="shared" si="9"/>
        <v>0</v>
      </c>
      <c r="AB77" s="326">
        <f t="shared" si="10"/>
        <v>0</v>
      </c>
      <c r="AC77" s="326">
        <f t="shared" si="11"/>
        <v>0</v>
      </c>
      <c r="AD77" s="326">
        <f t="shared" si="12"/>
        <v>0</v>
      </c>
      <c r="AE77" s="326">
        <f t="shared" si="13"/>
        <v>0</v>
      </c>
      <c r="AF77" s="355"/>
      <c r="AG77" s="838"/>
      <c r="AH77" s="744"/>
      <c r="AI77" s="292"/>
      <c r="AK77" s="300"/>
      <c r="AS77" s="452"/>
    </row>
    <row r="78" spans="1:45" s="299" customFormat="1" ht="27.6">
      <c r="A78" s="353">
        <v>305</v>
      </c>
      <c r="B78" s="352">
        <v>100</v>
      </c>
      <c r="C78" s="352">
        <v>50</v>
      </c>
      <c r="D78" s="352">
        <v>100</v>
      </c>
      <c r="E78" s="426">
        <v>20</v>
      </c>
      <c r="F78" s="357">
        <v>15</v>
      </c>
      <c r="G78" s="315" t="s">
        <v>629</v>
      </c>
      <c r="H78" s="329"/>
      <c r="I78" s="326"/>
      <c r="J78" s="358"/>
      <c r="K78" s="358"/>
      <c r="L78" s="358"/>
      <c r="M78" s="358"/>
      <c r="N78" s="327"/>
      <c r="O78" s="328"/>
      <c r="P78" s="326">
        <v>0</v>
      </c>
      <c r="Q78" s="327"/>
      <c r="R78" s="329"/>
      <c r="S78" s="326"/>
      <c r="T78" s="326"/>
      <c r="U78" s="326"/>
      <c r="V78" s="326"/>
      <c r="W78" s="326"/>
      <c r="X78" s="326"/>
      <c r="Y78" s="1350">
        <f t="shared" si="7"/>
        <v>0</v>
      </c>
      <c r="Z78" s="1351">
        <f t="shared" si="8"/>
        <v>0</v>
      </c>
      <c r="AA78" s="326">
        <f t="shared" si="9"/>
        <v>0</v>
      </c>
      <c r="AB78" s="326">
        <f t="shared" si="10"/>
        <v>0</v>
      </c>
      <c r="AC78" s="326">
        <f t="shared" si="11"/>
        <v>0</v>
      </c>
      <c r="AD78" s="326">
        <f t="shared" si="12"/>
        <v>0</v>
      </c>
      <c r="AE78" s="326">
        <f t="shared" si="13"/>
        <v>0</v>
      </c>
      <c r="AF78" s="355"/>
      <c r="AG78" s="838"/>
      <c r="AH78" s="744"/>
      <c r="AI78" s="292"/>
      <c r="AK78" s="300"/>
      <c r="AS78" s="452"/>
    </row>
    <row r="79" spans="1:45" s="299" customFormat="1" ht="27.6">
      <c r="A79" s="353">
        <v>305</v>
      </c>
      <c r="B79" s="352">
        <v>100</v>
      </c>
      <c r="C79" s="352">
        <v>50</v>
      </c>
      <c r="D79" s="352">
        <v>100</v>
      </c>
      <c r="E79" s="426">
        <v>20</v>
      </c>
      <c r="F79" s="357">
        <v>20</v>
      </c>
      <c r="G79" s="315" t="s">
        <v>630</v>
      </c>
      <c r="H79" s="314"/>
      <c r="I79" s="311"/>
      <c r="J79" s="319"/>
      <c r="K79" s="319"/>
      <c r="L79" s="319"/>
      <c r="M79" s="319"/>
      <c r="N79" s="312"/>
      <c r="O79" s="313"/>
      <c r="P79" s="311">
        <v>0</v>
      </c>
      <c r="Q79" s="312"/>
      <c r="R79" s="314"/>
      <c r="S79" s="311"/>
      <c r="T79" s="311"/>
      <c r="U79" s="311"/>
      <c r="V79" s="311"/>
      <c r="W79" s="311"/>
      <c r="X79" s="311"/>
      <c r="Y79" s="1356">
        <f t="shared" si="7"/>
        <v>0</v>
      </c>
      <c r="Z79" s="1357">
        <f t="shared" si="8"/>
        <v>0</v>
      </c>
      <c r="AA79" s="311">
        <f t="shared" si="9"/>
        <v>0</v>
      </c>
      <c r="AB79" s="311">
        <f t="shared" si="10"/>
        <v>0</v>
      </c>
      <c r="AC79" s="311">
        <f t="shared" si="11"/>
        <v>0</v>
      </c>
      <c r="AD79" s="311">
        <f t="shared" si="12"/>
        <v>0</v>
      </c>
      <c r="AE79" s="311">
        <f t="shared" si="13"/>
        <v>0</v>
      </c>
      <c r="AF79" s="355"/>
      <c r="AG79" s="838"/>
      <c r="AH79" s="744"/>
      <c r="AI79" s="292"/>
      <c r="AK79" s="300"/>
      <c r="AS79" s="452"/>
    </row>
    <row r="80" spans="1:45" s="299" customFormat="1" ht="27.6">
      <c r="A80" s="353">
        <v>305</v>
      </c>
      <c r="B80" s="352">
        <v>100</v>
      </c>
      <c r="C80" s="352">
        <v>50</v>
      </c>
      <c r="D80" s="352">
        <v>100</v>
      </c>
      <c r="E80" s="426">
        <v>20</v>
      </c>
      <c r="F80" s="357">
        <v>25</v>
      </c>
      <c r="G80" s="315" t="s">
        <v>631</v>
      </c>
      <c r="H80" s="314"/>
      <c r="I80" s="311"/>
      <c r="J80" s="319"/>
      <c r="K80" s="319"/>
      <c r="L80" s="319"/>
      <c r="M80" s="319"/>
      <c r="N80" s="312"/>
      <c r="O80" s="313"/>
      <c r="P80" s="311">
        <v>0</v>
      </c>
      <c r="Q80" s="312"/>
      <c r="R80" s="314"/>
      <c r="S80" s="311"/>
      <c r="T80" s="311"/>
      <c r="U80" s="311"/>
      <c r="V80" s="311"/>
      <c r="W80" s="311"/>
      <c r="X80" s="311"/>
      <c r="Y80" s="1356">
        <f t="shared" si="7"/>
        <v>0</v>
      </c>
      <c r="Z80" s="1357">
        <f t="shared" si="8"/>
        <v>0</v>
      </c>
      <c r="AA80" s="311">
        <f t="shared" si="9"/>
        <v>0</v>
      </c>
      <c r="AB80" s="311">
        <f t="shared" si="10"/>
        <v>0</v>
      </c>
      <c r="AC80" s="311">
        <f t="shared" si="11"/>
        <v>0</v>
      </c>
      <c r="AD80" s="311">
        <f t="shared" si="12"/>
        <v>0</v>
      </c>
      <c r="AE80" s="311">
        <f t="shared" si="13"/>
        <v>0</v>
      </c>
      <c r="AF80" s="355"/>
      <c r="AG80" s="838"/>
      <c r="AH80" s="744"/>
      <c r="AI80" s="292"/>
      <c r="AK80" s="300"/>
      <c r="AS80" s="452"/>
    </row>
    <row r="81" spans="1:45" s="299" customFormat="1">
      <c r="A81" s="353">
        <v>305</v>
      </c>
      <c r="B81" s="352">
        <v>100</v>
      </c>
      <c r="C81" s="352">
        <v>50</v>
      </c>
      <c r="D81" s="352">
        <v>100</v>
      </c>
      <c r="E81" s="426">
        <v>20</v>
      </c>
      <c r="F81" s="357">
        <v>30</v>
      </c>
      <c r="G81" s="315" t="s">
        <v>632</v>
      </c>
      <c r="H81" s="329"/>
      <c r="I81" s="326"/>
      <c r="J81" s="358"/>
      <c r="K81" s="358"/>
      <c r="L81" s="358"/>
      <c r="M81" s="358"/>
      <c r="N81" s="327"/>
      <c r="O81" s="328"/>
      <c r="P81" s="326">
        <v>0</v>
      </c>
      <c r="Q81" s="327"/>
      <c r="R81" s="329"/>
      <c r="S81" s="326"/>
      <c r="T81" s="326"/>
      <c r="U81" s="326"/>
      <c r="V81" s="326"/>
      <c r="W81" s="326"/>
      <c r="X81" s="326"/>
      <c r="Y81" s="1350">
        <f t="shared" si="7"/>
        <v>0</v>
      </c>
      <c r="Z81" s="1351">
        <f t="shared" si="8"/>
        <v>0</v>
      </c>
      <c r="AA81" s="326">
        <f t="shared" si="9"/>
        <v>0</v>
      </c>
      <c r="AB81" s="326">
        <f t="shared" si="10"/>
        <v>0</v>
      </c>
      <c r="AC81" s="326">
        <f t="shared" si="11"/>
        <v>0</v>
      </c>
      <c r="AD81" s="326">
        <f t="shared" si="12"/>
        <v>0</v>
      </c>
      <c r="AE81" s="326">
        <f t="shared" si="13"/>
        <v>0</v>
      </c>
      <c r="AF81" s="355"/>
      <c r="AG81" s="838"/>
      <c r="AH81" s="744"/>
      <c r="AI81" s="292"/>
      <c r="AK81" s="300"/>
      <c r="AS81" s="452"/>
    </row>
    <row r="82" spans="1:45" s="299" customFormat="1">
      <c r="A82" s="353">
        <v>305</v>
      </c>
      <c r="B82" s="352">
        <v>100</v>
      </c>
      <c r="C82" s="352">
        <v>50</v>
      </c>
      <c r="D82" s="352">
        <v>100</v>
      </c>
      <c r="E82" s="426">
        <v>20</v>
      </c>
      <c r="F82" s="357">
        <v>35</v>
      </c>
      <c r="G82" s="315" t="s">
        <v>633</v>
      </c>
      <c r="H82" s="329"/>
      <c r="I82" s="326"/>
      <c r="J82" s="358"/>
      <c r="K82" s="358"/>
      <c r="L82" s="358"/>
      <c r="M82" s="358"/>
      <c r="N82" s="327"/>
      <c r="O82" s="328"/>
      <c r="P82" s="326">
        <v>0</v>
      </c>
      <c r="Q82" s="327"/>
      <c r="R82" s="329"/>
      <c r="S82" s="326"/>
      <c r="T82" s="326"/>
      <c r="U82" s="326"/>
      <c r="V82" s="326"/>
      <c r="W82" s="326"/>
      <c r="X82" s="326"/>
      <c r="Y82" s="1350">
        <f t="shared" si="7"/>
        <v>0</v>
      </c>
      <c r="Z82" s="1351">
        <f t="shared" si="8"/>
        <v>0</v>
      </c>
      <c r="AA82" s="326">
        <f t="shared" si="9"/>
        <v>0</v>
      </c>
      <c r="AB82" s="326">
        <f t="shared" si="10"/>
        <v>0</v>
      </c>
      <c r="AC82" s="326">
        <f t="shared" si="11"/>
        <v>0</v>
      </c>
      <c r="AD82" s="326">
        <f t="shared" si="12"/>
        <v>0</v>
      </c>
      <c r="AE82" s="326">
        <f t="shared" si="13"/>
        <v>0</v>
      </c>
      <c r="AF82" s="355"/>
      <c r="AG82" s="838"/>
      <c r="AH82" s="744"/>
      <c r="AI82" s="292"/>
      <c r="AK82" s="300"/>
      <c r="AS82" s="452"/>
    </row>
    <row r="83" spans="1:45" s="299" customFormat="1">
      <c r="A83" s="353">
        <v>305</v>
      </c>
      <c r="B83" s="352">
        <v>100</v>
      </c>
      <c r="C83" s="352">
        <v>50</v>
      </c>
      <c r="D83" s="352">
        <v>100</v>
      </c>
      <c r="E83" s="426">
        <v>20</v>
      </c>
      <c r="F83" s="357">
        <v>40</v>
      </c>
      <c r="G83" s="315" t="s">
        <v>634</v>
      </c>
      <c r="H83" s="329"/>
      <c r="I83" s="326"/>
      <c r="J83" s="358"/>
      <c r="K83" s="358"/>
      <c r="L83" s="358"/>
      <c r="M83" s="358"/>
      <c r="N83" s="327"/>
      <c r="O83" s="328"/>
      <c r="P83" s="326">
        <v>0</v>
      </c>
      <c r="Q83" s="327"/>
      <c r="R83" s="329"/>
      <c r="S83" s="326"/>
      <c r="T83" s="326"/>
      <c r="U83" s="326"/>
      <c r="V83" s="326"/>
      <c r="W83" s="326"/>
      <c r="X83" s="326"/>
      <c r="Y83" s="1350">
        <f t="shared" si="7"/>
        <v>0</v>
      </c>
      <c r="Z83" s="1351">
        <f t="shared" si="8"/>
        <v>0</v>
      </c>
      <c r="AA83" s="326">
        <f t="shared" si="9"/>
        <v>0</v>
      </c>
      <c r="AB83" s="326">
        <f t="shared" si="10"/>
        <v>0</v>
      </c>
      <c r="AC83" s="326">
        <f t="shared" si="11"/>
        <v>0</v>
      </c>
      <c r="AD83" s="326">
        <f t="shared" si="12"/>
        <v>0</v>
      </c>
      <c r="AE83" s="326">
        <f t="shared" si="13"/>
        <v>0</v>
      </c>
      <c r="AF83" s="355"/>
      <c r="AG83" s="838"/>
      <c r="AH83" s="744"/>
      <c r="AI83" s="292"/>
      <c r="AK83" s="300"/>
      <c r="AS83" s="452"/>
    </row>
    <row r="84" spans="1:45" s="299" customFormat="1">
      <c r="A84" s="353">
        <v>305</v>
      </c>
      <c r="B84" s="352">
        <v>100</v>
      </c>
      <c r="C84" s="352">
        <v>50</v>
      </c>
      <c r="D84" s="352">
        <v>100</v>
      </c>
      <c r="E84" s="426">
        <v>20</v>
      </c>
      <c r="F84" s="357">
        <v>45</v>
      </c>
      <c r="G84" s="315" t="s">
        <v>635</v>
      </c>
      <c r="H84" s="314"/>
      <c r="I84" s="311"/>
      <c r="J84" s="319"/>
      <c r="K84" s="319"/>
      <c r="L84" s="319"/>
      <c r="M84" s="319"/>
      <c r="N84" s="312"/>
      <c r="O84" s="313"/>
      <c r="P84" s="311">
        <v>0</v>
      </c>
      <c r="Q84" s="312"/>
      <c r="R84" s="314"/>
      <c r="S84" s="311"/>
      <c r="T84" s="311"/>
      <c r="U84" s="311"/>
      <c r="V84" s="311"/>
      <c r="W84" s="311"/>
      <c r="X84" s="311"/>
      <c r="Y84" s="1356">
        <f t="shared" si="7"/>
        <v>0</v>
      </c>
      <c r="Z84" s="1357">
        <f t="shared" si="8"/>
        <v>0</v>
      </c>
      <c r="AA84" s="311">
        <f t="shared" si="9"/>
        <v>0</v>
      </c>
      <c r="AB84" s="311">
        <f t="shared" si="10"/>
        <v>0</v>
      </c>
      <c r="AC84" s="311">
        <f t="shared" si="11"/>
        <v>0</v>
      </c>
      <c r="AD84" s="311">
        <f t="shared" si="12"/>
        <v>0</v>
      </c>
      <c r="AE84" s="311">
        <f t="shared" si="13"/>
        <v>0</v>
      </c>
      <c r="AF84" s="355"/>
      <c r="AG84" s="838"/>
      <c r="AH84" s="744"/>
      <c r="AI84" s="292"/>
      <c r="AK84" s="300"/>
      <c r="AS84" s="452"/>
    </row>
    <row r="85" spans="1:45" s="299" customFormat="1">
      <c r="A85" s="353">
        <v>305</v>
      </c>
      <c r="B85" s="352">
        <v>100</v>
      </c>
      <c r="C85" s="352">
        <v>50</v>
      </c>
      <c r="D85" s="352">
        <v>100</v>
      </c>
      <c r="E85" s="426">
        <v>20</v>
      </c>
      <c r="F85" s="357">
        <v>50</v>
      </c>
      <c r="G85" s="315" t="s">
        <v>636</v>
      </c>
      <c r="H85" s="314"/>
      <c r="I85" s="311"/>
      <c r="J85" s="319"/>
      <c r="K85" s="319"/>
      <c r="L85" s="319"/>
      <c r="M85" s="319"/>
      <c r="N85" s="312"/>
      <c r="O85" s="313"/>
      <c r="P85" s="311">
        <v>0</v>
      </c>
      <c r="Q85" s="312"/>
      <c r="R85" s="314"/>
      <c r="S85" s="311"/>
      <c r="T85" s="311"/>
      <c r="U85" s="311"/>
      <c r="V85" s="311"/>
      <c r="W85" s="311"/>
      <c r="X85" s="311"/>
      <c r="Y85" s="1356">
        <f t="shared" si="7"/>
        <v>0</v>
      </c>
      <c r="Z85" s="1357">
        <f t="shared" si="8"/>
        <v>0</v>
      </c>
      <c r="AA85" s="311">
        <f t="shared" si="9"/>
        <v>0</v>
      </c>
      <c r="AB85" s="311">
        <f t="shared" si="10"/>
        <v>0</v>
      </c>
      <c r="AC85" s="311">
        <f t="shared" si="11"/>
        <v>0</v>
      </c>
      <c r="AD85" s="311">
        <f t="shared" si="12"/>
        <v>0</v>
      </c>
      <c r="AE85" s="311">
        <f t="shared" si="13"/>
        <v>0</v>
      </c>
      <c r="AF85" s="355"/>
      <c r="AG85" s="838"/>
      <c r="AH85" s="744"/>
      <c r="AI85" s="292"/>
      <c r="AK85" s="300"/>
      <c r="AS85" s="452"/>
    </row>
    <row r="86" spans="1:45" s="299" customFormat="1">
      <c r="A86" s="353">
        <v>305</v>
      </c>
      <c r="B86" s="352">
        <v>100</v>
      </c>
      <c r="C86" s="352">
        <v>50</v>
      </c>
      <c r="D86" s="352">
        <v>100</v>
      </c>
      <c r="E86" s="426">
        <v>20</v>
      </c>
      <c r="F86" s="357">
        <v>55</v>
      </c>
      <c r="G86" s="315" t="s">
        <v>637</v>
      </c>
      <c r="H86" s="329"/>
      <c r="I86" s="326"/>
      <c r="J86" s="358"/>
      <c r="K86" s="358"/>
      <c r="L86" s="358"/>
      <c r="M86" s="358"/>
      <c r="N86" s="327"/>
      <c r="O86" s="328"/>
      <c r="P86" s="326">
        <v>0</v>
      </c>
      <c r="Q86" s="327"/>
      <c r="R86" s="329"/>
      <c r="S86" s="326"/>
      <c r="T86" s="326"/>
      <c r="U86" s="326"/>
      <c r="V86" s="326"/>
      <c r="W86" s="326"/>
      <c r="X86" s="326"/>
      <c r="Y86" s="1350">
        <f t="shared" si="7"/>
        <v>0</v>
      </c>
      <c r="Z86" s="1351">
        <f t="shared" si="8"/>
        <v>0</v>
      </c>
      <c r="AA86" s="326">
        <f t="shared" si="9"/>
        <v>0</v>
      </c>
      <c r="AB86" s="326">
        <f t="shared" si="10"/>
        <v>0</v>
      </c>
      <c r="AC86" s="326">
        <f t="shared" si="11"/>
        <v>0</v>
      </c>
      <c r="AD86" s="326">
        <f t="shared" si="12"/>
        <v>0</v>
      </c>
      <c r="AE86" s="326">
        <f t="shared" si="13"/>
        <v>0</v>
      </c>
      <c r="AF86" s="355"/>
      <c r="AG86" s="838"/>
      <c r="AH86" s="744"/>
      <c r="AI86" s="292"/>
      <c r="AK86" s="300"/>
      <c r="AS86" s="452"/>
    </row>
    <row r="87" spans="1:45" s="299" customFormat="1" ht="27.6">
      <c r="A87" s="353">
        <v>305</v>
      </c>
      <c r="B87" s="352">
        <v>100</v>
      </c>
      <c r="C87" s="352">
        <v>50</v>
      </c>
      <c r="D87" s="352">
        <v>100</v>
      </c>
      <c r="E87" s="352">
        <v>30</v>
      </c>
      <c r="F87" s="352"/>
      <c r="G87" s="323" t="s">
        <v>640</v>
      </c>
      <c r="H87" s="334"/>
      <c r="I87" s="331"/>
      <c r="J87" s="359"/>
      <c r="K87" s="359"/>
      <c r="L87" s="359"/>
      <c r="M87" s="359"/>
      <c r="N87" s="332"/>
      <c r="O87" s="333"/>
      <c r="P87" s="331">
        <v>0</v>
      </c>
      <c r="Q87" s="332"/>
      <c r="R87" s="334"/>
      <c r="S87" s="331"/>
      <c r="T87" s="331"/>
      <c r="U87" s="331"/>
      <c r="V87" s="331"/>
      <c r="W87" s="331"/>
      <c r="X87" s="331"/>
      <c r="Y87" s="1352">
        <f t="shared" si="7"/>
        <v>0</v>
      </c>
      <c r="Z87" s="1353">
        <f t="shared" si="8"/>
        <v>0</v>
      </c>
      <c r="AA87" s="331">
        <f t="shared" si="9"/>
        <v>0</v>
      </c>
      <c r="AB87" s="331">
        <f t="shared" si="10"/>
        <v>0</v>
      </c>
      <c r="AC87" s="331">
        <f t="shared" si="11"/>
        <v>0</v>
      </c>
      <c r="AD87" s="331">
        <f t="shared" si="12"/>
        <v>0</v>
      </c>
      <c r="AE87" s="331">
        <f t="shared" si="13"/>
        <v>0</v>
      </c>
      <c r="AF87" s="355" t="s">
        <v>641</v>
      </c>
      <c r="AG87" s="838"/>
      <c r="AH87" s="744"/>
      <c r="AI87" s="292"/>
      <c r="AK87" s="300"/>
      <c r="AS87" s="452"/>
    </row>
    <row r="88" spans="1:45" s="299" customFormat="1" ht="27.6">
      <c r="A88" s="353">
        <v>305</v>
      </c>
      <c r="B88" s="352">
        <v>100</v>
      </c>
      <c r="C88" s="352">
        <v>50</v>
      </c>
      <c r="D88" s="352">
        <v>100</v>
      </c>
      <c r="E88" s="352">
        <v>30</v>
      </c>
      <c r="F88" s="357">
        <v>5</v>
      </c>
      <c r="G88" s="315" t="s">
        <v>642</v>
      </c>
      <c r="H88" s="314"/>
      <c r="I88" s="311"/>
      <c r="J88" s="319"/>
      <c r="K88" s="319"/>
      <c r="L88" s="319"/>
      <c r="M88" s="319"/>
      <c r="N88" s="312"/>
      <c r="O88" s="313"/>
      <c r="P88" s="311">
        <v>0</v>
      </c>
      <c r="Q88" s="312"/>
      <c r="R88" s="314"/>
      <c r="S88" s="311"/>
      <c r="T88" s="311"/>
      <c r="U88" s="311"/>
      <c r="V88" s="311"/>
      <c r="W88" s="311"/>
      <c r="X88" s="311"/>
      <c r="Y88" s="1356">
        <f t="shared" si="7"/>
        <v>0</v>
      </c>
      <c r="Z88" s="1357">
        <f t="shared" si="8"/>
        <v>0</v>
      </c>
      <c r="AA88" s="311">
        <f t="shared" si="9"/>
        <v>0</v>
      </c>
      <c r="AB88" s="311">
        <f t="shared" si="10"/>
        <v>0</v>
      </c>
      <c r="AC88" s="311">
        <f t="shared" si="11"/>
        <v>0</v>
      </c>
      <c r="AD88" s="311">
        <f t="shared" si="12"/>
        <v>0</v>
      </c>
      <c r="AE88" s="311">
        <f t="shared" si="13"/>
        <v>0</v>
      </c>
      <c r="AF88" s="355"/>
      <c r="AG88" s="838"/>
      <c r="AH88" s="744"/>
      <c r="AI88" s="292"/>
      <c r="AK88" s="300"/>
      <c r="AS88" s="452"/>
    </row>
    <row r="89" spans="1:45" s="299" customFormat="1" ht="27.6">
      <c r="A89" s="353">
        <v>305</v>
      </c>
      <c r="B89" s="352">
        <v>100</v>
      </c>
      <c r="C89" s="352">
        <v>50</v>
      </c>
      <c r="D89" s="352">
        <v>100</v>
      </c>
      <c r="E89" s="352">
        <v>30</v>
      </c>
      <c r="F89" s="357">
        <v>10</v>
      </c>
      <c r="G89" s="315" t="s">
        <v>643</v>
      </c>
      <c r="H89" s="314"/>
      <c r="I89" s="311"/>
      <c r="J89" s="319"/>
      <c r="K89" s="319"/>
      <c r="L89" s="319"/>
      <c r="M89" s="319"/>
      <c r="N89" s="312"/>
      <c r="O89" s="313"/>
      <c r="P89" s="311">
        <v>0</v>
      </c>
      <c r="Q89" s="312"/>
      <c r="R89" s="314"/>
      <c r="S89" s="311"/>
      <c r="T89" s="311"/>
      <c r="U89" s="311"/>
      <c r="V89" s="311"/>
      <c r="W89" s="311"/>
      <c r="X89" s="311"/>
      <c r="Y89" s="1356">
        <f t="shared" si="7"/>
        <v>0</v>
      </c>
      <c r="Z89" s="1357">
        <f t="shared" si="8"/>
        <v>0</v>
      </c>
      <c r="AA89" s="311">
        <f t="shared" si="9"/>
        <v>0</v>
      </c>
      <c r="AB89" s="311">
        <f t="shared" si="10"/>
        <v>0</v>
      </c>
      <c r="AC89" s="311">
        <f t="shared" si="11"/>
        <v>0</v>
      </c>
      <c r="AD89" s="311">
        <f t="shared" si="12"/>
        <v>0</v>
      </c>
      <c r="AE89" s="311">
        <f t="shared" si="13"/>
        <v>0</v>
      </c>
      <c r="AF89" s="355"/>
      <c r="AG89" s="838"/>
      <c r="AH89" s="744"/>
      <c r="AI89" s="292"/>
      <c r="AK89" s="300"/>
      <c r="AS89" s="452"/>
    </row>
    <row r="90" spans="1:45" s="299" customFormat="1" ht="27.6">
      <c r="A90" s="353">
        <v>305</v>
      </c>
      <c r="B90" s="352">
        <v>100</v>
      </c>
      <c r="C90" s="352">
        <v>50</v>
      </c>
      <c r="D90" s="352">
        <v>100</v>
      </c>
      <c r="E90" s="352">
        <v>30</v>
      </c>
      <c r="F90" s="357">
        <v>15</v>
      </c>
      <c r="G90" s="315" t="s">
        <v>644</v>
      </c>
      <c r="H90" s="329"/>
      <c r="I90" s="326"/>
      <c r="J90" s="358"/>
      <c r="K90" s="358"/>
      <c r="L90" s="358"/>
      <c r="M90" s="358"/>
      <c r="N90" s="327"/>
      <c r="O90" s="328"/>
      <c r="P90" s="326">
        <v>0</v>
      </c>
      <c r="Q90" s="327"/>
      <c r="R90" s="329"/>
      <c r="S90" s="326"/>
      <c r="T90" s="326"/>
      <c r="U90" s="326"/>
      <c r="V90" s="326"/>
      <c r="W90" s="326"/>
      <c r="X90" s="326"/>
      <c r="Y90" s="1350">
        <f t="shared" si="7"/>
        <v>0</v>
      </c>
      <c r="Z90" s="1351">
        <f t="shared" si="8"/>
        <v>0</v>
      </c>
      <c r="AA90" s="326">
        <f t="shared" si="9"/>
        <v>0</v>
      </c>
      <c r="AB90" s="326">
        <f t="shared" si="10"/>
        <v>0</v>
      </c>
      <c r="AC90" s="326">
        <f t="shared" si="11"/>
        <v>0</v>
      </c>
      <c r="AD90" s="326">
        <f t="shared" si="12"/>
        <v>0</v>
      </c>
      <c r="AE90" s="326">
        <f t="shared" si="13"/>
        <v>0</v>
      </c>
      <c r="AF90" s="355"/>
      <c r="AG90" s="838"/>
      <c r="AH90" s="744"/>
      <c r="AI90" s="292"/>
      <c r="AK90" s="300"/>
      <c r="AS90" s="452"/>
    </row>
    <row r="91" spans="1:45" s="299" customFormat="1" ht="41.4">
      <c r="A91" s="353">
        <v>305</v>
      </c>
      <c r="B91" s="352">
        <v>100</v>
      </c>
      <c r="C91" s="352">
        <v>50</v>
      </c>
      <c r="D91" s="352">
        <v>100</v>
      </c>
      <c r="E91" s="352">
        <v>30</v>
      </c>
      <c r="F91" s="357">
        <v>20</v>
      </c>
      <c r="G91" s="315" t="s">
        <v>645</v>
      </c>
      <c r="H91" s="314"/>
      <c r="I91" s="311"/>
      <c r="J91" s="319"/>
      <c r="K91" s="319"/>
      <c r="L91" s="319"/>
      <c r="M91" s="319"/>
      <c r="N91" s="312"/>
      <c r="O91" s="313"/>
      <c r="P91" s="311">
        <v>0</v>
      </c>
      <c r="Q91" s="312"/>
      <c r="R91" s="314"/>
      <c r="S91" s="311"/>
      <c r="T91" s="311"/>
      <c r="U91" s="311"/>
      <c r="V91" s="311"/>
      <c r="W91" s="311"/>
      <c r="X91" s="311"/>
      <c r="Y91" s="1356">
        <f t="shared" si="7"/>
        <v>0</v>
      </c>
      <c r="Z91" s="1357">
        <f t="shared" si="8"/>
        <v>0</v>
      </c>
      <c r="AA91" s="311">
        <f t="shared" si="9"/>
        <v>0</v>
      </c>
      <c r="AB91" s="311">
        <f t="shared" si="10"/>
        <v>0</v>
      </c>
      <c r="AC91" s="311">
        <f t="shared" si="11"/>
        <v>0</v>
      </c>
      <c r="AD91" s="311">
        <f t="shared" si="12"/>
        <v>0</v>
      </c>
      <c r="AE91" s="311">
        <f t="shared" si="13"/>
        <v>0</v>
      </c>
      <c r="AF91" s="355"/>
      <c r="AG91" s="838"/>
      <c r="AH91" s="744"/>
      <c r="AI91" s="292"/>
      <c r="AK91" s="300"/>
      <c r="AS91" s="452"/>
    </row>
    <row r="92" spans="1:45" s="299" customFormat="1" ht="41.4">
      <c r="A92" s="353">
        <v>305</v>
      </c>
      <c r="B92" s="352">
        <v>100</v>
      </c>
      <c r="C92" s="352">
        <v>50</v>
      </c>
      <c r="D92" s="352">
        <v>100</v>
      </c>
      <c r="E92" s="352">
        <v>30</v>
      </c>
      <c r="F92" s="357">
        <v>25</v>
      </c>
      <c r="G92" s="315" t="s">
        <v>646</v>
      </c>
      <c r="H92" s="314"/>
      <c r="I92" s="311"/>
      <c r="J92" s="319"/>
      <c r="K92" s="319"/>
      <c r="L92" s="319"/>
      <c r="M92" s="319"/>
      <c r="N92" s="312"/>
      <c r="O92" s="313"/>
      <c r="P92" s="311">
        <v>0</v>
      </c>
      <c r="Q92" s="312"/>
      <c r="R92" s="314"/>
      <c r="S92" s="311"/>
      <c r="T92" s="311"/>
      <c r="U92" s="311"/>
      <c r="V92" s="311"/>
      <c r="W92" s="311"/>
      <c r="X92" s="311"/>
      <c r="Y92" s="1356">
        <f t="shared" si="7"/>
        <v>0</v>
      </c>
      <c r="Z92" s="1357">
        <f t="shared" si="8"/>
        <v>0</v>
      </c>
      <c r="AA92" s="311">
        <f t="shared" si="9"/>
        <v>0</v>
      </c>
      <c r="AB92" s="311">
        <f t="shared" si="10"/>
        <v>0</v>
      </c>
      <c r="AC92" s="311">
        <f t="shared" si="11"/>
        <v>0</v>
      </c>
      <c r="AD92" s="311">
        <f t="shared" si="12"/>
        <v>0</v>
      </c>
      <c r="AE92" s="311">
        <f t="shared" si="13"/>
        <v>0</v>
      </c>
      <c r="AF92" s="355"/>
      <c r="AG92" s="838"/>
      <c r="AH92" s="744"/>
      <c r="AI92" s="292"/>
      <c r="AK92" s="300"/>
      <c r="AS92" s="452"/>
    </row>
    <row r="93" spans="1:45" s="299" customFormat="1" ht="41.4">
      <c r="A93" s="353">
        <v>305</v>
      </c>
      <c r="B93" s="352">
        <v>100</v>
      </c>
      <c r="C93" s="352">
        <v>50</v>
      </c>
      <c r="D93" s="352">
        <v>100</v>
      </c>
      <c r="E93" s="352">
        <v>30</v>
      </c>
      <c r="F93" s="357">
        <v>30</v>
      </c>
      <c r="G93" s="315" t="s">
        <v>647</v>
      </c>
      <c r="H93" s="329"/>
      <c r="I93" s="326"/>
      <c r="J93" s="358"/>
      <c r="K93" s="358"/>
      <c r="L93" s="358"/>
      <c r="M93" s="358"/>
      <c r="N93" s="327"/>
      <c r="O93" s="328"/>
      <c r="P93" s="326">
        <v>0</v>
      </c>
      <c r="Q93" s="327"/>
      <c r="R93" s="329"/>
      <c r="S93" s="326"/>
      <c r="T93" s="326"/>
      <c r="U93" s="326"/>
      <c r="V93" s="326"/>
      <c r="W93" s="326"/>
      <c r="X93" s="326"/>
      <c r="Y93" s="1350">
        <f t="shared" si="7"/>
        <v>0</v>
      </c>
      <c r="Z93" s="1351">
        <f t="shared" si="8"/>
        <v>0</v>
      </c>
      <c r="AA93" s="326">
        <f t="shared" si="9"/>
        <v>0</v>
      </c>
      <c r="AB93" s="326">
        <f t="shared" si="10"/>
        <v>0</v>
      </c>
      <c r="AC93" s="326">
        <f t="shared" si="11"/>
        <v>0</v>
      </c>
      <c r="AD93" s="326">
        <f t="shared" si="12"/>
        <v>0</v>
      </c>
      <c r="AE93" s="326">
        <f t="shared" si="13"/>
        <v>0</v>
      </c>
      <c r="AF93" s="355"/>
      <c r="AG93" s="838"/>
      <c r="AH93" s="744"/>
      <c r="AI93" s="292"/>
      <c r="AK93" s="300"/>
      <c r="AS93" s="452"/>
    </row>
    <row r="94" spans="1:45" s="299" customFormat="1" ht="41.4">
      <c r="A94" s="353">
        <v>305</v>
      </c>
      <c r="B94" s="352">
        <v>100</v>
      </c>
      <c r="C94" s="352">
        <v>50</v>
      </c>
      <c r="D94" s="352">
        <v>100</v>
      </c>
      <c r="E94" s="352">
        <v>30</v>
      </c>
      <c r="F94" s="357">
        <v>35</v>
      </c>
      <c r="G94" s="315" t="s">
        <v>648</v>
      </c>
      <c r="H94" s="314"/>
      <c r="I94" s="311"/>
      <c r="J94" s="319"/>
      <c r="K94" s="319"/>
      <c r="L94" s="319"/>
      <c r="M94" s="319"/>
      <c r="N94" s="312"/>
      <c r="O94" s="313"/>
      <c r="P94" s="311">
        <v>0</v>
      </c>
      <c r="Q94" s="312"/>
      <c r="R94" s="314"/>
      <c r="S94" s="311"/>
      <c r="T94" s="311"/>
      <c r="U94" s="311"/>
      <c r="V94" s="311"/>
      <c r="W94" s="311"/>
      <c r="X94" s="311"/>
      <c r="Y94" s="1356">
        <f t="shared" si="7"/>
        <v>0</v>
      </c>
      <c r="Z94" s="1357">
        <f t="shared" si="8"/>
        <v>0</v>
      </c>
      <c r="AA94" s="311">
        <f t="shared" si="9"/>
        <v>0</v>
      </c>
      <c r="AB94" s="311">
        <f t="shared" si="10"/>
        <v>0</v>
      </c>
      <c r="AC94" s="311">
        <f t="shared" si="11"/>
        <v>0</v>
      </c>
      <c r="AD94" s="311">
        <f t="shared" si="12"/>
        <v>0</v>
      </c>
      <c r="AE94" s="311">
        <f t="shared" si="13"/>
        <v>0</v>
      </c>
      <c r="AF94" s="355"/>
      <c r="AG94" s="838"/>
      <c r="AH94" s="744"/>
      <c r="AI94" s="292"/>
      <c r="AK94" s="300"/>
      <c r="AS94" s="452"/>
    </row>
    <row r="95" spans="1:45" s="299" customFormat="1">
      <c r="A95" s="353">
        <v>305</v>
      </c>
      <c r="B95" s="352">
        <v>100</v>
      </c>
      <c r="C95" s="352">
        <v>50</v>
      </c>
      <c r="D95" s="352">
        <v>100</v>
      </c>
      <c r="E95" s="352">
        <v>30</v>
      </c>
      <c r="F95" s="357">
        <v>40</v>
      </c>
      <c r="G95" s="315" t="s">
        <v>649</v>
      </c>
      <c r="H95" s="314"/>
      <c r="I95" s="311"/>
      <c r="J95" s="319"/>
      <c r="K95" s="319"/>
      <c r="L95" s="319"/>
      <c r="M95" s="319"/>
      <c r="N95" s="312"/>
      <c r="O95" s="313"/>
      <c r="P95" s="311">
        <v>0</v>
      </c>
      <c r="Q95" s="312"/>
      <c r="R95" s="314"/>
      <c r="S95" s="311"/>
      <c r="T95" s="311"/>
      <c r="U95" s="311"/>
      <c r="V95" s="311"/>
      <c r="W95" s="311"/>
      <c r="X95" s="311"/>
      <c r="Y95" s="1356">
        <f t="shared" si="7"/>
        <v>0</v>
      </c>
      <c r="Z95" s="1357">
        <f t="shared" si="8"/>
        <v>0</v>
      </c>
      <c r="AA95" s="311">
        <f t="shared" si="9"/>
        <v>0</v>
      </c>
      <c r="AB95" s="311">
        <f t="shared" si="10"/>
        <v>0</v>
      </c>
      <c r="AC95" s="311">
        <f t="shared" si="11"/>
        <v>0</v>
      </c>
      <c r="AD95" s="311">
        <f t="shared" si="12"/>
        <v>0</v>
      </c>
      <c r="AE95" s="311">
        <f t="shared" si="13"/>
        <v>0</v>
      </c>
      <c r="AF95" s="355"/>
      <c r="AG95" s="838"/>
      <c r="AH95" s="744"/>
      <c r="AI95" s="292"/>
      <c r="AK95" s="300"/>
      <c r="AS95" s="452"/>
    </row>
    <row r="96" spans="1:45" s="299" customFormat="1" ht="41.4">
      <c r="A96" s="353">
        <v>305</v>
      </c>
      <c r="B96" s="352">
        <v>100</v>
      </c>
      <c r="C96" s="352">
        <v>50</v>
      </c>
      <c r="D96" s="352">
        <v>100</v>
      </c>
      <c r="E96" s="352">
        <v>30</v>
      </c>
      <c r="F96" s="357">
        <v>45</v>
      </c>
      <c r="G96" s="315" t="s">
        <v>650</v>
      </c>
      <c r="H96" s="329"/>
      <c r="I96" s="326"/>
      <c r="J96" s="358"/>
      <c r="K96" s="358"/>
      <c r="L96" s="358"/>
      <c r="M96" s="358"/>
      <c r="N96" s="327"/>
      <c r="O96" s="328"/>
      <c r="P96" s="326">
        <v>0</v>
      </c>
      <c r="Q96" s="327"/>
      <c r="R96" s="329"/>
      <c r="S96" s="326"/>
      <c r="T96" s="326"/>
      <c r="U96" s="326"/>
      <c r="V96" s="326"/>
      <c r="W96" s="326"/>
      <c r="X96" s="326"/>
      <c r="Y96" s="1350">
        <f t="shared" si="7"/>
        <v>0</v>
      </c>
      <c r="Z96" s="1351">
        <f t="shared" si="8"/>
        <v>0</v>
      </c>
      <c r="AA96" s="326">
        <f t="shared" si="9"/>
        <v>0</v>
      </c>
      <c r="AB96" s="326">
        <f t="shared" si="10"/>
        <v>0</v>
      </c>
      <c r="AC96" s="326">
        <f t="shared" si="11"/>
        <v>0</v>
      </c>
      <c r="AD96" s="326">
        <f t="shared" si="12"/>
        <v>0</v>
      </c>
      <c r="AE96" s="326">
        <f t="shared" si="13"/>
        <v>0</v>
      </c>
      <c r="AF96" s="355"/>
      <c r="AG96" s="838"/>
      <c r="AH96" s="744"/>
      <c r="AI96" s="292"/>
      <c r="AK96" s="300"/>
      <c r="AS96" s="452"/>
    </row>
    <row r="97" spans="1:45" s="299" customFormat="1" ht="27.6">
      <c r="A97" s="353">
        <v>305</v>
      </c>
      <c r="B97" s="352">
        <v>100</v>
      </c>
      <c r="C97" s="352">
        <v>50</v>
      </c>
      <c r="D97" s="352">
        <v>100</v>
      </c>
      <c r="E97" s="352">
        <v>30</v>
      </c>
      <c r="F97" s="357">
        <v>50</v>
      </c>
      <c r="G97" s="315" t="s">
        <v>651</v>
      </c>
      <c r="H97" s="314"/>
      <c r="I97" s="311"/>
      <c r="J97" s="319"/>
      <c r="K97" s="319"/>
      <c r="L97" s="319"/>
      <c r="M97" s="319"/>
      <c r="N97" s="312"/>
      <c r="O97" s="313"/>
      <c r="P97" s="311">
        <v>0</v>
      </c>
      <c r="Q97" s="312"/>
      <c r="R97" s="314"/>
      <c r="S97" s="311"/>
      <c r="T97" s="311"/>
      <c r="U97" s="311"/>
      <c r="V97" s="311"/>
      <c r="W97" s="311"/>
      <c r="X97" s="311"/>
      <c r="Y97" s="1356">
        <f t="shared" si="7"/>
        <v>0</v>
      </c>
      <c r="Z97" s="1357">
        <f t="shared" si="8"/>
        <v>0</v>
      </c>
      <c r="AA97" s="311">
        <f t="shared" si="9"/>
        <v>0</v>
      </c>
      <c r="AB97" s="311">
        <f t="shared" si="10"/>
        <v>0</v>
      </c>
      <c r="AC97" s="311">
        <f t="shared" si="11"/>
        <v>0</v>
      </c>
      <c r="AD97" s="311">
        <f t="shared" si="12"/>
        <v>0</v>
      </c>
      <c r="AE97" s="311">
        <f t="shared" si="13"/>
        <v>0</v>
      </c>
      <c r="AF97" s="355"/>
      <c r="AG97" s="838"/>
      <c r="AH97" s="744"/>
      <c r="AI97" s="292"/>
      <c r="AK97" s="300"/>
      <c r="AS97" s="452"/>
    </row>
    <row r="98" spans="1:45" s="299" customFormat="1" ht="27.6">
      <c r="A98" s="353">
        <v>305</v>
      </c>
      <c r="B98" s="352">
        <v>100</v>
      </c>
      <c r="C98" s="352">
        <v>50</v>
      </c>
      <c r="D98" s="352">
        <v>100</v>
      </c>
      <c r="E98" s="352">
        <v>30</v>
      </c>
      <c r="F98" s="357">
        <v>55</v>
      </c>
      <c r="G98" s="315" t="s">
        <v>652</v>
      </c>
      <c r="H98" s="314"/>
      <c r="I98" s="311"/>
      <c r="J98" s="319"/>
      <c r="K98" s="319"/>
      <c r="L98" s="319"/>
      <c r="M98" s="319"/>
      <c r="N98" s="312"/>
      <c r="O98" s="313"/>
      <c r="P98" s="311">
        <v>0</v>
      </c>
      <c r="Q98" s="312"/>
      <c r="R98" s="314"/>
      <c r="S98" s="311"/>
      <c r="T98" s="311"/>
      <c r="U98" s="311"/>
      <c r="V98" s="311"/>
      <c r="W98" s="311"/>
      <c r="X98" s="311"/>
      <c r="Y98" s="1356">
        <f t="shared" si="7"/>
        <v>0</v>
      </c>
      <c r="Z98" s="1357">
        <f t="shared" si="8"/>
        <v>0</v>
      </c>
      <c r="AA98" s="311">
        <f t="shared" si="9"/>
        <v>0</v>
      </c>
      <c r="AB98" s="311">
        <f t="shared" si="10"/>
        <v>0</v>
      </c>
      <c r="AC98" s="311">
        <f t="shared" si="11"/>
        <v>0</v>
      </c>
      <c r="AD98" s="311">
        <f t="shared" si="12"/>
        <v>0</v>
      </c>
      <c r="AE98" s="311">
        <f t="shared" si="13"/>
        <v>0</v>
      </c>
      <c r="AF98" s="355"/>
      <c r="AG98" s="838"/>
      <c r="AH98" s="744"/>
      <c r="AI98" s="292"/>
      <c r="AK98" s="300"/>
      <c r="AS98" s="452"/>
    </row>
    <row r="99" spans="1:45" s="299" customFormat="1" ht="27.6">
      <c r="A99" s="353">
        <v>305</v>
      </c>
      <c r="B99" s="352">
        <v>100</v>
      </c>
      <c r="C99" s="352">
        <v>50</v>
      </c>
      <c r="D99" s="352">
        <v>100</v>
      </c>
      <c r="E99" s="352">
        <v>30</v>
      </c>
      <c r="F99" s="357">
        <v>60</v>
      </c>
      <c r="G99" s="315" t="s">
        <v>653</v>
      </c>
      <c r="H99" s="314"/>
      <c r="I99" s="311"/>
      <c r="J99" s="319"/>
      <c r="K99" s="319"/>
      <c r="L99" s="319"/>
      <c r="M99" s="319"/>
      <c r="N99" s="312"/>
      <c r="O99" s="313"/>
      <c r="P99" s="311">
        <v>0</v>
      </c>
      <c r="Q99" s="312"/>
      <c r="R99" s="314"/>
      <c r="S99" s="311"/>
      <c r="T99" s="311"/>
      <c r="U99" s="311"/>
      <c r="V99" s="311"/>
      <c r="W99" s="311"/>
      <c r="X99" s="311"/>
      <c r="Y99" s="1356">
        <f t="shared" si="7"/>
        <v>0</v>
      </c>
      <c r="Z99" s="1357">
        <f t="shared" si="8"/>
        <v>0</v>
      </c>
      <c r="AA99" s="311">
        <f t="shared" si="9"/>
        <v>0</v>
      </c>
      <c r="AB99" s="311">
        <f t="shared" si="10"/>
        <v>0</v>
      </c>
      <c r="AC99" s="311">
        <f t="shared" si="11"/>
        <v>0</v>
      </c>
      <c r="AD99" s="311">
        <f t="shared" si="12"/>
        <v>0</v>
      </c>
      <c r="AE99" s="311">
        <f t="shared" si="13"/>
        <v>0</v>
      </c>
      <c r="AF99" s="355"/>
      <c r="AG99" s="838"/>
      <c r="AH99" s="744"/>
      <c r="AI99" s="292"/>
      <c r="AK99" s="300"/>
      <c r="AS99" s="452"/>
    </row>
    <row r="100" spans="1:45" s="299" customFormat="1" ht="27.6">
      <c r="A100" s="353">
        <v>305</v>
      </c>
      <c r="B100" s="352">
        <v>100</v>
      </c>
      <c r="C100" s="352">
        <v>50</v>
      </c>
      <c r="D100" s="352">
        <v>100</v>
      </c>
      <c r="E100" s="352">
        <v>30</v>
      </c>
      <c r="F100" s="357">
        <v>65</v>
      </c>
      <c r="G100" s="315" t="s">
        <v>654</v>
      </c>
      <c r="H100" s="314"/>
      <c r="I100" s="311"/>
      <c r="J100" s="319"/>
      <c r="K100" s="319"/>
      <c r="L100" s="319"/>
      <c r="M100" s="319"/>
      <c r="N100" s="312"/>
      <c r="O100" s="313"/>
      <c r="P100" s="311">
        <v>0</v>
      </c>
      <c r="Q100" s="312"/>
      <c r="R100" s="314"/>
      <c r="S100" s="311"/>
      <c r="T100" s="311"/>
      <c r="U100" s="311"/>
      <c r="V100" s="311"/>
      <c r="W100" s="311"/>
      <c r="X100" s="311"/>
      <c r="Y100" s="1356">
        <f t="shared" si="7"/>
        <v>0</v>
      </c>
      <c r="Z100" s="1357">
        <f t="shared" si="8"/>
        <v>0</v>
      </c>
      <c r="AA100" s="311">
        <f t="shared" si="9"/>
        <v>0</v>
      </c>
      <c r="AB100" s="311">
        <f t="shared" si="10"/>
        <v>0</v>
      </c>
      <c r="AC100" s="311">
        <f t="shared" si="11"/>
        <v>0</v>
      </c>
      <c r="AD100" s="311">
        <f t="shared" si="12"/>
        <v>0</v>
      </c>
      <c r="AE100" s="311">
        <f t="shared" si="13"/>
        <v>0</v>
      </c>
      <c r="AF100" s="355"/>
      <c r="AG100" s="838"/>
      <c r="AH100" s="744"/>
      <c r="AI100" s="292"/>
      <c r="AK100" s="300"/>
      <c r="AS100" s="452"/>
    </row>
    <row r="101" spans="1:45" s="299" customFormat="1" ht="27.6">
      <c r="A101" s="353">
        <v>305</v>
      </c>
      <c r="B101" s="352">
        <v>100</v>
      </c>
      <c r="C101" s="352">
        <v>50</v>
      </c>
      <c r="D101" s="352">
        <v>100</v>
      </c>
      <c r="E101" s="352">
        <v>30</v>
      </c>
      <c r="F101" s="357">
        <v>70</v>
      </c>
      <c r="G101" s="315" t="s">
        <v>655</v>
      </c>
      <c r="H101" s="329"/>
      <c r="I101" s="326"/>
      <c r="J101" s="358"/>
      <c r="K101" s="358"/>
      <c r="L101" s="358"/>
      <c r="M101" s="358"/>
      <c r="N101" s="327"/>
      <c r="O101" s="328"/>
      <c r="P101" s="326">
        <v>0</v>
      </c>
      <c r="Q101" s="327"/>
      <c r="R101" s="329"/>
      <c r="S101" s="326"/>
      <c r="T101" s="326"/>
      <c r="U101" s="326"/>
      <c r="V101" s="326"/>
      <c r="W101" s="326"/>
      <c r="X101" s="326"/>
      <c r="Y101" s="1350">
        <f t="shared" si="7"/>
        <v>0</v>
      </c>
      <c r="Z101" s="1351">
        <f t="shared" si="8"/>
        <v>0</v>
      </c>
      <c r="AA101" s="326">
        <f t="shared" si="9"/>
        <v>0</v>
      </c>
      <c r="AB101" s="326">
        <f t="shared" si="10"/>
        <v>0</v>
      </c>
      <c r="AC101" s="326">
        <f t="shared" si="11"/>
        <v>0</v>
      </c>
      <c r="AD101" s="326">
        <f t="shared" si="12"/>
        <v>0</v>
      </c>
      <c r="AE101" s="326">
        <f t="shared" si="13"/>
        <v>0</v>
      </c>
      <c r="AF101" s="355"/>
      <c r="AG101" s="838"/>
      <c r="AH101" s="744"/>
      <c r="AI101" s="292"/>
      <c r="AK101" s="300"/>
      <c r="AS101" s="452"/>
    </row>
    <row r="102" spans="1:45" s="299" customFormat="1" ht="27.6">
      <c r="A102" s="353">
        <v>305</v>
      </c>
      <c r="B102" s="352">
        <v>100</v>
      </c>
      <c r="C102" s="352">
        <v>50</v>
      </c>
      <c r="D102" s="352">
        <v>100</v>
      </c>
      <c r="E102" s="352">
        <v>40</v>
      </c>
      <c r="F102" s="352"/>
      <c r="G102" s="323" t="s">
        <v>656</v>
      </c>
      <c r="H102" s="334"/>
      <c r="I102" s="331"/>
      <c r="J102" s="359"/>
      <c r="K102" s="359"/>
      <c r="L102" s="359"/>
      <c r="M102" s="359"/>
      <c r="N102" s="332"/>
      <c r="O102" s="333"/>
      <c r="P102" s="331">
        <v>0</v>
      </c>
      <c r="Q102" s="332"/>
      <c r="R102" s="334"/>
      <c r="S102" s="331"/>
      <c r="T102" s="331"/>
      <c r="U102" s="331"/>
      <c r="V102" s="331"/>
      <c r="W102" s="331"/>
      <c r="X102" s="331"/>
      <c r="Y102" s="1352">
        <f t="shared" si="7"/>
        <v>0</v>
      </c>
      <c r="Z102" s="1353">
        <f t="shared" si="8"/>
        <v>0</v>
      </c>
      <c r="AA102" s="331">
        <f t="shared" si="9"/>
        <v>0</v>
      </c>
      <c r="AB102" s="331">
        <f t="shared" si="10"/>
        <v>0</v>
      </c>
      <c r="AC102" s="331">
        <f t="shared" si="11"/>
        <v>0</v>
      </c>
      <c r="AD102" s="331">
        <f t="shared" si="12"/>
        <v>0</v>
      </c>
      <c r="AE102" s="331">
        <f t="shared" si="13"/>
        <v>0</v>
      </c>
      <c r="AF102" s="355" t="s">
        <v>657</v>
      </c>
      <c r="AG102" s="838"/>
      <c r="AH102" s="744"/>
      <c r="AI102" s="292"/>
      <c r="AK102" s="300"/>
      <c r="AS102" s="452"/>
    </row>
    <row r="103" spans="1:45" s="299" customFormat="1">
      <c r="A103" s="353">
        <v>305</v>
      </c>
      <c r="B103" s="352">
        <v>100</v>
      </c>
      <c r="C103" s="352">
        <v>50</v>
      </c>
      <c r="D103" s="352">
        <v>100</v>
      </c>
      <c r="E103" s="352">
        <v>40</v>
      </c>
      <c r="F103" s="357">
        <v>5</v>
      </c>
      <c r="G103" s="315" t="s">
        <v>658</v>
      </c>
      <c r="H103" s="314"/>
      <c r="I103" s="311"/>
      <c r="J103" s="319"/>
      <c r="K103" s="319"/>
      <c r="L103" s="319"/>
      <c r="M103" s="319"/>
      <c r="N103" s="312"/>
      <c r="O103" s="313"/>
      <c r="P103" s="311">
        <v>0</v>
      </c>
      <c r="Q103" s="312"/>
      <c r="R103" s="314"/>
      <c r="S103" s="311"/>
      <c r="T103" s="311"/>
      <c r="U103" s="311"/>
      <c r="V103" s="311"/>
      <c r="W103" s="311"/>
      <c r="X103" s="311"/>
      <c r="Y103" s="1356">
        <f t="shared" si="7"/>
        <v>0</v>
      </c>
      <c r="Z103" s="1357">
        <f t="shared" si="8"/>
        <v>0</v>
      </c>
      <c r="AA103" s="311">
        <f t="shared" si="9"/>
        <v>0</v>
      </c>
      <c r="AB103" s="311">
        <f t="shared" si="10"/>
        <v>0</v>
      </c>
      <c r="AC103" s="311">
        <f t="shared" si="11"/>
        <v>0</v>
      </c>
      <c r="AD103" s="311">
        <f t="shared" si="12"/>
        <v>0</v>
      </c>
      <c r="AE103" s="311">
        <f t="shared" si="13"/>
        <v>0</v>
      </c>
      <c r="AF103" s="355"/>
      <c r="AG103" s="838"/>
      <c r="AH103" s="744"/>
      <c r="AI103" s="292"/>
      <c r="AK103" s="300"/>
      <c r="AS103" s="452"/>
    </row>
    <row r="104" spans="1:45" s="299" customFormat="1">
      <c r="A104" s="353">
        <v>305</v>
      </c>
      <c r="B104" s="352">
        <v>100</v>
      </c>
      <c r="C104" s="352">
        <v>50</v>
      </c>
      <c r="D104" s="352">
        <v>100</v>
      </c>
      <c r="E104" s="352">
        <v>40</v>
      </c>
      <c r="F104" s="357">
        <v>10</v>
      </c>
      <c r="G104" s="315" t="s">
        <v>628</v>
      </c>
      <c r="H104" s="329"/>
      <c r="I104" s="326"/>
      <c r="J104" s="358"/>
      <c r="K104" s="358"/>
      <c r="L104" s="358"/>
      <c r="M104" s="358"/>
      <c r="N104" s="327"/>
      <c r="O104" s="328"/>
      <c r="P104" s="326">
        <v>0</v>
      </c>
      <c r="Q104" s="327"/>
      <c r="R104" s="329"/>
      <c r="S104" s="326"/>
      <c r="T104" s="326"/>
      <c r="U104" s="326"/>
      <c r="V104" s="326"/>
      <c r="W104" s="326"/>
      <c r="X104" s="326"/>
      <c r="Y104" s="1350">
        <f t="shared" si="7"/>
        <v>0</v>
      </c>
      <c r="Z104" s="1351">
        <f t="shared" si="8"/>
        <v>0</v>
      </c>
      <c r="AA104" s="326">
        <f t="shared" si="9"/>
        <v>0</v>
      </c>
      <c r="AB104" s="326">
        <f t="shared" si="10"/>
        <v>0</v>
      </c>
      <c r="AC104" s="326">
        <f t="shared" si="11"/>
        <v>0</v>
      </c>
      <c r="AD104" s="326">
        <f t="shared" si="12"/>
        <v>0</v>
      </c>
      <c r="AE104" s="326">
        <f t="shared" si="13"/>
        <v>0</v>
      </c>
      <c r="AF104" s="355"/>
      <c r="AG104" s="838"/>
      <c r="AH104" s="744"/>
      <c r="AI104" s="292"/>
      <c r="AK104" s="300"/>
      <c r="AS104" s="452"/>
    </row>
    <row r="105" spans="1:45" s="299" customFormat="1" ht="27.6">
      <c r="A105" s="353">
        <v>305</v>
      </c>
      <c r="B105" s="352">
        <v>100</v>
      </c>
      <c r="C105" s="352">
        <v>50</v>
      </c>
      <c r="D105" s="352">
        <v>100</v>
      </c>
      <c r="E105" s="352">
        <v>40</v>
      </c>
      <c r="F105" s="357">
        <v>15</v>
      </c>
      <c r="G105" s="315" t="s">
        <v>631</v>
      </c>
      <c r="H105" s="314"/>
      <c r="I105" s="311"/>
      <c r="J105" s="319"/>
      <c r="K105" s="319"/>
      <c r="L105" s="319"/>
      <c r="M105" s="319"/>
      <c r="N105" s="312"/>
      <c r="O105" s="313"/>
      <c r="P105" s="311">
        <v>0</v>
      </c>
      <c r="Q105" s="312"/>
      <c r="R105" s="314"/>
      <c r="S105" s="311"/>
      <c r="T105" s="311"/>
      <c r="U105" s="311"/>
      <c r="V105" s="311"/>
      <c r="W105" s="311"/>
      <c r="X105" s="311"/>
      <c r="Y105" s="1356">
        <f t="shared" si="7"/>
        <v>0</v>
      </c>
      <c r="Z105" s="1357">
        <f t="shared" si="8"/>
        <v>0</v>
      </c>
      <c r="AA105" s="311">
        <f t="shared" si="9"/>
        <v>0</v>
      </c>
      <c r="AB105" s="311">
        <f t="shared" si="10"/>
        <v>0</v>
      </c>
      <c r="AC105" s="311">
        <f t="shared" si="11"/>
        <v>0</v>
      </c>
      <c r="AD105" s="311">
        <f t="shared" si="12"/>
        <v>0</v>
      </c>
      <c r="AE105" s="311">
        <f t="shared" si="13"/>
        <v>0</v>
      </c>
      <c r="AF105" s="355"/>
      <c r="AG105" s="838"/>
      <c r="AH105" s="744"/>
      <c r="AI105" s="292"/>
      <c r="AK105" s="300"/>
      <c r="AS105" s="452"/>
    </row>
    <row r="106" spans="1:45" s="299" customFormat="1">
      <c r="A106" s="353">
        <v>305</v>
      </c>
      <c r="B106" s="352">
        <v>100</v>
      </c>
      <c r="C106" s="352">
        <v>50</v>
      </c>
      <c r="D106" s="352">
        <v>100</v>
      </c>
      <c r="E106" s="352">
        <v>40</v>
      </c>
      <c r="F106" s="357">
        <v>20</v>
      </c>
      <c r="G106" s="315" t="s">
        <v>632</v>
      </c>
      <c r="H106" s="314"/>
      <c r="I106" s="311"/>
      <c r="J106" s="319"/>
      <c r="K106" s="319"/>
      <c r="L106" s="319"/>
      <c r="M106" s="319"/>
      <c r="N106" s="312"/>
      <c r="O106" s="313"/>
      <c r="P106" s="311">
        <v>0</v>
      </c>
      <c r="Q106" s="312"/>
      <c r="R106" s="314"/>
      <c r="S106" s="311"/>
      <c r="T106" s="311"/>
      <c r="U106" s="311"/>
      <c r="V106" s="311"/>
      <c r="W106" s="311"/>
      <c r="X106" s="311"/>
      <c r="Y106" s="1356">
        <f t="shared" si="7"/>
        <v>0</v>
      </c>
      <c r="Z106" s="1357">
        <f t="shared" si="8"/>
        <v>0</v>
      </c>
      <c r="AA106" s="311">
        <f t="shared" si="9"/>
        <v>0</v>
      </c>
      <c r="AB106" s="311">
        <f t="shared" si="10"/>
        <v>0</v>
      </c>
      <c r="AC106" s="311">
        <f t="shared" si="11"/>
        <v>0</v>
      </c>
      <c r="AD106" s="311">
        <f t="shared" si="12"/>
        <v>0</v>
      </c>
      <c r="AE106" s="311">
        <f t="shared" si="13"/>
        <v>0</v>
      </c>
      <c r="AF106" s="355"/>
      <c r="AG106" s="838"/>
      <c r="AH106" s="744"/>
      <c r="AI106" s="292"/>
      <c r="AK106" s="300"/>
      <c r="AS106" s="452"/>
    </row>
    <row r="107" spans="1:45" s="299" customFormat="1">
      <c r="A107" s="353">
        <v>305</v>
      </c>
      <c r="B107" s="352">
        <v>100</v>
      </c>
      <c r="C107" s="352">
        <v>50</v>
      </c>
      <c r="D107" s="352">
        <v>100</v>
      </c>
      <c r="E107" s="352">
        <v>40</v>
      </c>
      <c r="F107" s="357">
        <v>25</v>
      </c>
      <c r="G107" s="315" t="s">
        <v>633</v>
      </c>
      <c r="H107" s="329"/>
      <c r="I107" s="326"/>
      <c r="J107" s="358"/>
      <c r="K107" s="358"/>
      <c r="L107" s="358"/>
      <c r="M107" s="358"/>
      <c r="N107" s="327"/>
      <c r="O107" s="328"/>
      <c r="P107" s="326">
        <v>0</v>
      </c>
      <c r="Q107" s="327"/>
      <c r="R107" s="329"/>
      <c r="S107" s="326"/>
      <c r="T107" s="326"/>
      <c r="U107" s="326"/>
      <c r="V107" s="326"/>
      <c r="W107" s="326"/>
      <c r="X107" s="326"/>
      <c r="Y107" s="1350">
        <f t="shared" si="7"/>
        <v>0</v>
      </c>
      <c r="Z107" s="1351">
        <f t="shared" si="8"/>
        <v>0</v>
      </c>
      <c r="AA107" s="326">
        <f t="shared" si="9"/>
        <v>0</v>
      </c>
      <c r="AB107" s="326">
        <f t="shared" si="10"/>
        <v>0</v>
      </c>
      <c r="AC107" s="326">
        <f t="shared" si="11"/>
        <v>0</v>
      </c>
      <c r="AD107" s="326">
        <f t="shared" si="12"/>
        <v>0</v>
      </c>
      <c r="AE107" s="326">
        <f t="shared" si="13"/>
        <v>0</v>
      </c>
      <c r="AF107" s="355"/>
      <c r="AG107" s="838"/>
      <c r="AH107" s="744"/>
      <c r="AI107" s="292"/>
      <c r="AK107" s="300"/>
      <c r="AS107" s="452"/>
    </row>
    <row r="108" spans="1:45" s="299" customFormat="1">
      <c r="A108" s="353">
        <v>305</v>
      </c>
      <c r="B108" s="352">
        <v>100</v>
      </c>
      <c r="C108" s="352">
        <v>50</v>
      </c>
      <c r="D108" s="352">
        <v>100</v>
      </c>
      <c r="E108" s="352">
        <v>40</v>
      </c>
      <c r="F108" s="357">
        <v>30</v>
      </c>
      <c r="G108" s="315" t="s">
        <v>636</v>
      </c>
      <c r="H108" s="314"/>
      <c r="I108" s="311"/>
      <c r="J108" s="319"/>
      <c r="K108" s="319"/>
      <c r="L108" s="319"/>
      <c r="M108" s="319"/>
      <c r="N108" s="312"/>
      <c r="O108" s="313"/>
      <c r="P108" s="311">
        <v>0</v>
      </c>
      <c r="Q108" s="312"/>
      <c r="R108" s="314"/>
      <c r="S108" s="311"/>
      <c r="T108" s="311"/>
      <c r="U108" s="311"/>
      <c r="V108" s="311"/>
      <c r="W108" s="311"/>
      <c r="X108" s="311"/>
      <c r="Y108" s="1356">
        <f t="shared" si="7"/>
        <v>0</v>
      </c>
      <c r="Z108" s="1357">
        <f t="shared" si="8"/>
        <v>0</v>
      </c>
      <c r="AA108" s="311">
        <f t="shared" si="9"/>
        <v>0</v>
      </c>
      <c r="AB108" s="311">
        <f t="shared" si="10"/>
        <v>0</v>
      </c>
      <c r="AC108" s="311">
        <f t="shared" si="11"/>
        <v>0</v>
      </c>
      <c r="AD108" s="311">
        <f t="shared" si="12"/>
        <v>0</v>
      </c>
      <c r="AE108" s="311">
        <f t="shared" si="13"/>
        <v>0</v>
      </c>
      <c r="AF108" s="355"/>
      <c r="AG108" s="838"/>
      <c r="AH108" s="744"/>
      <c r="AI108" s="292"/>
      <c r="AK108" s="300"/>
      <c r="AS108" s="452"/>
    </row>
    <row r="109" spans="1:45" s="299" customFormat="1">
      <c r="A109" s="353">
        <v>305</v>
      </c>
      <c r="B109" s="352">
        <v>100</v>
      </c>
      <c r="C109" s="352">
        <v>50</v>
      </c>
      <c r="D109" s="352">
        <v>100</v>
      </c>
      <c r="E109" s="352">
        <v>40</v>
      </c>
      <c r="F109" s="357">
        <v>35</v>
      </c>
      <c r="G109" s="315" t="s">
        <v>637</v>
      </c>
      <c r="H109" s="329"/>
      <c r="I109" s="326"/>
      <c r="J109" s="358"/>
      <c r="K109" s="358"/>
      <c r="L109" s="358"/>
      <c r="M109" s="358"/>
      <c r="N109" s="327"/>
      <c r="O109" s="328"/>
      <c r="P109" s="326">
        <v>0</v>
      </c>
      <c r="Q109" s="327"/>
      <c r="R109" s="329"/>
      <c r="S109" s="326"/>
      <c r="T109" s="326"/>
      <c r="U109" s="326"/>
      <c r="V109" s="326"/>
      <c r="W109" s="326"/>
      <c r="X109" s="326"/>
      <c r="Y109" s="1350">
        <f t="shared" si="7"/>
        <v>0</v>
      </c>
      <c r="Z109" s="1351">
        <f t="shared" si="8"/>
        <v>0</v>
      </c>
      <c r="AA109" s="326">
        <f t="shared" si="9"/>
        <v>0</v>
      </c>
      <c r="AB109" s="326">
        <f t="shared" si="10"/>
        <v>0</v>
      </c>
      <c r="AC109" s="326">
        <f t="shared" si="11"/>
        <v>0</v>
      </c>
      <c r="AD109" s="326">
        <f t="shared" si="12"/>
        <v>0</v>
      </c>
      <c r="AE109" s="326">
        <f t="shared" si="13"/>
        <v>0</v>
      </c>
      <c r="AF109" s="355"/>
      <c r="AG109" s="838"/>
      <c r="AH109" s="744"/>
      <c r="AI109" s="292"/>
      <c r="AK109" s="300"/>
      <c r="AS109" s="452"/>
    </row>
    <row r="110" spans="1:45" s="299" customFormat="1">
      <c r="A110" s="353">
        <v>305</v>
      </c>
      <c r="B110" s="352">
        <v>100</v>
      </c>
      <c r="C110" s="352">
        <v>50</v>
      </c>
      <c r="D110" s="352">
        <v>100</v>
      </c>
      <c r="E110" s="352">
        <v>40</v>
      </c>
      <c r="F110" s="357">
        <v>40</v>
      </c>
      <c r="G110" s="315" t="s">
        <v>659</v>
      </c>
      <c r="H110" s="314"/>
      <c r="I110" s="311"/>
      <c r="J110" s="319"/>
      <c r="K110" s="319"/>
      <c r="L110" s="319"/>
      <c r="M110" s="319"/>
      <c r="N110" s="312"/>
      <c r="O110" s="313"/>
      <c r="P110" s="311">
        <v>0</v>
      </c>
      <c r="Q110" s="312"/>
      <c r="R110" s="314"/>
      <c r="S110" s="311"/>
      <c r="T110" s="311"/>
      <c r="U110" s="311"/>
      <c r="V110" s="311"/>
      <c r="W110" s="311"/>
      <c r="X110" s="311"/>
      <c r="Y110" s="1356">
        <f t="shared" si="7"/>
        <v>0</v>
      </c>
      <c r="Z110" s="1357">
        <f t="shared" si="8"/>
        <v>0</v>
      </c>
      <c r="AA110" s="311">
        <f t="shared" si="9"/>
        <v>0</v>
      </c>
      <c r="AB110" s="311">
        <f t="shared" si="10"/>
        <v>0</v>
      </c>
      <c r="AC110" s="311">
        <f t="shared" si="11"/>
        <v>0</v>
      </c>
      <c r="AD110" s="311">
        <f t="shared" si="12"/>
        <v>0</v>
      </c>
      <c r="AE110" s="311">
        <f t="shared" si="13"/>
        <v>0</v>
      </c>
      <c r="AF110" s="355"/>
      <c r="AG110" s="838"/>
      <c r="AH110" s="744"/>
      <c r="AI110" s="292"/>
      <c r="AK110" s="300"/>
      <c r="AS110" s="452"/>
    </row>
    <row r="111" spans="1:45" s="299" customFormat="1" ht="41.4">
      <c r="A111" s="353">
        <v>305</v>
      </c>
      <c r="B111" s="352">
        <v>100</v>
      </c>
      <c r="C111" s="352">
        <v>50</v>
      </c>
      <c r="D111" s="352">
        <v>200</v>
      </c>
      <c r="E111" s="357"/>
      <c r="F111" s="357"/>
      <c r="G111" s="342" t="s">
        <v>660</v>
      </c>
      <c r="H111" s="329"/>
      <c r="I111" s="326"/>
      <c r="J111" s="358"/>
      <c r="K111" s="358"/>
      <c r="L111" s="358"/>
      <c r="M111" s="358"/>
      <c r="N111" s="327"/>
      <c r="O111" s="328"/>
      <c r="P111" s="326">
        <v>0</v>
      </c>
      <c r="Q111" s="327"/>
      <c r="R111" s="329"/>
      <c r="S111" s="326"/>
      <c r="T111" s="326"/>
      <c r="U111" s="326"/>
      <c r="V111" s="326"/>
      <c r="W111" s="326"/>
      <c r="X111" s="326"/>
      <c r="Y111" s="1350">
        <f t="shared" si="7"/>
        <v>0</v>
      </c>
      <c r="Z111" s="1351">
        <f t="shared" si="8"/>
        <v>0</v>
      </c>
      <c r="AA111" s="326">
        <f t="shared" si="9"/>
        <v>0</v>
      </c>
      <c r="AB111" s="326">
        <f t="shared" si="10"/>
        <v>0</v>
      </c>
      <c r="AC111" s="326">
        <f t="shared" si="11"/>
        <v>0</v>
      </c>
      <c r="AD111" s="326">
        <f t="shared" si="12"/>
        <v>0</v>
      </c>
      <c r="AE111" s="326">
        <f t="shared" si="13"/>
        <v>0</v>
      </c>
      <c r="AF111" s="424" t="s">
        <v>661</v>
      </c>
      <c r="AG111" s="838"/>
      <c r="AH111" s="744"/>
      <c r="AI111" s="292"/>
      <c r="AK111" s="300"/>
      <c r="AS111" s="452"/>
    </row>
    <row r="112" spans="1:45" s="299" customFormat="1" ht="41.4">
      <c r="A112" s="353">
        <v>305</v>
      </c>
      <c r="B112" s="352">
        <v>100</v>
      </c>
      <c r="C112" s="352">
        <v>50</v>
      </c>
      <c r="D112" s="357">
        <v>300</v>
      </c>
      <c r="E112" s="352"/>
      <c r="F112" s="352"/>
      <c r="G112" s="315" t="s">
        <v>662</v>
      </c>
      <c r="H112" s="314"/>
      <c r="I112" s="311"/>
      <c r="J112" s="319"/>
      <c r="K112" s="319"/>
      <c r="L112" s="319"/>
      <c r="M112" s="319"/>
      <c r="N112" s="312"/>
      <c r="O112" s="313"/>
      <c r="P112" s="311">
        <v>0</v>
      </c>
      <c r="Q112" s="312"/>
      <c r="R112" s="314"/>
      <c r="S112" s="311"/>
      <c r="T112" s="311"/>
      <c r="U112" s="311"/>
      <c r="V112" s="311"/>
      <c r="W112" s="311"/>
      <c r="X112" s="311"/>
      <c r="Y112" s="1356">
        <f t="shared" si="7"/>
        <v>0</v>
      </c>
      <c r="Z112" s="1357">
        <f t="shared" si="8"/>
        <v>0</v>
      </c>
      <c r="AA112" s="311">
        <f t="shared" si="9"/>
        <v>0</v>
      </c>
      <c r="AB112" s="311">
        <f t="shared" si="10"/>
        <v>0</v>
      </c>
      <c r="AC112" s="311">
        <f t="shared" si="11"/>
        <v>0</v>
      </c>
      <c r="AD112" s="311">
        <f t="shared" si="12"/>
        <v>0</v>
      </c>
      <c r="AE112" s="311">
        <f t="shared" si="13"/>
        <v>0</v>
      </c>
      <c r="AF112" s="355" t="s">
        <v>663</v>
      </c>
      <c r="AG112" s="838"/>
      <c r="AH112" s="744"/>
      <c r="AI112" s="292"/>
      <c r="AK112" s="300"/>
      <c r="AS112" s="452"/>
    </row>
    <row r="113" spans="1:45" s="299" customFormat="1" ht="27.6">
      <c r="A113" s="353">
        <v>305</v>
      </c>
      <c r="B113" s="352">
        <v>100</v>
      </c>
      <c r="C113" s="352">
        <v>100</v>
      </c>
      <c r="D113" s="352"/>
      <c r="E113" s="352"/>
      <c r="F113" s="352"/>
      <c r="G113" s="323" t="s">
        <v>664</v>
      </c>
      <c r="H113" s="334"/>
      <c r="I113" s="331"/>
      <c r="J113" s="359"/>
      <c r="K113" s="359"/>
      <c r="L113" s="359"/>
      <c r="M113" s="359"/>
      <c r="N113" s="332"/>
      <c r="O113" s="333"/>
      <c r="P113" s="331">
        <v>0</v>
      </c>
      <c r="Q113" s="332"/>
      <c r="R113" s="334"/>
      <c r="S113" s="331"/>
      <c r="T113" s="331"/>
      <c r="U113" s="331"/>
      <c r="V113" s="331"/>
      <c r="W113" s="331"/>
      <c r="X113" s="331"/>
      <c r="Y113" s="1352">
        <f t="shared" si="7"/>
        <v>0</v>
      </c>
      <c r="Z113" s="1353">
        <f t="shared" si="8"/>
        <v>0</v>
      </c>
      <c r="AA113" s="331">
        <f t="shared" si="9"/>
        <v>0</v>
      </c>
      <c r="AB113" s="331">
        <f t="shared" si="10"/>
        <v>0</v>
      </c>
      <c r="AC113" s="331">
        <f t="shared" si="11"/>
        <v>0</v>
      </c>
      <c r="AD113" s="331">
        <f t="shared" si="12"/>
        <v>0</v>
      </c>
      <c r="AE113" s="331">
        <f t="shared" si="13"/>
        <v>0</v>
      </c>
      <c r="AF113" s="355" t="s">
        <v>665</v>
      </c>
      <c r="AG113" s="838"/>
      <c r="AH113" s="744"/>
      <c r="AI113" s="292"/>
      <c r="AK113" s="300"/>
      <c r="AS113" s="452"/>
    </row>
    <row r="114" spans="1:45" s="299" customFormat="1">
      <c r="A114" s="353">
        <v>305</v>
      </c>
      <c r="B114" s="352">
        <v>100</v>
      </c>
      <c r="C114" s="352">
        <v>100</v>
      </c>
      <c r="D114" s="352">
        <v>100</v>
      </c>
      <c r="E114" s="352"/>
      <c r="F114" s="352"/>
      <c r="G114" s="443" t="s">
        <v>623</v>
      </c>
      <c r="H114" s="334"/>
      <c r="I114" s="331"/>
      <c r="J114" s="359"/>
      <c r="K114" s="359"/>
      <c r="L114" s="359"/>
      <c r="M114" s="359"/>
      <c r="N114" s="332"/>
      <c r="O114" s="333"/>
      <c r="P114" s="331">
        <v>0</v>
      </c>
      <c r="Q114" s="332"/>
      <c r="R114" s="334"/>
      <c r="S114" s="331"/>
      <c r="T114" s="331"/>
      <c r="U114" s="331"/>
      <c r="V114" s="331"/>
      <c r="W114" s="331"/>
      <c r="X114" s="331"/>
      <c r="Y114" s="1352">
        <f t="shared" si="7"/>
        <v>0</v>
      </c>
      <c r="Z114" s="1353">
        <f t="shared" si="8"/>
        <v>0</v>
      </c>
      <c r="AA114" s="331">
        <f t="shared" si="9"/>
        <v>0</v>
      </c>
      <c r="AB114" s="331">
        <f t="shared" si="10"/>
        <v>0</v>
      </c>
      <c r="AC114" s="331">
        <f t="shared" si="11"/>
        <v>0</v>
      </c>
      <c r="AD114" s="331">
        <f t="shared" si="12"/>
        <v>0</v>
      </c>
      <c r="AE114" s="331">
        <f t="shared" si="13"/>
        <v>0</v>
      </c>
      <c r="AF114" s="355" t="s">
        <v>666</v>
      </c>
      <c r="AG114" s="838"/>
      <c r="AH114" s="744"/>
      <c r="AI114" s="292"/>
      <c r="AK114" s="300"/>
      <c r="AS114" s="452"/>
    </row>
    <row r="115" spans="1:45" s="299" customFormat="1">
      <c r="A115" s="353">
        <v>305</v>
      </c>
      <c r="B115" s="352">
        <v>100</v>
      </c>
      <c r="C115" s="352">
        <v>100</v>
      </c>
      <c r="D115" s="352">
        <v>100</v>
      </c>
      <c r="E115" s="357">
        <v>10</v>
      </c>
      <c r="F115" s="352"/>
      <c r="G115" s="342" t="s">
        <v>667</v>
      </c>
      <c r="H115" s="329"/>
      <c r="I115" s="326"/>
      <c r="J115" s="358"/>
      <c r="K115" s="358"/>
      <c r="L115" s="358"/>
      <c r="M115" s="358"/>
      <c r="N115" s="327"/>
      <c r="O115" s="328"/>
      <c r="P115" s="326">
        <v>0</v>
      </c>
      <c r="Q115" s="327"/>
      <c r="R115" s="329"/>
      <c r="S115" s="326"/>
      <c r="T115" s="326"/>
      <c r="U115" s="326"/>
      <c r="V115" s="326"/>
      <c r="W115" s="326"/>
      <c r="X115" s="326"/>
      <c r="Y115" s="1350">
        <f t="shared" si="7"/>
        <v>0</v>
      </c>
      <c r="Z115" s="1351">
        <f t="shared" si="8"/>
        <v>0</v>
      </c>
      <c r="AA115" s="326">
        <f t="shared" si="9"/>
        <v>0</v>
      </c>
      <c r="AB115" s="326">
        <f t="shared" si="10"/>
        <v>0</v>
      </c>
      <c r="AC115" s="326">
        <f t="shared" si="11"/>
        <v>0</v>
      </c>
      <c r="AD115" s="326">
        <f t="shared" si="12"/>
        <v>0</v>
      </c>
      <c r="AE115" s="326">
        <f t="shared" si="13"/>
        <v>0</v>
      </c>
      <c r="AF115" s="355"/>
      <c r="AG115" s="838"/>
      <c r="AH115" s="744"/>
      <c r="AI115" s="292"/>
      <c r="AK115" s="300"/>
      <c r="AS115" s="452"/>
    </row>
    <row r="116" spans="1:45" s="299" customFormat="1">
      <c r="A116" s="353">
        <v>305</v>
      </c>
      <c r="B116" s="352">
        <v>100</v>
      </c>
      <c r="C116" s="352">
        <v>100</v>
      </c>
      <c r="D116" s="352">
        <v>100</v>
      </c>
      <c r="E116" s="357">
        <v>20</v>
      </c>
      <c r="F116" s="352"/>
      <c r="G116" s="342" t="s">
        <v>668</v>
      </c>
      <c r="H116" s="329"/>
      <c r="I116" s="326"/>
      <c r="J116" s="358"/>
      <c r="K116" s="358"/>
      <c r="L116" s="358"/>
      <c r="M116" s="358"/>
      <c r="N116" s="327"/>
      <c r="O116" s="328"/>
      <c r="P116" s="326">
        <v>0</v>
      </c>
      <c r="Q116" s="327"/>
      <c r="R116" s="329"/>
      <c r="S116" s="326"/>
      <c r="T116" s="326"/>
      <c r="U116" s="326"/>
      <c r="V116" s="326"/>
      <c r="W116" s="326"/>
      <c r="X116" s="326"/>
      <c r="Y116" s="1350">
        <f t="shared" si="7"/>
        <v>0</v>
      </c>
      <c r="Z116" s="1351">
        <f t="shared" si="8"/>
        <v>0</v>
      </c>
      <c r="AA116" s="326">
        <f t="shared" si="9"/>
        <v>0</v>
      </c>
      <c r="AB116" s="326">
        <f t="shared" si="10"/>
        <v>0</v>
      </c>
      <c r="AC116" s="326">
        <f t="shared" si="11"/>
        <v>0</v>
      </c>
      <c r="AD116" s="326">
        <f t="shared" si="12"/>
        <v>0</v>
      </c>
      <c r="AE116" s="326">
        <f t="shared" si="13"/>
        <v>0</v>
      </c>
      <c r="AF116" s="355"/>
      <c r="AG116" s="838"/>
      <c r="AH116" s="744"/>
      <c r="AI116" s="292"/>
      <c r="AK116" s="300"/>
      <c r="AS116" s="452"/>
    </row>
    <row r="117" spans="1:45" s="299" customFormat="1" ht="41.4">
      <c r="A117" s="353">
        <v>305</v>
      </c>
      <c r="B117" s="352">
        <v>100</v>
      </c>
      <c r="C117" s="352">
        <v>100</v>
      </c>
      <c r="D117" s="352">
        <v>200</v>
      </c>
      <c r="E117" s="357"/>
      <c r="F117" s="357"/>
      <c r="G117" s="342" t="s">
        <v>669</v>
      </c>
      <c r="H117" s="329"/>
      <c r="I117" s="326"/>
      <c r="J117" s="358"/>
      <c r="K117" s="358"/>
      <c r="L117" s="358"/>
      <c r="M117" s="358"/>
      <c r="N117" s="327"/>
      <c r="O117" s="328"/>
      <c r="P117" s="326">
        <v>0</v>
      </c>
      <c r="Q117" s="327"/>
      <c r="R117" s="329"/>
      <c r="S117" s="326"/>
      <c r="T117" s="326"/>
      <c r="U117" s="326"/>
      <c r="V117" s="326"/>
      <c r="W117" s="326"/>
      <c r="X117" s="326"/>
      <c r="Y117" s="1350">
        <f t="shared" si="7"/>
        <v>0</v>
      </c>
      <c r="Z117" s="1351">
        <f t="shared" si="8"/>
        <v>0</v>
      </c>
      <c r="AA117" s="326">
        <f t="shared" si="9"/>
        <v>0</v>
      </c>
      <c r="AB117" s="326">
        <f t="shared" si="10"/>
        <v>0</v>
      </c>
      <c r="AC117" s="326">
        <f t="shared" si="11"/>
        <v>0</v>
      </c>
      <c r="AD117" s="326">
        <f t="shared" si="12"/>
        <v>0</v>
      </c>
      <c r="AE117" s="326">
        <f t="shared" si="13"/>
        <v>0</v>
      </c>
      <c r="AF117" s="424" t="s">
        <v>670</v>
      </c>
      <c r="AG117" s="838"/>
      <c r="AH117" s="744"/>
      <c r="AI117" s="292"/>
      <c r="AK117" s="300"/>
      <c r="AS117" s="452"/>
    </row>
    <row r="118" spans="1:45" s="299" customFormat="1">
      <c r="A118" s="353">
        <v>305</v>
      </c>
      <c r="B118" s="352">
        <v>100</v>
      </c>
      <c r="C118" s="352">
        <v>100</v>
      </c>
      <c r="D118" s="357">
        <v>300</v>
      </c>
      <c r="E118" s="352"/>
      <c r="F118" s="352"/>
      <c r="G118" s="342" t="s">
        <v>671</v>
      </c>
      <c r="H118" s="329"/>
      <c r="I118" s="326"/>
      <c r="J118" s="358"/>
      <c r="K118" s="358"/>
      <c r="L118" s="358"/>
      <c r="M118" s="358"/>
      <c r="N118" s="327"/>
      <c r="O118" s="328"/>
      <c r="P118" s="326">
        <v>0</v>
      </c>
      <c r="Q118" s="327"/>
      <c r="R118" s="329"/>
      <c r="S118" s="326"/>
      <c r="T118" s="326"/>
      <c r="U118" s="326"/>
      <c r="V118" s="326"/>
      <c r="W118" s="326"/>
      <c r="X118" s="326"/>
      <c r="Y118" s="1350">
        <f t="shared" si="7"/>
        <v>0</v>
      </c>
      <c r="Z118" s="1351">
        <f t="shared" si="8"/>
        <v>0</v>
      </c>
      <c r="AA118" s="326">
        <f t="shared" si="9"/>
        <v>0</v>
      </c>
      <c r="AB118" s="326">
        <f t="shared" si="10"/>
        <v>0</v>
      </c>
      <c r="AC118" s="326">
        <f t="shared" si="11"/>
        <v>0</v>
      </c>
      <c r="AD118" s="326">
        <f t="shared" si="12"/>
        <v>0</v>
      </c>
      <c r="AE118" s="326">
        <f t="shared" si="13"/>
        <v>0</v>
      </c>
      <c r="AF118" s="355" t="s">
        <v>672</v>
      </c>
      <c r="AG118" s="838"/>
      <c r="AH118" s="744"/>
      <c r="AI118" s="292"/>
      <c r="AK118" s="300"/>
      <c r="AS118" s="452"/>
    </row>
    <row r="119" spans="1:45" s="299" customFormat="1" ht="41.4">
      <c r="A119" s="353">
        <v>305</v>
      </c>
      <c r="B119" s="352">
        <v>100</v>
      </c>
      <c r="C119" s="352">
        <v>150</v>
      </c>
      <c r="D119" s="352"/>
      <c r="E119" s="352"/>
      <c r="F119" s="352"/>
      <c r="G119" s="323" t="s">
        <v>673</v>
      </c>
      <c r="H119" s="334"/>
      <c r="I119" s="331"/>
      <c r="J119" s="359"/>
      <c r="K119" s="359"/>
      <c r="L119" s="359"/>
      <c r="M119" s="359"/>
      <c r="N119" s="332"/>
      <c r="O119" s="333"/>
      <c r="P119" s="331">
        <v>0</v>
      </c>
      <c r="Q119" s="332"/>
      <c r="R119" s="334"/>
      <c r="S119" s="331"/>
      <c r="T119" s="331"/>
      <c r="U119" s="331"/>
      <c r="V119" s="331"/>
      <c r="W119" s="331"/>
      <c r="X119" s="331"/>
      <c r="Y119" s="1352">
        <f t="shared" si="7"/>
        <v>0</v>
      </c>
      <c r="Z119" s="1353">
        <f t="shared" si="8"/>
        <v>0</v>
      </c>
      <c r="AA119" s="331">
        <f t="shared" si="9"/>
        <v>0</v>
      </c>
      <c r="AB119" s="331">
        <f t="shared" si="10"/>
        <v>0</v>
      </c>
      <c r="AC119" s="331">
        <f t="shared" si="11"/>
        <v>0</v>
      </c>
      <c r="AD119" s="331">
        <f t="shared" si="12"/>
        <v>0</v>
      </c>
      <c r="AE119" s="331">
        <f t="shared" si="13"/>
        <v>0</v>
      </c>
      <c r="AF119" s="355" t="s">
        <v>674</v>
      </c>
      <c r="AG119" s="838"/>
      <c r="AH119" s="744"/>
      <c r="AI119" s="292"/>
      <c r="AK119" s="300"/>
      <c r="AS119" s="452"/>
    </row>
    <row r="120" spans="1:45" s="299" customFormat="1" ht="27.6">
      <c r="A120" s="353">
        <v>305</v>
      </c>
      <c r="B120" s="352">
        <v>100</v>
      </c>
      <c r="C120" s="352">
        <v>150</v>
      </c>
      <c r="D120" s="352">
        <v>100</v>
      </c>
      <c r="E120" s="352"/>
      <c r="F120" s="352"/>
      <c r="G120" s="443" t="s">
        <v>675</v>
      </c>
      <c r="H120" s="334"/>
      <c r="I120" s="331"/>
      <c r="J120" s="359"/>
      <c r="K120" s="359"/>
      <c r="L120" s="359"/>
      <c r="M120" s="359"/>
      <c r="N120" s="332"/>
      <c r="O120" s="333"/>
      <c r="P120" s="331">
        <v>0</v>
      </c>
      <c r="Q120" s="332"/>
      <c r="R120" s="334"/>
      <c r="S120" s="331"/>
      <c r="T120" s="331"/>
      <c r="U120" s="331"/>
      <c r="V120" s="331"/>
      <c r="W120" s="331"/>
      <c r="X120" s="331"/>
      <c r="Y120" s="1352">
        <f t="shared" si="7"/>
        <v>0</v>
      </c>
      <c r="Z120" s="1353">
        <f t="shared" si="8"/>
        <v>0</v>
      </c>
      <c r="AA120" s="331">
        <f t="shared" si="9"/>
        <v>0</v>
      </c>
      <c r="AB120" s="331">
        <f t="shared" si="10"/>
        <v>0</v>
      </c>
      <c r="AC120" s="331">
        <f t="shared" si="11"/>
        <v>0</v>
      </c>
      <c r="AD120" s="331">
        <f t="shared" si="12"/>
        <v>0</v>
      </c>
      <c r="AE120" s="331">
        <f t="shared" si="13"/>
        <v>0</v>
      </c>
      <c r="AF120" s="355" t="s">
        <v>676</v>
      </c>
      <c r="AG120" s="838"/>
      <c r="AH120" s="744"/>
      <c r="AI120" s="292"/>
      <c r="AK120" s="300"/>
      <c r="AS120" s="452"/>
    </row>
    <row r="121" spans="1:45" s="299" customFormat="1" ht="41.4">
      <c r="A121" s="353">
        <v>305</v>
      </c>
      <c r="B121" s="352">
        <v>100</v>
      </c>
      <c r="C121" s="352">
        <v>150</v>
      </c>
      <c r="D121" s="352">
        <v>100</v>
      </c>
      <c r="E121" s="357">
        <v>10</v>
      </c>
      <c r="F121" s="352"/>
      <c r="G121" s="342" t="s">
        <v>677</v>
      </c>
      <c r="H121" s="329"/>
      <c r="I121" s="326"/>
      <c r="J121" s="358"/>
      <c r="K121" s="358"/>
      <c r="L121" s="358"/>
      <c r="M121" s="358"/>
      <c r="N121" s="327"/>
      <c r="O121" s="328"/>
      <c r="P121" s="326">
        <v>0</v>
      </c>
      <c r="Q121" s="327"/>
      <c r="R121" s="329"/>
      <c r="S121" s="326"/>
      <c r="T121" s="326"/>
      <c r="U121" s="326"/>
      <c r="V121" s="326"/>
      <c r="W121" s="326"/>
      <c r="X121" s="326"/>
      <c r="Y121" s="1350">
        <f t="shared" si="7"/>
        <v>0</v>
      </c>
      <c r="Z121" s="1351">
        <f t="shared" si="8"/>
        <v>0</v>
      </c>
      <c r="AA121" s="326">
        <f t="shared" si="9"/>
        <v>0</v>
      </c>
      <c r="AB121" s="326">
        <f t="shared" si="10"/>
        <v>0</v>
      </c>
      <c r="AC121" s="326">
        <f t="shared" si="11"/>
        <v>0</v>
      </c>
      <c r="AD121" s="326">
        <f t="shared" si="12"/>
        <v>0</v>
      </c>
      <c r="AE121" s="326">
        <f t="shared" si="13"/>
        <v>0</v>
      </c>
      <c r="AF121" s="355"/>
      <c r="AG121" s="838"/>
      <c r="AH121" s="744"/>
      <c r="AI121" s="292"/>
      <c r="AK121" s="300"/>
      <c r="AS121" s="452"/>
    </row>
    <row r="122" spans="1:45" s="299" customFormat="1" ht="41.4">
      <c r="A122" s="353">
        <v>305</v>
      </c>
      <c r="B122" s="352">
        <v>100</v>
      </c>
      <c r="C122" s="352">
        <v>150</v>
      </c>
      <c r="D122" s="352">
        <v>100</v>
      </c>
      <c r="E122" s="357">
        <v>20</v>
      </c>
      <c r="F122" s="352"/>
      <c r="G122" s="342" t="s">
        <v>678</v>
      </c>
      <c r="H122" s="329"/>
      <c r="I122" s="326"/>
      <c r="J122" s="358"/>
      <c r="K122" s="358"/>
      <c r="L122" s="358"/>
      <c r="M122" s="358"/>
      <c r="N122" s="327"/>
      <c r="O122" s="328"/>
      <c r="P122" s="326">
        <v>0</v>
      </c>
      <c r="Q122" s="327"/>
      <c r="R122" s="529">
        <f>412758.4-4222</f>
        <v>408536.4</v>
      </c>
      <c r="S122" s="326"/>
      <c r="T122" s="326"/>
      <c r="U122" s="326">
        <v>406300</v>
      </c>
      <c r="V122" s="326"/>
      <c r="W122" s="326"/>
      <c r="X122" s="326">
        <v>322000</v>
      </c>
      <c r="Y122" s="1350">
        <f t="shared" si="7"/>
        <v>408536.4</v>
      </c>
      <c r="Z122" s="1351">
        <f t="shared" si="8"/>
        <v>0</v>
      </c>
      <c r="AA122" s="326">
        <f t="shared" si="9"/>
        <v>0</v>
      </c>
      <c r="AB122" s="326">
        <f t="shared" si="10"/>
        <v>406300</v>
      </c>
      <c r="AC122" s="326">
        <f t="shared" si="11"/>
        <v>0</v>
      </c>
      <c r="AD122" s="326">
        <f t="shared" si="12"/>
        <v>0</v>
      </c>
      <c r="AE122" s="326">
        <f t="shared" si="13"/>
        <v>322000</v>
      </c>
      <c r="AF122" s="355"/>
      <c r="AG122" s="838"/>
      <c r="AH122" s="744"/>
      <c r="AI122" s="292"/>
      <c r="AK122" s="300"/>
      <c r="AS122" s="452"/>
    </row>
    <row r="123" spans="1:45" s="299" customFormat="1" ht="55.2">
      <c r="A123" s="353">
        <v>305</v>
      </c>
      <c r="B123" s="352">
        <v>100</v>
      </c>
      <c r="C123" s="352">
        <v>150</v>
      </c>
      <c r="D123" s="352">
        <v>150</v>
      </c>
      <c r="E123" s="357"/>
      <c r="F123" s="352"/>
      <c r="G123" s="342" t="s">
        <v>679</v>
      </c>
      <c r="H123" s="329"/>
      <c r="I123" s="326"/>
      <c r="J123" s="358"/>
      <c r="K123" s="358"/>
      <c r="L123" s="358"/>
      <c r="M123" s="358"/>
      <c r="N123" s="327"/>
      <c r="O123" s="328"/>
      <c r="P123" s="326">
        <v>0</v>
      </c>
      <c r="Q123" s="327"/>
      <c r="R123" s="329"/>
      <c r="S123" s="326"/>
      <c r="T123" s="326"/>
      <c r="U123" s="326"/>
      <c r="V123" s="326"/>
      <c r="W123" s="326"/>
      <c r="X123" s="326"/>
      <c r="Y123" s="1350">
        <f t="shared" si="7"/>
        <v>0</v>
      </c>
      <c r="Z123" s="1351">
        <f t="shared" si="8"/>
        <v>0</v>
      </c>
      <c r="AA123" s="326">
        <f t="shared" si="9"/>
        <v>0</v>
      </c>
      <c r="AB123" s="326">
        <f t="shared" si="10"/>
        <v>0</v>
      </c>
      <c r="AC123" s="326">
        <f t="shared" si="11"/>
        <v>0</v>
      </c>
      <c r="AD123" s="326">
        <f t="shared" si="12"/>
        <v>0</v>
      </c>
      <c r="AE123" s="326">
        <f t="shared" si="13"/>
        <v>0</v>
      </c>
      <c r="AF123" s="355" t="s">
        <v>680</v>
      </c>
      <c r="AG123" s="838"/>
      <c r="AH123" s="744"/>
      <c r="AI123" s="292"/>
      <c r="AK123" s="300"/>
      <c r="AS123" s="452"/>
    </row>
    <row r="124" spans="1:45" s="433" customFormat="1" ht="27.6">
      <c r="A124" s="353">
        <v>305</v>
      </c>
      <c r="B124" s="352">
        <v>100</v>
      </c>
      <c r="C124" s="352">
        <v>150</v>
      </c>
      <c r="D124" s="357">
        <v>200</v>
      </c>
      <c r="E124" s="352"/>
      <c r="F124" s="352"/>
      <c r="G124" s="342" t="s">
        <v>681</v>
      </c>
      <c r="H124" s="329"/>
      <c r="I124" s="326"/>
      <c r="J124" s="358"/>
      <c r="K124" s="358"/>
      <c r="L124" s="358"/>
      <c r="M124" s="358"/>
      <c r="N124" s="327"/>
      <c r="O124" s="328"/>
      <c r="P124" s="326">
        <v>0</v>
      </c>
      <c r="Q124" s="327"/>
      <c r="R124" s="329"/>
      <c r="S124" s="326"/>
      <c r="T124" s="326"/>
      <c r="U124" s="326"/>
      <c r="V124" s="326"/>
      <c r="W124" s="326"/>
      <c r="X124" s="326"/>
      <c r="Y124" s="1350">
        <f t="shared" si="7"/>
        <v>0</v>
      </c>
      <c r="Z124" s="1351">
        <f t="shared" si="8"/>
        <v>0</v>
      </c>
      <c r="AA124" s="326">
        <f t="shared" si="9"/>
        <v>0</v>
      </c>
      <c r="AB124" s="326">
        <f t="shared" si="10"/>
        <v>0</v>
      </c>
      <c r="AC124" s="326">
        <f t="shared" si="11"/>
        <v>0</v>
      </c>
      <c r="AD124" s="326">
        <f t="shared" si="12"/>
        <v>0</v>
      </c>
      <c r="AE124" s="326">
        <f t="shared" si="13"/>
        <v>0</v>
      </c>
      <c r="AF124" s="355" t="s">
        <v>682</v>
      </c>
      <c r="AG124" s="838"/>
      <c r="AH124" s="745"/>
      <c r="AI124" s="435"/>
      <c r="AK124" s="434"/>
      <c r="AS124" s="1402"/>
    </row>
    <row r="125" spans="1:45" s="299" customFormat="1" ht="41.4">
      <c r="A125" s="353">
        <v>305</v>
      </c>
      <c r="B125" s="352">
        <v>100</v>
      </c>
      <c r="C125" s="352">
        <v>150</v>
      </c>
      <c r="D125" s="357">
        <v>250</v>
      </c>
      <c r="E125" s="352"/>
      <c r="F125" s="352"/>
      <c r="G125" s="315" t="s">
        <v>683</v>
      </c>
      <c r="H125" s="401"/>
      <c r="I125" s="395"/>
      <c r="J125" s="402"/>
      <c r="K125" s="402"/>
      <c r="L125" s="402"/>
      <c r="M125" s="402"/>
      <c r="N125" s="396"/>
      <c r="O125" s="798"/>
      <c r="P125" s="395">
        <v>0</v>
      </c>
      <c r="Q125" s="396"/>
      <c r="R125" s="401"/>
      <c r="S125" s="395"/>
      <c r="T125" s="395"/>
      <c r="U125" s="395"/>
      <c r="V125" s="395"/>
      <c r="W125" s="395"/>
      <c r="X125" s="395"/>
      <c r="Y125" s="1354">
        <f t="shared" si="7"/>
        <v>0</v>
      </c>
      <c r="Z125" s="1355">
        <f t="shared" si="8"/>
        <v>0</v>
      </c>
      <c r="AA125" s="395">
        <f t="shared" si="9"/>
        <v>0</v>
      </c>
      <c r="AB125" s="395">
        <f t="shared" si="10"/>
        <v>0</v>
      </c>
      <c r="AC125" s="395">
        <f t="shared" si="11"/>
        <v>0</v>
      </c>
      <c r="AD125" s="395">
        <f t="shared" si="12"/>
        <v>0</v>
      </c>
      <c r="AE125" s="395">
        <f t="shared" si="13"/>
        <v>0</v>
      </c>
      <c r="AF125" s="355" t="s">
        <v>684</v>
      </c>
      <c r="AG125" s="838"/>
      <c r="AH125" s="744"/>
      <c r="AI125" s="292"/>
      <c r="AK125" s="300"/>
      <c r="AS125" s="452"/>
    </row>
    <row r="126" spans="1:45" s="299" customFormat="1">
      <c r="A126" s="353">
        <v>305</v>
      </c>
      <c r="B126" s="352">
        <v>100</v>
      </c>
      <c r="C126" s="352">
        <v>150</v>
      </c>
      <c r="D126" s="352">
        <v>300</v>
      </c>
      <c r="E126" s="352"/>
      <c r="F126" s="352"/>
      <c r="G126" s="443" t="s">
        <v>671</v>
      </c>
      <c r="H126" s="334"/>
      <c r="I126" s="331"/>
      <c r="J126" s="359"/>
      <c r="K126" s="359"/>
      <c r="L126" s="359"/>
      <c r="M126" s="359"/>
      <c r="N126" s="332"/>
      <c r="O126" s="333"/>
      <c r="P126" s="331">
        <v>0</v>
      </c>
      <c r="Q126" s="332"/>
      <c r="R126" s="334"/>
      <c r="S126" s="331"/>
      <c r="T126" s="331"/>
      <c r="U126" s="331"/>
      <c r="V126" s="331"/>
      <c r="W126" s="331"/>
      <c r="X126" s="331"/>
      <c r="Y126" s="1352">
        <f t="shared" si="7"/>
        <v>0</v>
      </c>
      <c r="Z126" s="1353">
        <f t="shared" si="8"/>
        <v>0</v>
      </c>
      <c r="AA126" s="331">
        <f t="shared" si="9"/>
        <v>0</v>
      </c>
      <c r="AB126" s="331">
        <f t="shared" si="10"/>
        <v>0</v>
      </c>
      <c r="AC126" s="331">
        <f t="shared" si="11"/>
        <v>0</v>
      </c>
      <c r="AD126" s="331">
        <f t="shared" si="12"/>
        <v>0</v>
      </c>
      <c r="AE126" s="331">
        <f t="shared" si="13"/>
        <v>0</v>
      </c>
      <c r="AF126" s="355" t="s">
        <v>685</v>
      </c>
      <c r="AG126" s="838"/>
      <c r="AH126" s="744"/>
      <c r="AI126" s="292"/>
      <c r="AK126" s="300"/>
      <c r="AS126" s="452"/>
    </row>
    <row r="127" spans="1:45" s="299" customFormat="1" ht="41.4">
      <c r="A127" s="353">
        <v>305</v>
      </c>
      <c r="B127" s="352">
        <v>100</v>
      </c>
      <c r="C127" s="352">
        <v>150</v>
      </c>
      <c r="D127" s="352">
        <v>300</v>
      </c>
      <c r="E127" s="357">
        <v>10</v>
      </c>
      <c r="F127" s="352"/>
      <c r="G127" s="342" t="s">
        <v>686</v>
      </c>
      <c r="H127" s="329"/>
      <c r="I127" s="326"/>
      <c r="J127" s="358"/>
      <c r="K127" s="358"/>
      <c r="L127" s="358"/>
      <c r="M127" s="358"/>
      <c r="N127" s="327"/>
      <c r="O127" s="328"/>
      <c r="P127" s="326">
        <v>0</v>
      </c>
      <c r="Q127" s="327"/>
      <c r="R127" s="329"/>
      <c r="S127" s="326"/>
      <c r="T127" s="326"/>
      <c r="U127" s="326"/>
      <c r="V127" s="326"/>
      <c r="W127" s="326"/>
      <c r="X127" s="326"/>
      <c r="Y127" s="1350">
        <f t="shared" si="7"/>
        <v>0</v>
      </c>
      <c r="Z127" s="1351">
        <f t="shared" si="8"/>
        <v>0</v>
      </c>
      <c r="AA127" s="326">
        <f t="shared" si="9"/>
        <v>0</v>
      </c>
      <c r="AB127" s="326">
        <f t="shared" si="10"/>
        <v>0</v>
      </c>
      <c r="AC127" s="326">
        <f t="shared" si="11"/>
        <v>0</v>
      </c>
      <c r="AD127" s="326">
        <f t="shared" si="12"/>
        <v>0</v>
      </c>
      <c r="AE127" s="326">
        <f t="shared" si="13"/>
        <v>0</v>
      </c>
      <c r="AF127" s="355"/>
      <c r="AG127" s="838"/>
      <c r="AH127" s="744"/>
      <c r="AI127" s="292"/>
      <c r="AK127" s="300"/>
      <c r="AS127" s="452"/>
    </row>
    <row r="128" spans="1:45" s="299" customFormat="1" ht="41.4">
      <c r="A128" s="353">
        <v>305</v>
      </c>
      <c r="B128" s="352">
        <v>100</v>
      </c>
      <c r="C128" s="352">
        <v>150</v>
      </c>
      <c r="D128" s="352">
        <v>300</v>
      </c>
      <c r="E128" s="357">
        <v>20</v>
      </c>
      <c r="F128" s="352"/>
      <c r="G128" s="342" t="s">
        <v>687</v>
      </c>
      <c r="H128" s="329"/>
      <c r="I128" s="326"/>
      <c r="J128" s="358"/>
      <c r="K128" s="358"/>
      <c r="L128" s="358"/>
      <c r="M128" s="358"/>
      <c r="N128" s="327"/>
      <c r="O128" s="328"/>
      <c r="P128" s="326">
        <v>0</v>
      </c>
      <c r="Q128" s="327"/>
      <c r="R128" s="329"/>
      <c r="S128" s="326"/>
      <c r="T128" s="326"/>
      <c r="U128" s="326"/>
      <c r="V128" s="326"/>
      <c r="W128" s="326"/>
      <c r="X128" s="326">
        <v>570000</v>
      </c>
      <c r="Y128" s="1350">
        <f t="shared" si="7"/>
        <v>0</v>
      </c>
      <c r="Z128" s="1351">
        <f t="shared" si="8"/>
        <v>0</v>
      </c>
      <c r="AA128" s="326">
        <f t="shared" si="9"/>
        <v>0</v>
      </c>
      <c r="AB128" s="326">
        <f t="shared" si="10"/>
        <v>0</v>
      </c>
      <c r="AC128" s="326">
        <f t="shared" si="11"/>
        <v>0</v>
      </c>
      <c r="AD128" s="326">
        <f t="shared" si="12"/>
        <v>0</v>
      </c>
      <c r="AE128" s="326">
        <f t="shared" si="13"/>
        <v>570000</v>
      </c>
      <c r="AF128" s="355"/>
      <c r="AG128" s="838"/>
      <c r="AH128" s="744"/>
      <c r="AI128" s="297"/>
      <c r="AK128" s="300"/>
      <c r="AN128" s="429"/>
      <c r="AS128" s="452"/>
    </row>
    <row r="129" spans="1:45" s="299" customFormat="1" ht="41.4">
      <c r="A129" s="353">
        <v>305</v>
      </c>
      <c r="B129" s="352">
        <v>100</v>
      </c>
      <c r="C129" s="352">
        <v>150</v>
      </c>
      <c r="D129" s="352">
        <v>350</v>
      </c>
      <c r="E129" s="357"/>
      <c r="F129" s="352"/>
      <c r="G129" s="342" t="s">
        <v>688</v>
      </c>
      <c r="H129" s="401"/>
      <c r="I129" s="395"/>
      <c r="J129" s="402"/>
      <c r="K129" s="402"/>
      <c r="L129" s="402"/>
      <c r="M129" s="402"/>
      <c r="N129" s="396"/>
      <c r="O129" s="798"/>
      <c r="P129" s="395">
        <v>0</v>
      </c>
      <c r="Q129" s="396"/>
      <c r="R129" s="401"/>
      <c r="S129" s="395"/>
      <c r="T129" s="395"/>
      <c r="U129" s="395"/>
      <c r="V129" s="395"/>
      <c r="W129" s="395"/>
      <c r="X129" s="395"/>
      <c r="Y129" s="1354">
        <f t="shared" si="7"/>
        <v>0</v>
      </c>
      <c r="Z129" s="1355">
        <f t="shared" si="8"/>
        <v>0</v>
      </c>
      <c r="AA129" s="395">
        <f t="shared" si="9"/>
        <v>0</v>
      </c>
      <c r="AB129" s="395">
        <f t="shared" si="10"/>
        <v>0</v>
      </c>
      <c r="AC129" s="395">
        <f t="shared" si="11"/>
        <v>0</v>
      </c>
      <c r="AD129" s="395">
        <f t="shared" si="12"/>
        <v>0</v>
      </c>
      <c r="AE129" s="395">
        <f t="shared" si="13"/>
        <v>0</v>
      </c>
      <c r="AF129" s="355" t="s">
        <v>689</v>
      </c>
      <c r="AG129" s="838"/>
      <c r="AH129" s="744"/>
      <c r="AI129" s="292"/>
      <c r="AK129" s="300"/>
      <c r="AS129" s="452"/>
    </row>
    <row r="130" spans="1:45" s="299" customFormat="1">
      <c r="A130" s="353">
        <v>305</v>
      </c>
      <c r="B130" s="352">
        <v>100</v>
      </c>
      <c r="C130" s="352">
        <v>150</v>
      </c>
      <c r="D130" s="352">
        <v>400</v>
      </c>
      <c r="E130" s="352"/>
      <c r="F130" s="352"/>
      <c r="G130" s="443" t="s">
        <v>690</v>
      </c>
      <c r="H130" s="334"/>
      <c r="I130" s="331"/>
      <c r="J130" s="359"/>
      <c r="K130" s="359"/>
      <c r="L130" s="359"/>
      <c r="M130" s="359"/>
      <c r="N130" s="332"/>
      <c r="O130" s="333"/>
      <c r="P130" s="331">
        <v>0</v>
      </c>
      <c r="Q130" s="332"/>
      <c r="R130" s="334"/>
      <c r="S130" s="331"/>
      <c r="T130" s="331"/>
      <c r="U130" s="331"/>
      <c r="V130" s="331"/>
      <c r="W130" s="331"/>
      <c r="X130" s="331"/>
      <c r="Y130" s="1352">
        <f t="shared" si="7"/>
        <v>0</v>
      </c>
      <c r="Z130" s="1353">
        <f t="shared" si="8"/>
        <v>0</v>
      </c>
      <c r="AA130" s="331">
        <f t="shared" si="9"/>
        <v>0</v>
      </c>
      <c r="AB130" s="331">
        <f t="shared" si="10"/>
        <v>0</v>
      </c>
      <c r="AC130" s="331">
        <f t="shared" si="11"/>
        <v>0</v>
      </c>
      <c r="AD130" s="331">
        <f t="shared" si="12"/>
        <v>0</v>
      </c>
      <c r="AE130" s="331">
        <f t="shared" si="13"/>
        <v>0</v>
      </c>
      <c r="AF130" s="355" t="s">
        <v>691</v>
      </c>
      <c r="AG130" s="838"/>
      <c r="AH130" s="744"/>
      <c r="AI130" s="292"/>
      <c r="AK130" s="300"/>
      <c r="AN130" s="429"/>
      <c r="AS130" s="452"/>
    </row>
    <row r="131" spans="1:45" s="299" customFormat="1">
      <c r="A131" s="353">
        <v>305</v>
      </c>
      <c r="B131" s="352">
        <v>100</v>
      </c>
      <c r="C131" s="352">
        <v>150</v>
      </c>
      <c r="D131" s="352">
        <v>400</v>
      </c>
      <c r="E131" s="357">
        <v>10</v>
      </c>
      <c r="F131" s="352"/>
      <c r="G131" s="342" t="s">
        <v>692</v>
      </c>
      <c r="H131" s="329"/>
      <c r="I131" s="326"/>
      <c r="J131" s="358"/>
      <c r="K131" s="358"/>
      <c r="L131" s="358"/>
      <c r="M131" s="358"/>
      <c r="N131" s="327"/>
      <c r="O131" s="328"/>
      <c r="P131" s="326">
        <v>0</v>
      </c>
      <c r="Q131" s="327"/>
      <c r="R131" s="329"/>
      <c r="S131" s="326"/>
      <c r="T131" s="326"/>
      <c r="U131" s="326"/>
      <c r="V131" s="326"/>
      <c r="W131" s="326"/>
      <c r="X131" s="326"/>
      <c r="Y131" s="1350">
        <f t="shared" si="7"/>
        <v>0</v>
      </c>
      <c r="Z131" s="1351">
        <f t="shared" si="8"/>
        <v>0</v>
      </c>
      <c r="AA131" s="326">
        <f t="shared" si="9"/>
        <v>0</v>
      </c>
      <c r="AB131" s="326">
        <f t="shared" si="10"/>
        <v>0</v>
      </c>
      <c r="AC131" s="326">
        <f t="shared" si="11"/>
        <v>0</v>
      </c>
      <c r="AD131" s="326">
        <f t="shared" si="12"/>
        <v>0</v>
      </c>
      <c r="AE131" s="326">
        <f t="shared" si="13"/>
        <v>0</v>
      </c>
      <c r="AF131" s="355"/>
      <c r="AG131" s="838"/>
      <c r="AH131" s="744"/>
      <c r="AI131" s="292"/>
      <c r="AK131" s="300"/>
      <c r="AN131" s="429"/>
      <c r="AS131" s="452"/>
    </row>
    <row r="132" spans="1:45" s="299" customFormat="1">
      <c r="A132" s="353">
        <v>305</v>
      </c>
      <c r="B132" s="352">
        <v>100</v>
      </c>
      <c r="C132" s="352">
        <v>150</v>
      </c>
      <c r="D132" s="352">
        <v>400</v>
      </c>
      <c r="E132" s="357">
        <v>20</v>
      </c>
      <c r="F132" s="352"/>
      <c r="G132" s="342" t="s">
        <v>693</v>
      </c>
      <c r="H132" s="329"/>
      <c r="I132" s="326"/>
      <c r="J132" s="358"/>
      <c r="K132" s="358"/>
      <c r="L132" s="358"/>
      <c r="M132" s="358"/>
      <c r="N132" s="327"/>
      <c r="O132" s="328"/>
      <c r="P132" s="326">
        <v>0</v>
      </c>
      <c r="Q132" s="327"/>
      <c r="R132" s="329"/>
      <c r="S132" s="326"/>
      <c r="T132" s="326"/>
      <c r="U132" s="326"/>
      <c r="V132" s="326"/>
      <c r="W132" s="326"/>
      <c r="X132" s="326"/>
      <c r="Y132" s="1350">
        <f t="shared" si="7"/>
        <v>0</v>
      </c>
      <c r="Z132" s="1351">
        <f t="shared" si="8"/>
        <v>0</v>
      </c>
      <c r="AA132" s="326">
        <f t="shared" si="9"/>
        <v>0</v>
      </c>
      <c r="AB132" s="326">
        <f t="shared" si="10"/>
        <v>0</v>
      </c>
      <c r="AC132" s="326">
        <f t="shared" si="11"/>
        <v>0</v>
      </c>
      <c r="AD132" s="326">
        <f t="shared" si="12"/>
        <v>0</v>
      </c>
      <c r="AE132" s="326">
        <f t="shared" si="13"/>
        <v>0</v>
      </c>
      <c r="AF132" s="355"/>
      <c r="AG132" s="838"/>
      <c r="AH132" s="744"/>
      <c r="AI132" s="292"/>
      <c r="AK132" s="300"/>
      <c r="AS132" s="452"/>
    </row>
    <row r="133" spans="1:45" s="299" customFormat="1" ht="27.6">
      <c r="A133" s="353">
        <v>305</v>
      </c>
      <c r="B133" s="352">
        <v>100</v>
      </c>
      <c r="C133" s="352">
        <v>150</v>
      </c>
      <c r="D133" s="352">
        <v>400</v>
      </c>
      <c r="E133" s="357">
        <v>30</v>
      </c>
      <c r="F133" s="352"/>
      <c r="G133" s="342" t="s">
        <v>631</v>
      </c>
      <c r="H133" s="329"/>
      <c r="I133" s="326"/>
      <c r="J133" s="358"/>
      <c r="K133" s="358"/>
      <c r="L133" s="358"/>
      <c r="M133" s="358"/>
      <c r="N133" s="327"/>
      <c r="O133" s="328"/>
      <c r="P133" s="326">
        <v>0</v>
      </c>
      <c r="Q133" s="327"/>
      <c r="R133" s="329"/>
      <c r="S133" s="326"/>
      <c r="T133" s="326"/>
      <c r="U133" s="326"/>
      <c r="V133" s="326"/>
      <c r="W133" s="326"/>
      <c r="X133" s="326"/>
      <c r="Y133" s="1350">
        <f t="shared" si="7"/>
        <v>0</v>
      </c>
      <c r="Z133" s="1351">
        <f t="shared" si="8"/>
        <v>0</v>
      </c>
      <c r="AA133" s="326">
        <f t="shared" si="9"/>
        <v>0</v>
      </c>
      <c r="AB133" s="326">
        <f t="shared" si="10"/>
        <v>0</v>
      </c>
      <c r="AC133" s="326">
        <f t="shared" si="11"/>
        <v>0</v>
      </c>
      <c r="AD133" s="326">
        <f t="shared" si="12"/>
        <v>0</v>
      </c>
      <c r="AE133" s="326">
        <f t="shared" si="13"/>
        <v>0</v>
      </c>
      <c r="AF133" s="355"/>
      <c r="AG133" s="838"/>
      <c r="AH133" s="744"/>
      <c r="AI133" s="292"/>
      <c r="AK133" s="300"/>
      <c r="AN133" s="429"/>
      <c r="AS133" s="452"/>
    </row>
    <row r="134" spans="1:45" s="299" customFormat="1">
      <c r="A134" s="353">
        <v>305</v>
      </c>
      <c r="B134" s="352">
        <v>100</v>
      </c>
      <c r="C134" s="352">
        <v>150</v>
      </c>
      <c r="D134" s="352">
        <v>400</v>
      </c>
      <c r="E134" s="357">
        <v>40</v>
      </c>
      <c r="F134" s="352"/>
      <c r="G134" s="342" t="s">
        <v>632</v>
      </c>
      <c r="H134" s="329"/>
      <c r="I134" s="326"/>
      <c r="J134" s="358"/>
      <c r="K134" s="358"/>
      <c r="L134" s="358"/>
      <c r="M134" s="358"/>
      <c r="N134" s="327"/>
      <c r="O134" s="328"/>
      <c r="P134" s="326">
        <v>0</v>
      </c>
      <c r="Q134" s="327"/>
      <c r="R134" s="329"/>
      <c r="S134" s="326"/>
      <c r="T134" s="326"/>
      <c r="U134" s="326"/>
      <c r="V134" s="326"/>
      <c r="W134" s="326"/>
      <c r="X134" s="326"/>
      <c r="Y134" s="1350">
        <f t="shared" si="7"/>
        <v>0</v>
      </c>
      <c r="Z134" s="1351">
        <f t="shared" si="8"/>
        <v>0</v>
      </c>
      <c r="AA134" s="326">
        <f t="shared" si="9"/>
        <v>0</v>
      </c>
      <c r="AB134" s="326">
        <f t="shared" si="10"/>
        <v>0</v>
      </c>
      <c r="AC134" s="326">
        <f t="shared" si="11"/>
        <v>0</v>
      </c>
      <c r="AD134" s="326">
        <f t="shared" si="12"/>
        <v>0</v>
      </c>
      <c r="AE134" s="326">
        <f t="shared" si="13"/>
        <v>0</v>
      </c>
      <c r="AF134" s="355"/>
      <c r="AG134" s="838"/>
      <c r="AH134" s="744"/>
      <c r="AI134" s="292"/>
      <c r="AK134" s="300"/>
      <c r="AS134" s="452"/>
    </row>
    <row r="135" spans="1:45" s="299" customFormat="1">
      <c r="A135" s="353">
        <v>305</v>
      </c>
      <c r="B135" s="352">
        <v>100</v>
      </c>
      <c r="C135" s="352">
        <v>150</v>
      </c>
      <c r="D135" s="352">
        <v>400</v>
      </c>
      <c r="E135" s="357">
        <v>50</v>
      </c>
      <c r="F135" s="352"/>
      <c r="G135" s="342" t="s">
        <v>633</v>
      </c>
      <c r="H135" s="329"/>
      <c r="I135" s="326"/>
      <c r="J135" s="358"/>
      <c r="K135" s="358"/>
      <c r="L135" s="358"/>
      <c r="M135" s="358"/>
      <c r="N135" s="327"/>
      <c r="O135" s="328"/>
      <c r="P135" s="326">
        <v>0</v>
      </c>
      <c r="Q135" s="327"/>
      <c r="R135" s="329"/>
      <c r="S135" s="326"/>
      <c r="T135" s="326"/>
      <c r="U135" s="326"/>
      <c r="V135" s="326"/>
      <c r="W135" s="326"/>
      <c r="X135" s="326"/>
      <c r="Y135" s="1350">
        <f t="shared" ref="Y135:Y198" si="14">+H135+O135+R135</f>
        <v>0</v>
      </c>
      <c r="Z135" s="1351">
        <f t="shared" ref="Z135:Z198" si="15">+I135+S135</f>
        <v>0</v>
      </c>
      <c r="AA135" s="326">
        <f t="shared" ref="AA135:AA198" si="16">+J135+T135</f>
        <v>0</v>
      </c>
      <c r="AB135" s="326">
        <f t="shared" ref="AB135:AB198" si="17">+K135+P135+U135</f>
        <v>0</v>
      </c>
      <c r="AC135" s="326">
        <f t="shared" ref="AC135:AC198" si="18">+L135+V135</f>
        <v>0</v>
      </c>
      <c r="AD135" s="326">
        <f t="shared" ref="AD135:AD198" si="19">+M135+W135</f>
        <v>0</v>
      </c>
      <c r="AE135" s="326">
        <f t="shared" ref="AE135:AE198" si="20">+N135+X135+Q135</f>
        <v>0</v>
      </c>
      <c r="AF135" s="355"/>
      <c r="AG135" s="838"/>
      <c r="AH135" s="744"/>
      <c r="AI135" s="292"/>
      <c r="AK135" s="300"/>
      <c r="AN135" s="429"/>
      <c r="AO135" s="429"/>
      <c r="AS135" s="452"/>
    </row>
    <row r="136" spans="1:45" s="299" customFormat="1">
      <c r="A136" s="353">
        <v>305</v>
      </c>
      <c r="B136" s="352">
        <v>100</v>
      </c>
      <c r="C136" s="352">
        <v>150</v>
      </c>
      <c r="D136" s="352">
        <v>400</v>
      </c>
      <c r="E136" s="357">
        <v>60</v>
      </c>
      <c r="F136" s="352"/>
      <c r="G136" s="342" t="s">
        <v>636</v>
      </c>
      <c r="H136" s="329"/>
      <c r="I136" s="326"/>
      <c r="J136" s="358"/>
      <c r="K136" s="358"/>
      <c r="L136" s="358"/>
      <c r="M136" s="358"/>
      <c r="N136" s="327"/>
      <c r="O136" s="328"/>
      <c r="P136" s="326">
        <v>0</v>
      </c>
      <c r="Q136" s="327"/>
      <c r="R136" s="329"/>
      <c r="S136" s="326"/>
      <c r="T136" s="326"/>
      <c r="U136" s="326"/>
      <c r="V136" s="326"/>
      <c r="W136" s="326"/>
      <c r="X136" s="326"/>
      <c r="Y136" s="1350">
        <f t="shared" si="14"/>
        <v>0</v>
      </c>
      <c r="Z136" s="1351">
        <f t="shared" si="15"/>
        <v>0</v>
      </c>
      <c r="AA136" s="326">
        <f t="shared" si="16"/>
        <v>0</v>
      </c>
      <c r="AB136" s="326">
        <f t="shared" si="17"/>
        <v>0</v>
      </c>
      <c r="AC136" s="326">
        <f t="shared" si="18"/>
        <v>0</v>
      </c>
      <c r="AD136" s="326">
        <f t="shared" si="19"/>
        <v>0</v>
      </c>
      <c r="AE136" s="326">
        <f t="shared" si="20"/>
        <v>0</v>
      </c>
      <c r="AF136" s="355"/>
      <c r="AG136" s="838"/>
      <c r="AH136" s="744"/>
      <c r="AI136" s="292"/>
      <c r="AK136" s="300"/>
      <c r="AN136" s="429"/>
      <c r="AS136" s="452"/>
    </row>
    <row r="137" spans="1:45" s="299" customFormat="1">
      <c r="A137" s="353">
        <v>305</v>
      </c>
      <c r="B137" s="352">
        <v>100</v>
      </c>
      <c r="C137" s="352">
        <v>150</v>
      </c>
      <c r="D137" s="352">
        <v>400</v>
      </c>
      <c r="E137" s="357">
        <v>70</v>
      </c>
      <c r="F137" s="352"/>
      <c r="G137" s="342" t="s">
        <v>637</v>
      </c>
      <c r="H137" s="329"/>
      <c r="I137" s="326"/>
      <c r="J137" s="358"/>
      <c r="K137" s="358"/>
      <c r="L137" s="358"/>
      <c r="M137" s="358"/>
      <c r="N137" s="327"/>
      <c r="O137" s="328"/>
      <c r="P137" s="326">
        <v>0</v>
      </c>
      <c r="Q137" s="327"/>
      <c r="R137" s="329"/>
      <c r="S137" s="326"/>
      <c r="T137" s="326"/>
      <c r="U137" s="326"/>
      <c r="V137" s="326"/>
      <c r="W137" s="326"/>
      <c r="X137" s="326"/>
      <c r="Y137" s="1350">
        <f t="shared" si="14"/>
        <v>0</v>
      </c>
      <c r="Z137" s="1351">
        <f t="shared" si="15"/>
        <v>0</v>
      </c>
      <c r="AA137" s="326">
        <f t="shared" si="16"/>
        <v>0</v>
      </c>
      <c r="AB137" s="326">
        <f t="shared" si="17"/>
        <v>0</v>
      </c>
      <c r="AC137" s="326">
        <f t="shared" si="18"/>
        <v>0</v>
      </c>
      <c r="AD137" s="326">
        <f t="shared" si="19"/>
        <v>0</v>
      </c>
      <c r="AE137" s="326">
        <f t="shared" si="20"/>
        <v>0</v>
      </c>
      <c r="AF137" s="355"/>
      <c r="AG137" s="838"/>
      <c r="AH137" s="744"/>
      <c r="AI137" s="292"/>
      <c r="AK137" s="300"/>
      <c r="AN137" s="429"/>
      <c r="AS137" s="452"/>
    </row>
    <row r="138" spans="1:45" s="299" customFormat="1">
      <c r="A138" s="353">
        <v>305</v>
      </c>
      <c r="B138" s="352">
        <v>100</v>
      </c>
      <c r="C138" s="352">
        <v>150</v>
      </c>
      <c r="D138" s="352">
        <v>500</v>
      </c>
      <c r="E138" s="352"/>
      <c r="F138" s="352"/>
      <c r="G138" s="443" t="s">
        <v>694</v>
      </c>
      <c r="H138" s="334"/>
      <c r="I138" s="331"/>
      <c r="J138" s="359"/>
      <c r="K138" s="359"/>
      <c r="L138" s="359"/>
      <c r="M138" s="359"/>
      <c r="N138" s="332"/>
      <c r="O138" s="333"/>
      <c r="P138" s="331">
        <v>0</v>
      </c>
      <c r="Q138" s="332"/>
      <c r="R138" s="334"/>
      <c r="S138" s="331"/>
      <c r="T138" s="331"/>
      <c r="U138" s="331"/>
      <c r="V138" s="331"/>
      <c r="W138" s="331"/>
      <c r="X138" s="331"/>
      <c r="Y138" s="1352">
        <f t="shared" si="14"/>
        <v>0</v>
      </c>
      <c r="Z138" s="1353">
        <f t="shared" si="15"/>
        <v>0</v>
      </c>
      <c r="AA138" s="331">
        <f t="shared" si="16"/>
        <v>0</v>
      </c>
      <c r="AB138" s="331">
        <f t="shared" si="17"/>
        <v>0</v>
      </c>
      <c r="AC138" s="331">
        <f t="shared" si="18"/>
        <v>0</v>
      </c>
      <c r="AD138" s="331">
        <f t="shared" si="19"/>
        <v>0</v>
      </c>
      <c r="AE138" s="331">
        <f t="shared" si="20"/>
        <v>0</v>
      </c>
      <c r="AF138" s="355" t="s">
        <v>695</v>
      </c>
      <c r="AG138" s="838"/>
      <c r="AH138" s="744"/>
      <c r="AI138" s="292"/>
      <c r="AK138" s="300"/>
      <c r="AS138" s="452"/>
    </row>
    <row r="139" spans="1:45" s="433" customFormat="1" ht="41.4">
      <c r="A139" s="353">
        <v>305</v>
      </c>
      <c r="B139" s="352">
        <v>100</v>
      </c>
      <c r="C139" s="352">
        <v>150</v>
      </c>
      <c r="D139" s="352">
        <v>500</v>
      </c>
      <c r="E139" s="357">
        <v>10</v>
      </c>
      <c r="F139" s="352"/>
      <c r="G139" s="342" t="s">
        <v>696</v>
      </c>
      <c r="H139" s="329"/>
      <c r="I139" s="326"/>
      <c r="J139" s="358"/>
      <c r="K139" s="358"/>
      <c r="L139" s="358"/>
      <c r="M139" s="358"/>
      <c r="N139" s="327"/>
      <c r="O139" s="328"/>
      <c r="P139" s="326">
        <v>0</v>
      </c>
      <c r="Q139" s="327"/>
      <c r="R139" s="329"/>
      <c r="S139" s="326"/>
      <c r="T139" s="326"/>
      <c r="U139" s="326"/>
      <c r="V139" s="326"/>
      <c r="W139" s="326"/>
      <c r="X139" s="326"/>
      <c r="Y139" s="1350">
        <f t="shared" si="14"/>
        <v>0</v>
      </c>
      <c r="Z139" s="1351">
        <f t="shared" si="15"/>
        <v>0</v>
      </c>
      <c r="AA139" s="326">
        <f t="shared" si="16"/>
        <v>0</v>
      </c>
      <c r="AB139" s="326">
        <f t="shared" si="17"/>
        <v>0</v>
      </c>
      <c r="AC139" s="326">
        <f t="shared" si="18"/>
        <v>0</v>
      </c>
      <c r="AD139" s="326">
        <f t="shared" si="19"/>
        <v>0</v>
      </c>
      <c r="AE139" s="326">
        <f t="shared" si="20"/>
        <v>0</v>
      </c>
      <c r="AF139" s="355" t="s">
        <v>697</v>
      </c>
      <c r="AG139" s="838"/>
      <c r="AH139" s="745"/>
      <c r="AI139" s="435"/>
      <c r="AK139" s="434"/>
      <c r="AS139" s="1402"/>
    </row>
    <row r="140" spans="1:45" s="299" customFormat="1" ht="55.2">
      <c r="A140" s="353">
        <v>305</v>
      </c>
      <c r="B140" s="352">
        <v>100</v>
      </c>
      <c r="C140" s="352">
        <v>150</v>
      </c>
      <c r="D140" s="352">
        <v>500</v>
      </c>
      <c r="E140" s="357">
        <v>15</v>
      </c>
      <c r="F140" s="352"/>
      <c r="G140" s="342" t="s">
        <v>698</v>
      </c>
      <c r="H140" s="329"/>
      <c r="I140" s="326"/>
      <c r="J140" s="358"/>
      <c r="K140" s="358"/>
      <c r="L140" s="358"/>
      <c r="M140" s="358"/>
      <c r="N140" s="327"/>
      <c r="O140" s="328"/>
      <c r="P140" s="326">
        <v>0</v>
      </c>
      <c r="Q140" s="327"/>
      <c r="R140" s="329"/>
      <c r="S140" s="326"/>
      <c r="T140" s="326"/>
      <c r="U140" s="326"/>
      <c r="V140" s="326"/>
      <c r="W140" s="326"/>
      <c r="X140" s="326"/>
      <c r="Y140" s="1350">
        <f t="shared" si="14"/>
        <v>0</v>
      </c>
      <c r="Z140" s="1351">
        <f t="shared" si="15"/>
        <v>0</v>
      </c>
      <c r="AA140" s="326">
        <f t="shared" si="16"/>
        <v>0</v>
      </c>
      <c r="AB140" s="326">
        <f t="shared" si="17"/>
        <v>0</v>
      </c>
      <c r="AC140" s="326">
        <f t="shared" si="18"/>
        <v>0</v>
      </c>
      <c r="AD140" s="326">
        <f t="shared" si="19"/>
        <v>0</v>
      </c>
      <c r="AE140" s="326">
        <f t="shared" si="20"/>
        <v>0</v>
      </c>
      <c r="AF140" s="355" t="s">
        <v>699</v>
      </c>
      <c r="AG140" s="838"/>
      <c r="AH140" s="744"/>
      <c r="AI140" s="292"/>
      <c r="AK140" s="300"/>
      <c r="AS140" s="452"/>
    </row>
    <row r="141" spans="1:45" s="433" customFormat="1" ht="41.4">
      <c r="A141" s="353">
        <v>305</v>
      </c>
      <c r="B141" s="352">
        <v>100</v>
      </c>
      <c r="C141" s="352">
        <v>150</v>
      </c>
      <c r="D141" s="352">
        <v>500</v>
      </c>
      <c r="E141" s="357">
        <v>20</v>
      </c>
      <c r="F141" s="352"/>
      <c r="G141" s="342" t="s">
        <v>700</v>
      </c>
      <c r="H141" s="329"/>
      <c r="I141" s="326"/>
      <c r="J141" s="358"/>
      <c r="K141" s="358"/>
      <c r="L141" s="358"/>
      <c r="M141" s="358"/>
      <c r="N141" s="327"/>
      <c r="O141" s="328"/>
      <c r="P141" s="326">
        <v>0</v>
      </c>
      <c r="Q141" s="327"/>
      <c r="R141" s="329"/>
      <c r="S141" s="326"/>
      <c r="T141" s="326"/>
      <c r="U141" s="326"/>
      <c r="V141" s="326"/>
      <c r="W141" s="326"/>
      <c r="X141" s="326"/>
      <c r="Y141" s="1350">
        <f t="shared" si="14"/>
        <v>0</v>
      </c>
      <c r="Z141" s="1351">
        <f t="shared" si="15"/>
        <v>0</v>
      </c>
      <c r="AA141" s="326">
        <f t="shared" si="16"/>
        <v>0</v>
      </c>
      <c r="AB141" s="326">
        <f t="shared" si="17"/>
        <v>0</v>
      </c>
      <c r="AC141" s="326">
        <f t="shared" si="18"/>
        <v>0</v>
      </c>
      <c r="AD141" s="326">
        <f t="shared" si="19"/>
        <v>0</v>
      </c>
      <c r="AE141" s="326">
        <f t="shared" si="20"/>
        <v>0</v>
      </c>
      <c r="AF141" s="355" t="s">
        <v>701</v>
      </c>
      <c r="AG141" s="838"/>
      <c r="AH141" s="745"/>
      <c r="AI141" s="435"/>
      <c r="AK141" s="434"/>
      <c r="AS141" s="1402"/>
    </row>
    <row r="142" spans="1:45" s="299" customFormat="1" ht="55.2">
      <c r="A142" s="353">
        <v>305</v>
      </c>
      <c r="B142" s="352">
        <v>100</v>
      </c>
      <c r="C142" s="352">
        <v>150</v>
      </c>
      <c r="D142" s="352">
        <v>500</v>
      </c>
      <c r="E142" s="357">
        <v>25</v>
      </c>
      <c r="F142" s="352"/>
      <c r="G142" s="342" t="s">
        <v>702</v>
      </c>
      <c r="H142" s="329"/>
      <c r="I142" s="326"/>
      <c r="J142" s="358"/>
      <c r="K142" s="358"/>
      <c r="L142" s="358"/>
      <c r="M142" s="358"/>
      <c r="N142" s="327"/>
      <c r="O142" s="328"/>
      <c r="P142" s="326">
        <v>0</v>
      </c>
      <c r="Q142" s="327"/>
      <c r="R142" s="329"/>
      <c r="S142" s="326"/>
      <c r="T142" s="326"/>
      <c r="U142" s="326"/>
      <c r="V142" s="326"/>
      <c r="W142" s="326"/>
      <c r="X142" s="326"/>
      <c r="Y142" s="1350">
        <f t="shared" si="14"/>
        <v>0</v>
      </c>
      <c r="Z142" s="1351">
        <f t="shared" si="15"/>
        <v>0</v>
      </c>
      <c r="AA142" s="326">
        <f t="shared" si="16"/>
        <v>0</v>
      </c>
      <c r="AB142" s="326">
        <f t="shared" si="17"/>
        <v>0</v>
      </c>
      <c r="AC142" s="326">
        <f t="shared" si="18"/>
        <v>0</v>
      </c>
      <c r="AD142" s="326">
        <f t="shared" si="19"/>
        <v>0</v>
      </c>
      <c r="AE142" s="326">
        <f t="shared" si="20"/>
        <v>0</v>
      </c>
      <c r="AF142" s="355" t="s">
        <v>703</v>
      </c>
      <c r="AG142" s="838"/>
      <c r="AH142" s="744"/>
      <c r="AI142" s="292"/>
      <c r="AK142" s="300"/>
      <c r="AS142" s="452"/>
    </row>
    <row r="143" spans="1:45" s="433" customFormat="1" ht="27.6">
      <c r="A143" s="353">
        <v>305</v>
      </c>
      <c r="B143" s="352">
        <v>100</v>
      </c>
      <c r="C143" s="352">
        <v>150</v>
      </c>
      <c r="D143" s="352">
        <v>500</v>
      </c>
      <c r="E143" s="357">
        <v>30</v>
      </c>
      <c r="F143" s="352"/>
      <c r="G143" s="342" t="s">
        <v>704</v>
      </c>
      <c r="H143" s="329"/>
      <c r="I143" s="326"/>
      <c r="J143" s="358"/>
      <c r="K143" s="358"/>
      <c r="L143" s="358"/>
      <c r="M143" s="358"/>
      <c r="N143" s="327"/>
      <c r="O143" s="328"/>
      <c r="P143" s="326">
        <v>0</v>
      </c>
      <c r="Q143" s="327"/>
      <c r="R143" s="329"/>
      <c r="S143" s="326"/>
      <c r="T143" s="326"/>
      <c r="U143" s="326"/>
      <c r="V143" s="326"/>
      <c r="W143" s="326"/>
      <c r="X143" s="326"/>
      <c r="Y143" s="1350">
        <f t="shared" si="14"/>
        <v>0</v>
      </c>
      <c r="Z143" s="1351">
        <f t="shared" si="15"/>
        <v>0</v>
      </c>
      <c r="AA143" s="326">
        <f t="shared" si="16"/>
        <v>0</v>
      </c>
      <c r="AB143" s="326">
        <f t="shared" si="17"/>
        <v>0</v>
      </c>
      <c r="AC143" s="326">
        <f t="shared" si="18"/>
        <v>0</v>
      </c>
      <c r="AD143" s="326">
        <f t="shared" si="19"/>
        <v>0</v>
      </c>
      <c r="AE143" s="326">
        <f t="shared" si="20"/>
        <v>0</v>
      </c>
      <c r="AF143" s="355" t="s">
        <v>705</v>
      </c>
      <c r="AG143" s="838"/>
      <c r="AH143" s="745"/>
      <c r="AI143" s="435"/>
      <c r="AK143" s="434"/>
      <c r="AS143" s="1402"/>
    </row>
    <row r="144" spans="1:45" s="299" customFormat="1" ht="41.4">
      <c r="A144" s="353">
        <v>305</v>
      </c>
      <c r="B144" s="352">
        <v>100</v>
      </c>
      <c r="C144" s="352">
        <v>150</v>
      </c>
      <c r="D144" s="352">
        <v>500</v>
      </c>
      <c r="E144" s="357">
        <v>35</v>
      </c>
      <c r="F144" s="352"/>
      <c r="G144" s="342" t="s">
        <v>706</v>
      </c>
      <c r="H144" s="329"/>
      <c r="I144" s="326"/>
      <c r="J144" s="358"/>
      <c r="K144" s="358"/>
      <c r="L144" s="358"/>
      <c r="M144" s="358"/>
      <c r="N144" s="327"/>
      <c r="O144" s="328"/>
      <c r="P144" s="326">
        <v>0</v>
      </c>
      <c r="Q144" s="327"/>
      <c r="R144" s="329"/>
      <c r="S144" s="326"/>
      <c r="T144" s="326"/>
      <c r="U144" s="326"/>
      <c r="V144" s="326"/>
      <c r="W144" s="326"/>
      <c r="X144" s="326"/>
      <c r="Y144" s="1350">
        <f t="shared" si="14"/>
        <v>0</v>
      </c>
      <c r="Z144" s="1351">
        <f t="shared" si="15"/>
        <v>0</v>
      </c>
      <c r="AA144" s="326">
        <f t="shared" si="16"/>
        <v>0</v>
      </c>
      <c r="AB144" s="326">
        <f t="shared" si="17"/>
        <v>0</v>
      </c>
      <c r="AC144" s="326">
        <f t="shared" si="18"/>
        <v>0</v>
      </c>
      <c r="AD144" s="326">
        <f t="shared" si="19"/>
        <v>0</v>
      </c>
      <c r="AE144" s="326">
        <f t="shared" si="20"/>
        <v>0</v>
      </c>
      <c r="AF144" s="355" t="s">
        <v>707</v>
      </c>
      <c r="AG144" s="838"/>
      <c r="AH144" s="744"/>
      <c r="AI144" s="292"/>
      <c r="AK144" s="300"/>
      <c r="AS144" s="452"/>
    </row>
    <row r="145" spans="1:45" s="433" customFormat="1" ht="27.6">
      <c r="A145" s="353">
        <v>305</v>
      </c>
      <c r="B145" s="352">
        <v>100</v>
      </c>
      <c r="C145" s="352">
        <v>150</v>
      </c>
      <c r="D145" s="352">
        <v>500</v>
      </c>
      <c r="E145" s="357">
        <v>40</v>
      </c>
      <c r="F145" s="352"/>
      <c r="G145" s="342" t="s">
        <v>708</v>
      </c>
      <c r="H145" s="329"/>
      <c r="I145" s="326"/>
      <c r="J145" s="358"/>
      <c r="K145" s="358"/>
      <c r="L145" s="358"/>
      <c r="M145" s="358"/>
      <c r="N145" s="327"/>
      <c r="O145" s="328"/>
      <c r="P145" s="326">
        <v>0</v>
      </c>
      <c r="Q145" s="327"/>
      <c r="R145" s="329"/>
      <c r="S145" s="326"/>
      <c r="T145" s="326"/>
      <c r="U145" s="326"/>
      <c r="V145" s="326"/>
      <c r="W145" s="326"/>
      <c r="X145" s="326"/>
      <c r="Y145" s="1350">
        <f t="shared" si="14"/>
        <v>0</v>
      </c>
      <c r="Z145" s="1351">
        <f t="shared" si="15"/>
        <v>0</v>
      </c>
      <c r="AA145" s="326">
        <f t="shared" si="16"/>
        <v>0</v>
      </c>
      <c r="AB145" s="326">
        <f t="shared" si="17"/>
        <v>0</v>
      </c>
      <c r="AC145" s="326">
        <f t="shared" si="18"/>
        <v>0</v>
      </c>
      <c r="AD145" s="326">
        <f t="shared" si="19"/>
        <v>0</v>
      </c>
      <c r="AE145" s="326">
        <f t="shared" si="20"/>
        <v>0</v>
      </c>
      <c r="AF145" s="355" t="s">
        <v>709</v>
      </c>
      <c r="AG145" s="838"/>
      <c r="AH145" s="745"/>
      <c r="AI145" s="435"/>
      <c r="AK145" s="434"/>
      <c r="AS145" s="1402"/>
    </row>
    <row r="146" spans="1:45" s="299" customFormat="1" ht="41.4">
      <c r="A146" s="353">
        <v>305</v>
      </c>
      <c r="B146" s="352">
        <v>100</v>
      </c>
      <c r="C146" s="352">
        <v>150</v>
      </c>
      <c r="D146" s="352">
        <v>500</v>
      </c>
      <c r="E146" s="357">
        <v>45</v>
      </c>
      <c r="F146" s="352"/>
      <c r="G146" s="342" t="s">
        <v>710</v>
      </c>
      <c r="H146" s="329"/>
      <c r="I146" s="326"/>
      <c r="J146" s="358"/>
      <c r="K146" s="358"/>
      <c r="L146" s="358"/>
      <c r="M146" s="358"/>
      <c r="N146" s="327"/>
      <c r="O146" s="328"/>
      <c r="P146" s="326">
        <v>0</v>
      </c>
      <c r="Q146" s="327"/>
      <c r="R146" s="329"/>
      <c r="S146" s="326"/>
      <c r="T146" s="326"/>
      <c r="U146" s="326"/>
      <c r="V146" s="326"/>
      <c r="W146" s="326"/>
      <c r="X146" s="326"/>
      <c r="Y146" s="1350">
        <f t="shared" si="14"/>
        <v>0</v>
      </c>
      <c r="Z146" s="1351">
        <f t="shared" si="15"/>
        <v>0</v>
      </c>
      <c r="AA146" s="326">
        <f t="shared" si="16"/>
        <v>0</v>
      </c>
      <c r="AB146" s="326">
        <f t="shared" si="17"/>
        <v>0</v>
      </c>
      <c r="AC146" s="326">
        <f t="shared" si="18"/>
        <v>0</v>
      </c>
      <c r="AD146" s="326">
        <f t="shared" si="19"/>
        <v>0</v>
      </c>
      <c r="AE146" s="326">
        <f t="shared" si="20"/>
        <v>0</v>
      </c>
      <c r="AF146" s="355" t="s">
        <v>711</v>
      </c>
      <c r="AG146" s="838"/>
      <c r="AH146" s="744"/>
      <c r="AI146" s="292"/>
      <c r="AK146" s="300"/>
      <c r="AS146" s="452"/>
    </row>
    <row r="147" spans="1:45" s="299" customFormat="1" ht="41.4">
      <c r="A147" s="353">
        <v>305</v>
      </c>
      <c r="B147" s="352">
        <v>100</v>
      </c>
      <c r="C147" s="352">
        <v>150</v>
      </c>
      <c r="D147" s="357">
        <v>600</v>
      </c>
      <c r="E147" s="357"/>
      <c r="F147" s="352"/>
      <c r="G147" s="342" t="s">
        <v>712</v>
      </c>
      <c r="H147" s="329"/>
      <c r="I147" s="326"/>
      <c r="J147" s="358"/>
      <c r="K147" s="358"/>
      <c r="L147" s="358"/>
      <c r="M147" s="358"/>
      <c r="N147" s="327"/>
      <c r="O147" s="328"/>
      <c r="P147" s="326">
        <v>0</v>
      </c>
      <c r="Q147" s="327"/>
      <c r="R147" s="329"/>
      <c r="S147" s="326"/>
      <c r="T147" s="326"/>
      <c r="U147" s="326"/>
      <c r="V147" s="326"/>
      <c r="W147" s="326"/>
      <c r="X147" s="326"/>
      <c r="Y147" s="1350">
        <f t="shared" si="14"/>
        <v>0</v>
      </c>
      <c r="Z147" s="1351">
        <f t="shared" si="15"/>
        <v>0</v>
      </c>
      <c r="AA147" s="326">
        <f t="shared" si="16"/>
        <v>0</v>
      </c>
      <c r="AB147" s="326">
        <f t="shared" si="17"/>
        <v>0</v>
      </c>
      <c r="AC147" s="326">
        <f t="shared" si="18"/>
        <v>0</v>
      </c>
      <c r="AD147" s="326">
        <f t="shared" si="19"/>
        <v>0</v>
      </c>
      <c r="AE147" s="326">
        <f t="shared" si="20"/>
        <v>0</v>
      </c>
      <c r="AF147" s="355" t="s">
        <v>713</v>
      </c>
      <c r="AG147" s="838"/>
      <c r="AH147" s="744"/>
      <c r="AI147" s="292"/>
      <c r="AK147" s="300"/>
      <c r="AS147" s="452"/>
    </row>
    <row r="148" spans="1:45" s="299" customFormat="1" ht="69">
      <c r="A148" s="353">
        <v>305</v>
      </c>
      <c r="B148" s="352">
        <v>100</v>
      </c>
      <c r="C148" s="352">
        <v>150</v>
      </c>
      <c r="D148" s="357">
        <v>700</v>
      </c>
      <c r="E148" s="357"/>
      <c r="F148" s="352"/>
      <c r="G148" s="342" t="s">
        <v>714</v>
      </c>
      <c r="H148" s="329"/>
      <c r="I148" s="326"/>
      <c r="J148" s="358"/>
      <c r="K148" s="358"/>
      <c r="L148" s="358"/>
      <c r="M148" s="358"/>
      <c r="N148" s="327"/>
      <c r="O148" s="328"/>
      <c r="P148" s="326">
        <v>0</v>
      </c>
      <c r="Q148" s="327"/>
      <c r="R148" s="329"/>
      <c r="S148" s="326"/>
      <c r="T148" s="326"/>
      <c r="U148" s="326"/>
      <c r="V148" s="326"/>
      <c r="W148" s="326"/>
      <c r="X148" s="326"/>
      <c r="Y148" s="1350">
        <f t="shared" si="14"/>
        <v>0</v>
      </c>
      <c r="Z148" s="1351">
        <f t="shared" si="15"/>
        <v>0</v>
      </c>
      <c r="AA148" s="326">
        <f t="shared" si="16"/>
        <v>0</v>
      </c>
      <c r="AB148" s="326">
        <f t="shared" si="17"/>
        <v>0</v>
      </c>
      <c r="AC148" s="326">
        <f t="shared" si="18"/>
        <v>0</v>
      </c>
      <c r="AD148" s="326">
        <f t="shared" si="19"/>
        <v>0</v>
      </c>
      <c r="AE148" s="326">
        <f t="shared" si="20"/>
        <v>0</v>
      </c>
      <c r="AF148" s="355" t="s">
        <v>715</v>
      </c>
      <c r="AG148" s="838"/>
      <c r="AH148" s="744"/>
      <c r="AI148" s="292"/>
      <c r="AK148" s="300"/>
      <c r="AS148" s="452"/>
    </row>
    <row r="149" spans="1:45" s="299" customFormat="1" ht="27.6">
      <c r="A149" s="353">
        <v>305</v>
      </c>
      <c r="B149" s="352">
        <v>100</v>
      </c>
      <c r="C149" s="352">
        <v>200</v>
      </c>
      <c r="D149" s="352"/>
      <c r="E149" s="357"/>
      <c r="F149" s="352"/>
      <c r="G149" s="443" t="s">
        <v>716</v>
      </c>
      <c r="H149" s="334"/>
      <c r="I149" s="331"/>
      <c r="J149" s="359"/>
      <c r="K149" s="359"/>
      <c r="L149" s="359"/>
      <c r="M149" s="359"/>
      <c r="N149" s="332"/>
      <c r="O149" s="333"/>
      <c r="P149" s="331">
        <v>0</v>
      </c>
      <c r="Q149" s="332"/>
      <c r="R149" s="334"/>
      <c r="S149" s="331"/>
      <c r="T149" s="331"/>
      <c r="U149" s="331"/>
      <c r="V149" s="331"/>
      <c r="W149" s="331"/>
      <c r="X149" s="331"/>
      <c r="Y149" s="1352">
        <f t="shared" si="14"/>
        <v>0</v>
      </c>
      <c r="Z149" s="1353">
        <f t="shared" si="15"/>
        <v>0</v>
      </c>
      <c r="AA149" s="331">
        <f t="shared" si="16"/>
        <v>0</v>
      </c>
      <c r="AB149" s="331">
        <f t="shared" si="17"/>
        <v>0</v>
      </c>
      <c r="AC149" s="331">
        <f t="shared" si="18"/>
        <v>0</v>
      </c>
      <c r="AD149" s="331">
        <f t="shared" si="19"/>
        <v>0</v>
      </c>
      <c r="AE149" s="331">
        <f t="shared" si="20"/>
        <v>0</v>
      </c>
      <c r="AF149" s="424" t="s">
        <v>717</v>
      </c>
      <c r="AG149" s="838"/>
      <c r="AH149" s="744"/>
      <c r="AI149" s="292"/>
      <c r="AK149" s="300"/>
      <c r="AS149" s="452"/>
    </row>
    <row r="150" spans="1:45" s="299" customFormat="1" ht="27.6">
      <c r="A150" s="353">
        <v>305</v>
      </c>
      <c r="B150" s="352">
        <v>100</v>
      </c>
      <c r="C150" s="352">
        <v>200</v>
      </c>
      <c r="D150" s="352">
        <v>100</v>
      </c>
      <c r="E150" s="357"/>
      <c r="F150" s="357"/>
      <c r="G150" s="342" t="s">
        <v>675</v>
      </c>
      <c r="H150" s="329"/>
      <c r="I150" s="326"/>
      <c r="J150" s="358"/>
      <c r="K150" s="358"/>
      <c r="L150" s="358"/>
      <c r="M150" s="358"/>
      <c r="N150" s="327"/>
      <c r="O150" s="328"/>
      <c r="P150" s="326">
        <v>0</v>
      </c>
      <c r="Q150" s="327"/>
      <c r="R150" s="329"/>
      <c r="S150" s="326"/>
      <c r="T150" s="326"/>
      <c r="U150" s="326"/>
      <c r="V150" s="326"/>
      <c r="W150" s="326"/>
      <c r="X150" s="326"/>
      <c r="Y150" s="1350">
        <f t="shared" si="14"/>
        <v>0</v>
      </c>
      <c r="Z150" s="1351">
        <f t="shared" si="15"/>
        <v>0</v>
      </c>
      <c r="AA150" s="326">
        <f t="shared" si="16"/>
        <v>0</v>
      </c>
      <c r="AB150" s="326">
        <f t="shared" si="17"/>
        <v>0</v>
      </c>
      <c r="AC150" s="326">
        <f t="shared" si="18"/>
        <v>0</v>
      </c>
      <c r="AD150" s="326">
        <f t="shared" si="19"/>
        <v>0</v>
      </c>
      <c r="AE150" s="326">
        <f t="shared" si="20"/>
        <v>0</v>
      </c>
      <c r="AF150" s="424" t="s">
        <v>718</v>
      </c>
      <c r="AG150" s="838"/>
      <c r="AH150" s="744"/>
      <c r="AI150" s="292"/>
      <c r="AK150" s="300"/>
      <c r="AS150" s="452"/>
    </row>
    <row r="151" spans="1:45" s="299" customFormat="1" ht="27.6">
      <c r="A151" s="353">
        <v>305</v>
      </c>
      <c r="B151" s="352">
        <v>100</v>
      </c>
      <c r="C151" s="352">
        <v>200</v>
      </c>
      <c r="D151" s="357">
        <v>200</v>
      </c>
      <c r="E151" s="352"/>
      <c r="F151" s="352"/>
      <c r="G151" s="342" t="s">
        <v>681</v>
      </c>
      <c r="H151" s="329"/>
      <c r="I151" s="326"/>
      <c r="J151" s="358"/>
      <c r="K151" s="358"/>
      <c r="L151" s="358"/>
      <c r="M151" s="358"/>
      <c r="N151" s="327"/>
      <c r="O151" s="328"/>
      <c r="P151" s="326">
        <v>0</v>
      </c>
      <c r="Q151" s="327"/>
      <c r="R151" s="329"/>
      <c r="S151" s="326"/>
      <c r="T151" s="326"/>
      <c r="U151" s="326"/>
      <c r="V151" s="326"/>
      <c r="W151" s="326"/>
      <c r="X151" s="326"/>
      <c r="Y151" s="1350">
        <f t="shared" si="14"/>
        <v>0</v>
      </c>
      <c r="Z151" s="1351">
        <f t="shared" si="15"/>
        <v>0</v>
      </c>
      <c r="AA151" s="326">
        <f t="shared" si="16"/>
        <v>0</v>
      </c>
      <c r="AB151" s="326">
        <f t="shared" si="17"/>
        <v>0</v>
      </c>
      <c r="AC151" s="326">
        <f t="shared" si="18"/>
        <v>0</v>
      </c>
      <c r="AD151" s="326">
        <f t="shared" si="19"/>
        <v>0</v>
      </c>
      <c r="AE151" s="326">
        <f t="shared" si="20"/>
        <v>0</v>
      </c>
      <c r="AF151" s="355" t="s">
        <v>719</v>
      </c>
      <c r="AG151" s="838"/>
      <c r="AH151" s="744"/>
      <c r="AI151" s="292"/>
      <c r="AK151" s="300"/>
      <c r="AS151" s="452"/>
    </row>
    <row r="152" spans="1:45" s="299" customFormat="1" ht="27.6">
      <c r="A152" s="353">
        <v>305</v>
      </c>
      <c r="B152" s="352">
        <v>100</v>
      </c>
      <c r="C152" s="352">
        <v>200</v>
      </c>
      <c r="D152" s="357">
        <v>300</v>
      </c>
      <c r="E152" s="352"/>
      <c r="F152" s="352"/>
      <c r="G152" s="342" t="s">
        <v>720</v>
      </c>
      <c r="H152" s="329"/>
      <c r="I152" s="326"/>
      <c r="J152" s="358"/>
      <c r="K152" s="358"/>
      <c r="L152" s="358"/>
      <c r="M152" s="358"/>
      <c r="N152" s="327"/>
      <c r="O152" s="328"/>
      <c r="P152" s="326">
        <v>0</v>
      </c>
      <c r="Q152" s="327"/>
      <c r="R152" s="329"/>
      <c r="S152" s="326"/>
      <c r="T152" s="326"/>
      <c r="U152" s="326"/>
      <c r="V152" s="326"/>
      <c r="W152" s="326"/>
      <c r="X152" s="326"/>
      <c r="Y152" s="1350">
        <f t="shared" si="14"/>
        <v>0</v>
      </c>
      <c r="Z152" s="1351">
        <f t="shared" si="15"/>
        <v>0</v>
      </c>
      <c r="AA152" s="326">
        <f t="shared" si="16"/>
        <v>0</v>
      </c>
      <c r="AB152" s="326">
        <f t="shared" si="17"/>
        <v>0</v>
      </c>
      <c r="AC152" s="326">
        <f t="shared" si="18"/>
        <v>0</v>
      </c>
      <c r="AD152" s="326">
        <f t="shared" si="19"/>
        <v>0</v>
      </c>
      <c r="AE152" s="326">
        <f t="shared" si="20"/>
        <v>0</v>
      </c>
      <c r="AF152" s="355" t="s">
        <v>721</v>
      </c>
      <c r="AG152" s="838"/>
      <c r="AH152" s="744"/>
      <c r="AI152" s="292"/>
      <c r="AK152" s="300"/>
      <c r="AS152" s="452"/>
    </row>
    <row r="153" spans="1:45" s="299" customFormat="1">
      <c r="A153" s="353">
        <v>305</v>
      </c>
      <c r="B153" s="352">
        <v>100</v>
      </c>
      <c r="C153" s="352">
        <v>200</v>
      </c>
      <c r="D153" s="352">
        <v>400</v>
      </c>
      <c r="E153" s="352"/>
      <c r="F153" s="352"/>
      <c r="G153" s="443" t="s">
        <v>722</v>
      </c>
      <c r="H153" s="334"/>
      <c r="I153" s="331"/>
      <c r="J153" s="359"/>
      <c r="K153" s="359"/>
      <c r="L153" s="359"/>
      <c r="M153" s="359"/>
      <c r="N153" s="332"/>
      <c r="O153" s="333"/>
      <c r="P153" s="331">
        <v>0</v>
      </c>
      <c r="Q153" s="332"/>
      <c r="R153" s="334"/>
      <c r="S153" s="331"/>
      <c r="T153" s="331"/>
      <c r="U153" s="331"/>
      <c r="V153" s="331"/>
      <c r="W153" s="331"/>
      <c r="X153" s="331"/>
      <c r="Y153" s="1352">
        <f t="shared" si="14"/>
        <v>0</v>
      </c>
      <c r="Z153" s="1353">
        <f t="shared" si="15"/>
        <v>0</v>
      </c>
      <c r="AA153" s="331">
        <f t="shared" si="16"/>
        <v>0</v>
      </c>
      <c r="AB153" s="331">
        <f t="shared" si="17"/>
        <v>0</v>
      </c>
      <c r="AC153" s="331">
        <f t="shared" si="18"/>
        <v>0</v>
      </c>
      <c r="AD153" s="331">
        <f t="shared" si="19"/>
        <v>0</v>
      </c>
      <c r="AE153" s="331">
        <f t="shared" si="20"/>
        <v>0</v>
      </c>
      <c r="AF153" s="355" t="s">
        <v>723</v>
      </c>
      <c r="AG153" s="838"/>
      <c r="AH153" s="744"/>
      <c r="AI153" s="292"/>
      <c r="AK153" s="300"/>
      <c r="AS153" s="452"/>
    </row>
    <row r="154" spans="1:45" s="299" customFormat="1" ht="27.6">
      <c r="A154" s="353">
        <v>305</v>
      </c>
      <c r="B154" s="352">
        <v>100</v>
      </c>
      <c r="C154" s="352">
        <v>200</v>
      </c>
      <c r="D154" s="352">
        <v>400</v>
      </c>
      <c r="E154" s="357">
        <v>10</v>
      </c>
      <c r="F154" s="352"/>
      <c r="G154" s="342" t="s">
        <v>724</v>
      </c>
      <c r="H154" s="329"/>
      <c r="I154" s="326"/>
      <c r="J154" s="358"/>
      <c r="K154" s="358"/>
      <c r="L154" s="358"/>
      <c r="M154" s="358"/>
      <c r="N154" s="327"/>
      <c r="O154" s="328"/>
      <c r="P154" s="326">
        <v>0</v>
      </c>
      <c r="Q154" s="327"/>
      <c r="R154" s="329"/>
      <c r="S154" s="326"/>
      <c r="T154" s="326"/>
      <c r="U154" s="326"/>
      <c r="V154" s="326"/>
      <c r="W154" s="326"/>
      <c r="X154" s="326"/>
      <c r="Y154" s="1350">
        <f t="shared" si="14"/>
        <v>0</v>
      </c>
      <c r="Z154" s="1351">
        <f t="shared" si="15"/>
        <v>0</v>
      </c>
      <c r="AA154" s="326">
        <f t="shared" si="16"/>
        <v>0</v>
      </c>
      <c r="AB154" s="326">
        <f t="shared" si="17"/>
        <v>0</v>
      </c>
      <c r="AC154" s="326">
        <f t="shared" si="18"/>
        <v>0</v>
      </c>
      <c r="AD154" s="326">
        <f t="shared" si="19"/>
        <v>0</v>
      </c>
      <c r="AE154" s="326">
        <f t="shared" si="20"/>
        <v>0</v>
      </c>
      <c r="AF154" s="355"/>
      <c r="AG154" s="838"/>
      <c r="AH154" s="744"/>
      <c r="AI154" s="292"/>
      <c r="AK154" s="300"/>
      <c r="AS154" s="452"/>
    </row>
    <row r="155" spans="1:45" s="299" customFormat="1" ht="27.6">
      <c r="A155" s="353">
        <v>305</v>
      </c>
      <c r="B155" s="352">
        <v>100</v>
      </c>
      <c r="C155" s="352">
        <v>200</v>
      </c>
      <c r="D155" s="352">
        <v>400</v>
      </c>
      <c r="E155" s="357">
        <v>20</v>
      </c>
      <c r="F155" s="352"/>
      <c r="G155" s="342" t="s">
        <v>725</v>
      </c>
      <c r="H155" s="329"/>
      <c r="I155" s="326"/>
      <c r="J155" s="358"/>
      <c r="K155" s="358"/>
      <c r="L155" s="358"/>
      <c r="M155" s="358"/>
      <c r="N155" s="327"/>
      <c r="O155" s="328"/>
      <c r="P155" s="326">
        <v>0</v>
      </c>
      <c r="Q155" s="327"/>
      <c r="R155" s="329"/>
      <c r="S155" s="326"/>
      <c r="T155" s="326"/>
      <c r="U155" s="326"/>
      <c r="V155" s="326"/>
      <c r="W155" s="326"/>
      <c r="X155" s="326"/>
      <c r="Y155" s="1350">
        <f t="shared" si="14"/>
        <v>0</v>
      </c>
      <c r="Z155" s="1351">
        <f t="shared" si="15"/>
        <v>0</v>
      </c>
      <c r="AA155" s="326">
        <f t="shared" si="16"/>
        <v>0</v>
      </c>
      <c r="AB155" s="326">
        <f t="shared" si="17"/>
        <v>0</v>
      </c>
      <c r="AC155" s="326">
        <f t="shared" si="18"/>
        <v>0</v>
      </c>
      <c r="AD155" s="326">
        <f t="shared" si="19"/>
        <v>0</v>
      </c>
      <c r="AE155" s="326">
        <f t="shared" si="20"/>
        <v>0</v>
      </c>
      <c r="AF155" s="355"/>
      <c r="AG155" s="838"/>
      <c r="AH155" s="744"/>
      <c r="AI155" s="292"/>
      <c r="AK155" s="300"/>
      <c r="AS155" s="452"/>
    </row>
    <row r="156" spans="1:45" s="299" customFormat="1">
      <c r="A156" s="353">
        <v>305</v>
      </c>
      <c r="B156" s="352">
        <v>100</v>
      </c>
      <c r="C156" s="352">
        <v>200</v>
      </c>
      <c r="D156" s="352">
        <v>500</v>
      </c>
      <c r="E156" s="352"/>
      <c r="F156" s="352"/>
      <c r="G156" s="443" t="s">
        <v>726</v>
      </c>
      <c r="H156" s="334"/>
      <c r="I156" s="331"/>
      <c r="J156" s="359"/>
      <c r="K156" s="359"/>
      <c r="L156" s="359"/>
      <c r="M156" s="359"/>
      <c r="N156" s="332"/>
      <c r="O156" s="333"/>
      <c r="P156" s="331">
        <v>0</v>
      </c>
      <c r="Q156" s="332"/>
      <c r="R156" s="334"/>
      <c r="S156" s="331"/>
      <c r="T156" s="331"/>
      <c r="U156" s="331"/>
      <c r="V156" s="331"/>
      <c r="W156" s="331"/>
      <c r="X156" s="331"/>
      <c r="Y156" s="1352">
        <f t="shared" si="14"/>
        <v>0</v>
      </c>
      <c r="Z156" s="1353">
        <f t="shared" si="15"/>
        <v>0</v>
      </c>
      <c r="AA156" s="331">
        <f t="shared" si="16"/>
        <v>0</v>
      </c>
      <c r="AB156" s="331">
        <f t="shared" si="17"/>
        <v>0</v>
      </c>
      <c r="AC156" s="331">
        <f t="shared" si="18"/>
        <v>0</v>
      </c>
      <c r="AD156" s="331">
        <f t="shared" si="19"/>
        <v>0</v>
      </c>
      <c r="AE156" s="331">
        <f t="shared" si="20"/>
        <v>0</v>
      </c>
      <c r="AF156" s="355" t="s">
        <v>727</v>
      </c>
      <c r="AG156" s="838"/>
      <c r="AH156" s="744"/>
      <c r="AI156" s="292"/>
      <c r="AK156" s="300"/>
      <c r="AS156" s="452"/>
    </row>
    <row r="157" spans="1:45" s="299" customFormat="1" ht="27.6">
      <c r="A157" s="353">
        <v>305</v>
      </c>
      <c r="B157" s="352">
        <v>100</v>
      </c>
      <c r="C157" s="352">
        <v>200</v>
      </c>
      <c r="D157" s="352">
        <v>500</v>
      </c>
      <c r="E157" s="357">
        <v>10</v>
      </c>
      <c r="F157" s="352"/>
      <c r="G157" s="342" t="s">
        <v>724</v>
      </c>
      <c r="H157" s="329"/>
      <c r="I157" s="326"/>
      <c r="J157" s="358"/>
      <c r="K157" s="358"/>
      <c r="L157" s="358"/>
      <c r="M157" s="358"/>
      <c r="N157" s="327"/>
      <c r="O157" s="328"/>
      <c r="P157" s="326">
        <v>0</v>
      </c>
      <c r="Q157" s="327"/>
      <c r="R157" s="329"/>
      <c r="S157" s="326"/>
      <c r="T157" s="326"/>
      <c r="U157" s="326"/>
      <c r="V157" s="326"/>
      <c r="W157" s="326"/>
      <c r="X157" s="326"/>
      <c r="Y157" s="1350">
        <f t="shared" si="14"/>
        <v>0</v>
      </c>
      <c r="Z157" s="1351">
        <f t="shared" si="15"/>
        <v>0</v>
      </c>
      <c r="AA157" s="326">
        <f t="shared" si="16"/>
        <v>0</v>
      </c>
      <c r="AB157" s="326">
        <f t="shared" si="17"/>
        <v>0</v>
      </c>
      <c r="AC157" s="326">
        <f t="shared" si="18"/>
        <v>0</v>
      </c>
      <c r="AD157" s="326">
        <f t="shared" si="19"/>
        <v>0</v>
      </c>
      <c r="AE157" s="326">
        <f t="shared" si="20"/>
        <v>0</v>
      </c>
      <c r="AF157" s="355"/>
      <c r="AG157" s="838"/>
      <c r="AH157" s="744"/>
      <c r="AI157" s="292"/>
      <c r="AK157" s="300"/>
      <c r="AS157" s="452"/>
    </row>
    <row r="158" spans="1:45" s="299" customFormat="1" ht="27.6">
      <c r="A158" s="353">
        <v>305</v>
      </c>
      <c r="B158" s="352">
        <v>100</v>
      </c>
      <c r="C158" s="352">
        <v>200</v>
      </c>
      <c r="D158" s="352">
        <v>500</v>
      </c>
      <c r="E158" s="357">
        <v>20</v>
      </c>
      <c r="F158" s="352"/>
      <c r="G158" s="342" t="s">
        <v>725</v>
      </c>
      <c r="H158" s="329"/>
      <c r="I158" s="326"/>
      <c r="J158" s="358"/>
      <c r="K158" s="358"/>
      <c r="L158" s="358"/>
      <c r="M158" s="358"/>
      <c r="N158" s="327"/>
      <c r="O158" s="328"/>
      <c r="P158" s="326">
        <v>0</v>
      </c>
      <c r="Q158" s="327"/>
      <c r="R158" s="329"/>
      <c r="S158" s="326"/>
      <c r="T158" s="326"/>
      <c r="U158" s="326"/>
      <c r="V158" s="326"/>
      <c r="W158" s="326"/>
      <c r="X158" s="326"/>
      <c r="Y158" s="1350">
        <f t="shared" si="14"/>
        <v>0</v>
      </c>
      <c r="Z158" s="1351">
        <f t="shared" si="15"/>
        <v>0</v>
      </c>
      <c r="AA158" s="326">
        <f t="shared" si="16"/>
        <v>0</v>
      </c>
      <c r="AB158" s="326">
        <f t="shared" si="17"/>
        <v>0</v>
      </c>
      <c r="AC158" s="326">
        <f t="shared" si="18"/>
        <v>0</v>
      </c>
      <c r="AD158" s="326">
        <f t="shared" si="19"/>
        <v>0</v>
      </c>
      <c r="AE158" s="326">
        <f t="shared" si="20"/>
        <v>0</v>
      </c>
      <c r="AF158" s="355"/>
      <c r="AG158" s="838"/>
      <c r="AH158" s="744"/>
      <c r="AI158" s="292"/>
      <c r="AK158" s="300"/>
      <c r="AS158" s="452"/>
    </row>
    <row r="159" spans="1:45" s="299" customFormat="1" ht="27.6">
      <c r="A159" s="353">
        <v>305</v>
      </c>
      <c r="B159" s="352">
        <v>100</v>
      </c>
      <c r="C159" s="352">
        <v>250</v>
      </c>
      <c r="D159" s="352"/>
      <c r="E159" s="352"/>
      <c r="F159" s="352"/>
      <c r="G159" s="323" t="s">
        <v>728</v>
      </c>
      <c r="H159" s="334"/>
      <c r="I159" s="331"/>
      <c r="J159" s="359"/>
      <c r="K159" s="359"/>
      <c r="L159" s="359"/>
      <c r="M159" s="359"/>
      <c r="N159" s="332"/>
      <c r="O159" s="333"/>
      <c r="P159" s="331">
        <v>0</v>
      </c>
      <c r="Q159" s="332"/>
      <c r="R159" s="334"/>
      <c r="S159" s="331"/>
      <c r="T159" s="331"/>
      <c r="U159" s="331"/>
      <c r="V159" s="331"/>
      <c r="W159" s="331"/>
      <c r="X159" s="331"/>
      <c r="Y159" s="1352">
        <f t="shared" si="14"/>
        <v>0</v>
      </c>
      <c r="Z159" s="1353">
        <f t="shared" si="15"/>
        <v>0</v>
      </c>
      <c r="AA159" s="331">
        <f t="shared" si="16"/>
        <v>0</v>
      </c>
      <c r="AB159" s="331">
        <f t="shared" si="17"/>
        <v>0</v>
      </c>
      <c r="AC159" s="331">
        <f t="shared" si="18"/>
        <v>0</v>
      </c>
      <c r="AD159" s="331">
        <f t="shared" si="19"/>
        <v>0</v>
      </c>
      <c r="AE159" s="331">
        <f t="shared" si="20"/>
        <v>0</v>
      </c>
      <c r="AF159" s="424" t="s">
        <v>729</v>
      </c>
      <c r="AG159" s="838"/>
      <c r="AH159" s="744"/>
      <c r="AI159" s="292"/>
      <c r="AK159" s="300"/>
      <c r="AS159" s="452"/>
    </row>
    <row r="160" spans="1:45" s="299" customFormat="1" ht="27.6">
      <c r="A160" s="353">
        <v>305</v>
      </c>
      <c r="B160" s="352">
        <v>100</v>
      </c>
      <c r="C160" s="352">
        <v>250</v>
      </c>
      <c r="D160" s="352">
        <v>100</v>
      </c>
      <c r="E160" s="357"/>
      <c r="F160" s="357"/>
      <c r="G160" s="342" t="s">
        <v>730</v>
      </c>
      <c r="H160" s="329"/>
      <c r="I160" s="326"/>
      <c r="J160" s="358"/>
      <c r="K160" s="358"/>
      <c r="L160" s="358"/>
      <c r="M160" s="358"/>
      <c r="N160" s="327"/>
      <c r="O160" s="328"/>
      <c r="P160" s="326">
        <v>0</v>
      </c>
      <c r="Q160" s="327"/>
      <c r="R160" s="329"/>
      <c r="S160" s="326"/>
      <c r="T160" s="326"/>
      <c r="U160" s="326"/>
      <c r="V160" s="326"/>
      <c r="W160" s="326"/>
      <c r="X160" s="326"/>
      <c r="Y160" s="1350">
        <f t="shared" si="14"/>
        <v>0</v>
      </c>
      <c r="Z160" s="1351">
        <f t="shared" si="15"/>
        <v>0</v>
      </c>
      <c r="AA160" s="326">
        <f t="shared" si="16"/>
        <v>0</v>
      </c>
      <c r="AB160" s="326">
        <f t="shared" si="17"/>
        <v>0</v>
      </c>
      <c r="AC160" s="326">
        <f t="shared" si="18"/>
        <v>0</v>
      </c>
      <c r="AD160" s="326">
        <f t="shared" si="19"/>
        <v>0</v>
      </c>
      <c r="AE160" s="326">
        <f t="shared" si="20"/>
        <v>0</v>
      </c>
      <c r="AF160" s="424" t="s">
        <v>731</v>
      </c>
      <c r="AG160" s="838"/>
      <c r="AH160" s="744"/>
      <c r="AI160" s="292"/>
      <c r="AK160" s="300"/>
      <c r="AS160" s="452"/>
    </row>
    <row r="161" spans="1:45" s="299" customFormat="1" ht="27.6">
      <c r="A161" s="353">
        <v>305</v>
      </c>
      <c r="B161" s="352">
        <v>100</v>
      </c>
      <c r="C161" s="352">
        <v>250</v>
      </c>
      <c r="D161" s="357">
        <v>200</v>
      </c>
      <c r="E161" s="357"/>
      <c r="F161" s="352"/>
      <c r="G161" s="342" t="s">
        <v>681</v>
      </c>
      <c r="H161" s="329"/>
      <c r="I161" s="326"/>
      <c r="J161" s="358"/>
      <c r="K161" s="358"/>
      <c r="L161" s="358"/>
      <c r="M161" s="358"/>
      <c r="N161" s="327"/>
      <c r="O161" s="328"/>
      <c r="P161" s="326">
        <v>0</v>
      </c>
      <c r="Q161" s="327"/>
      <c r="R161" s="329"/>
      <c r="S161" s="326"/>
      <c r="T161" s="326"/>
      <c r="U161" s="326"/>
      <c r="V161" s="326"/>
      <c r="W161" s="326"/>
      <c r="X161" s="326"/>
      <c r="Y161" s="1350">
        <f t="shared" si="14"/>
        <v>0</v>
      </c>
      <c r="Z161" s="1351">
        <f t="shared" si="15"/>
        <v>0</v>
      </c>
      <c r="AA161" s="326">
        <f t="shared" si="16"/>
        <v>0</v>
      </c>
      <c r="AB161" s="326">
        <f t="shared" si="17"/>
        <v>0</v>
      </c>
      <c r="AC161" s="326">
        <f t="shared" si="18"/>
        <v>0</v>
      </c>
      <c r="AD161" s="326">
        <f t="shared" si="19"/>
        <v>0</v>
      </c>
      <c r="AE161" s="326">
        <f t="shared" si="20"/>
        <v>0</v>
      </c>
      <c r="AF161" s="355" t="s">
        <v>732</v>
      </c>
      <c r="AG161" s="838"/>
      <c r="AH161" s="744"/>
      <c r="AI161" s="292"/>
      <c r="AK161" s="300"/>
      <c r="AS161" s="452"/>
    </row>
    <row r="162" spans="1:45" s="299" customFormat="1">
      <c r="A162" s="353">
        <v>305</v>
      </c>
      <c r="B162" s="352">
        <v>100</v>
      </c>
      <c r="C162" s="352">
        <v>250</v>
      </c>
      <c r="D162" s="357">
        <v>300</v>
      </c>
      <c r="E162" s="357"/>
      <c r="F162" s="352"/>
      <c r="G162" s="342" t="s">
        <v>671</v>
      </c>
      <c r="H162" s="329"/>
      <c r="I162" s="326"/>
      <c r="J162" s="358"/>
      <c r="K162" s="358"/>
      <c r="L162" s="358"/>
      <c r="M162" s="358"/>
      <c r="N162" s="327"/>
      <c r="O162" s="328"/>
      <c r="P162" s="326">
        <v>0</v>
      </c>
      <c r="Q162" s="327"/>
      <c r="R162" s="329"/>
      <c r="S162" s="326"/>
      <c r="T162" s="326"/>
      <c r="U162" s="326"/>
      <c r="V162" s="326"/>
      <c r="W162" s="326"/>
      <c r="X162" s="326"/>
      <c r="Y162" s="1350">
        <f t="shared" si="14"/>
        <v>0</v>
      </c>
      <c r="Z162" s="1351">
        <f t="shared" si="15"/>
        <v>0</v>
      </c>
      <c r="AA162" s="326">
        <f t="shared" si="16"/>
        <v>0</v>
      </c>
      <c r="AB162" s="326">
        <f t="shared" si="17"/>
        <v>0</v>
      </c>
      <c r="AC162" s="326">
        <f t="shared" si="18"/>
        <v>0</v>
      </c>
      <c r="AD162" s="326">
        <f t="shared" si="19"/>
        <v>0</v>
      </c>
      <c r="AE162" s="326">
        <f t="shared" si="20"/>
        <v>0</v>
      </c>
      <c r="AF162" s="355" t="s">
        <v>733</v>
      </c>
      <c r="AG162" s="838"/>
      <c r="AH162" s="744"/>
      <c r="AI162" s="292"/>
      <c r="AK162" s="300"/>
      <c r="AS162" s="452"/>
    </row>
    <row r="163" spans="1:45" s="299" customFormat="1">
      <c r="A163" s="353">
        <v>305</v>
      </c>
      <c r="B163" s="352">
        <v>100</v>
      </c>
      <c r="C163" s="352">
        <v>250</v>
      </c>
      <c r="D163" s="352">
        <v>400</v>
      </c>
      <c r="E163" s="352"/>
      <c r="F163" s="352"/>
      <c r="G163" s="443" t="s">
        <v>734</v>
      </c>
      <c r="H163" s="334"/>
      <c r="I163" s="331"/>
      <c r="J163" s="359"/>
      <c r="K163" s="359"/>
      <c r="L163" s="359"/>
      <c r="M163" s="359"/>
      <c r="N163" s="332"/>
      <c r="O163" s="333"/>
      <c r="P163" s="331">
        <v>0</v>
      </c>
      <c r="Q163" s="332"/>
      <c r="R163" s="334"/>
      <c r="S163" s="331"/>
      <c r="T163" s="331"/>
      <c r="U163" s="331"/>
      <c r="V163" s="331"/>
      <c r="W163" s="331"/>
      <c r="X163" s="331"/>
      <c r="Y163" s="1352">
        <f t="shared" si="14"/>
        <v>0</v>
      </c>
      <c r="Z163" s="1353">
        <f t="shared" si="15"/>
        <v>0</v>
      </c>
      <c r="AA163" s="331">
        <f t="shared" si="16"/>
        <v>0</v>
      </c>
      <c r="AB163" s="331">
        <f t="shared" si="17"/>
        <v>0</v>
      </c>
      <c r="AC163" s="331">
        <f t="shared" si="18"/>
        <v>0</v>
      </c>
      <c r="AD163" s="331">
        <f t="shared" si="19"/>
        <v>0</v>
      </c>
      <c r="AE163" s="331">
        <f t="shared" si="20"/>
        <v>0</v>
      </c>
      <c r="AF163" s="355" t="s">
        <v>735</v>
      </c>
      <c r="AG163" s="838"/>
      <c r="AH163" s="744"/>
      <c r="AI163" s="292"/>
      <c r="AK163" s="300"/>
      <c r="AS163" s="452"/>
    </row>
    <row r="164" spans="1:45" s="299" customFormat="1">
      <c r="A164" s="353">
        <v>305</v>
      </c>
      <c r="B164" s="352">
        <v>100</v>
      </c>
      <c r="C164" s="352">
        <v>250</v>
      </c>
      <c r="D164" s="352">
        <v>400</v>
      </c>
      <c r="E164" s="357">
        <v>10</v>
      </c>
      <c r="F164" s="352"/>
      <c r="G164" s="342" t="s">
        <v>736</v>
      </c>
      <c r="H164" s="329"/>
      <c r="I164" s="326"/>
      <c r="J164" s="358"/>
      <c r="K164" s="358"/>
      <c r="L164" s="358"/>
      <c r="M164" s="358"/>
      <c r="N164" s="327"/>
      <c r="O164" s="328"/>
      <c r="P164" s="326">
        <v>0</v>
      </c>
      <c r="Q164" s="327"/>
      <c r="R164" s="329"/>
      <c r="S164" s="326"/>
      <c r="T164" s="326"/>
      <c r="U164" s="326"/>
      <c r="V164" s="326"/>
      <c r="W164" s="326"/>
      <c r="X164" s="326"/>
      <c r="Y164" s="1350">
        <f t="shared" si="14"/>
        <v>0</v>
      </c>
      <c r="Z164" s="1351">
        <f t="shared" si="15"/>
        <v>0</v>
      </c>
      <c r="AA164" s="326">
        <f t="shared" si="16"/>
        <v>0</v>
      </c>
      <c r="AB164" s="326">
        <f t="shared" si="17"/>
        <v>0</v>
      </c>
      <c r="AC164" s="326">
        <f t="shared" si="18"/>
        <v>0</v>
      </c>
      <c r="AD164" s="326">
        <f t="shared" si="19"/>
        <v>0</v>
      </c>
      <c r="AE164" s="326">
        <f t="shared" si="20"/>
        <v>0</v>
      </c>
      <c r="AF164" s="355"/>
      <c r="AG164" s="838"/>
      <c r="AH164" s="744"/>
      <c r="AI164" s="292"/>
      <c r="AK164" s="300"/>
      <c r="AS164" s="452"/>
    </row>
    <row r="165" spans="1:45" s="299" customFormat="1">
      <c r="A165" s="353">
        <v>305</v>
      </c>
      <c r="B165" s="352">
        <v>100</v>
      </c>
      <c r="C165" s="352">
        <v>250</v>
      </c>
      <c r="D165" s="352">
        <v>400</v>
      </c>
      <c r="E165" s="357">
        <v>20</v>
      </c>
      <c r="F165" s="352"/>
      <c r="G165" s="342" t="s">
        <v>737</v>
      </c>
      <c r="H165" s="329"/>
      <c r="I165" s="326"/>
      <c r="J165" s="358"/>
      <c r="K165" s="358"/>
      <c r="L165" s="358"/>
      <c r="M165" s="358"/>
      <c r="N165" s="327"/>
      <c r="O165" s="328"/>
      <c r="P165" s="326">
        <v>0</v>
      </c>
      <c r="Q165" s="327"/>
      <c r="R165" s="329"/>
      <c r="S165" s="326"/>
      <c r="T165" s="326"/>
      <c r="U165" s="326"/>
      <c r="V165" s="326"/>
      <c r="W165" s="326"/>
      <c r="X165" s="326"/>
      <c r="Y165" s="1350">
        <f t="shared" si="14"/>
        <v>0</v>
      </c>
      <c r="Z165" s="1351">
        <f t="shared" si="15"/>
        <v>0</v>
      </c>
      <c r="AA165" s="326">
        <f t="shared" si="16"/>
        <v>0</v>
      </c>
      <c r="AB165" s="326">
        <f t="shared" si="17"/>
        <v>0</v>
      </c>
      <c r="AC165" s="326">
        <f t="shared" si="18"/>
        <v>0</v>
      </c>
      <c r="AD165" s="326">
        <f t="shared" si="19"/>
        <v>0</v>
      </c>
      <c r="AE165" s="326">
        <f t="shared" si="20"/>
        <v>0</v>
      </c>
      <c r="AF165" s="355"/>
      <c r="AG165" s="838"/>
      <c r="AH165" s="744"/>
      <c r="AI165" s="292"/>
      <c r="AK165" s="300"/>
      <c r="AS165" s="452"/>
    </row>
    <row r="166" spans="1:45" s="299" customFormat="1">
      <c r="A166" s="353">
        <v>305</v>
      </c>
      <c r="B166" s="352">
        <v>100</v>
      </c>
      <c r="C166" s="352">
        <v>250</v>
      </c>
      <c r="D166" s="352">
        <v>400</v>
      </c>
      <c r="E166" s="357">
        <v>30</v>
      </c>
      <c r="F166" s="352"/>
      <c r="G166" s="342" t="s">
        <v>738</v>
      </c>
      <c r="H166" s="329"/>
      <c r="I166" s="326"/>
      <c r="J166" s="358"/>
      <c r="K166" s="358"/>
      <c r="L166" s="358"/>
      <c r="M166" s="358"/>
      <c r="N166" s="327"/>
      <c r="O166" s="328"/>
      <c r="P166" s="326">
        <v>0</v>
      </c>
      <c r="Q166" s="327"/>
      <c r="R166" s="329"/>
      <c r="S166" s="326"/>
      <c r="T166" s="326"/>
      <c r="U166" s="326"/>
      <c r="V166" s="326"/>
      <c r="W166" s="326"/>
      <c r="X166" s="326"/>
      <c r="Y166" s="1350">
        <f t="shared" si="14"/>
        <v>0</v>
      </c>
      <c r="Z166" s="1351">
        <f t="shared" si="15"/>
        <v>0</v>
      </c>
      <c r="AA166" s="326">
        <f t="shared" si="16"/>
        <v>0</v>
      </c>
      <c r="AB166" s="326">
        <f t="shared" si="17"/>
        <v>0</v>
      </c>
      <c r="AC166" s="326">
        <f t="shared" si="18"/>
        <v>0</v>
      </c>
      <c r="AD166" s="326">
        <f t="shared" si="19"/>
        <v>0</v>
      </c>
      <c r="AE166" s="326">
        <f t="shared" si="20"/>
        <v>0</v>
      </c>
      <c r="AF166" s="355"/>
      <c r="AG166" s="838"/>
      <c r="AH166" s="744"/>
      <c r="AI166" s="292"/>
      <c r="AK166" s="300"/>
      <c r="AS166" s="452"/>
    </row>
    <row r="167" spans="1:45" s="299" customFormat="1">
      <c r="A167" s="353">
        <v>305</v>
      </c>
      <c r="B167" s="352">
        <v>100</v>
      </c>
      <c r="C167" s="352">
        <v>250</v>
      </c>
      <c r="D167" s="352">
        <v>400</v>
      </c>
      <c r="E167" s="357">
        <v>90</v>
      </c>
      <c r="F167" s="352"/>
      <c r="G167" s="342" t="s">
        <v>739</v>
      </c>
      <c r="H167" s="329"/>
      <c r="I167" s="326"/>
      <c r="J167" s="358"/>
      <c r="K167" s="358"/>
      <c r="L167" s="358"/>
      <c r="M167" s="358"/>
      <c r="N167" s="327"/>
      <c r="O167" s="328"/>
      <c r="P167" s="326">
        <v>0</v>
      </c>
      <c r="Q167" s="327"/>
      <c r="R167" s="329"/>
      <c r="S167" s="326"/>
      <c r="T167" s="326"/>
      <c r="U167" s="326"/>
      <c r="V167" s="326"/>
      <c r="W167" s="326"/>
      <c r="X167" s="326"/>
      <c r="Y167" s="1350">
        <f t="shared" si="14"/>
        <v>0</v>
      </c>
      <c r="Z167" s="1351">
        <f t="shared" si="15"/>
        <v>0</v>
      </c>
      <c r="AA167" s="326">
        <f t="shared" si="16"/>
        <v>0</v>
      </c>
      <c r="AB167" s="326">
        <f t="shared" si="17"/>
        <v>0</v>
      </c>
      <c r="AC167" s="326">
        <f t="shared" si="18"/>
        <v>0</v>
      </c>
      <c r="AD167" s="326">
        <f t="shared" si="19"/>
        <v>0</v>
      </c>
      <c r="AE167" s="326">
        <f t="shared" si="20"/>
        <v>0</v>
      </c>
      <c r="AF167" s="436"/>
      <c r="AG167" s="840"/>
      <c r="AH167" s="744"/>
      <c r="AI167" s="292"/>
      <c r="AK167" s="300"/>
      <c r="AS167" s="452"/>
    </row>
    <row r="168" spans="1:45" s="299" customFormat="1" ht="27.6">
      <c r="A168" s="353">
        <v>305</v>
      </c>
      <c r="B168" s="352">
        <v>100</v>
      </c>
      <c r="C168" s="352">
        <v>300</v>
      </c>
      <c r="D168" s="352"/>
      <c r="E168" s="352"/>
      <c r="F168" s="352"/>
      <c r="G168" s="323" t="s">
        <v>740</v>
      </c>
      <c r="H168" s="334"/>
      <c r="I168" s="331"/>
      <c r="J168" s="359"/>
      <c r="K168" s="359"/>
      <c r="L168" s="359"/>
      <c r="M168" s="359"/>
      <c r="N168" s="332"/>
      <c r="O168" s="333"/>
      <c r="P168" s="331">
        <v>0</v>
      </c>
      <c r="Q168" s="332"/>
      <c r="R168" s="334"/>
      <c r="S168" s="331"/>
      <c r="T168" s="331"/>
      <c r="U168" s="331"/>
      <c r="V168" s="331"/>
      <c r="W168" s="331"/>
      <c r="X168" s="331"/>
      <c r="Y168" s="1352">
        <f t="shared" si="14"/>
        <v>0</v>
      </c>
      <c r="Z168" s="1353">
        <f t="shared" si="15"/>
        <v>0</v>
      </c>
      <c r="AA168" s="331">
        <f t="shared" si="16"/>
        <v>0</v>
      </c>
      <c r="AB168" s="331">
        <f t="shared" si="17"/>
        <v>0</v>
      </c>
      <c r="AC168" s="331">
        <f t="shared" si="18"/>
        <v>0</v>
      </c>
      <c r="AD168" s="331">
        <f t="shared" si="19"/>
        <v>0</v>
      </c>
      <c r="AE168" s="331">
        <f t="shared" si="20"/>
        <v>0</v>
      </c>
      <c r="AF168" s="424" t="s">
        <v>741</v>
      </c>
      <c r="AG168" s="838"/>
      <c r="AH168" s="744"/>
      <c r="AI168" s="292"/>
      <c r="AK168" s="300"/>
      <c r="AS168" s="452"/>
    </row>
    <row r="169" spans="1:45" s="299" customFormat="1" ht="27.6">
      <c r="A169" s="353">
        <v>305</v>
      </c>
      <c r="B169" s="352">
        <v>100</v>
      </c>
      <c r="C169" s="352">
        <v>300</v>
      </c>
      <c r="D169" s="352">
        <v>100</v>
      </c>
      <c r="E169" s="357"/>
      <c r="F169" s="357"/>
      <c r="G169" s="342" t="s">
        <v>675</v>
      </c>
      <c r="H169" s="329"/>
      <c r="I169" s="326"/>
      <c r="J169" s="358"/>
      <c r="K169" s="358"/>
      <c r="L169" s="358"/>
      <c r="M169" s="358"/>
      <c r="N169" s="327"/>
      <c r="O169" s="328"/>
      <c r="P169" s="326">
        <v>0</v>
      </c>
      <c r="Q169" s="327"/>
      <c r="R169" s="329"/>
      <c r="S169" s="326"/>
      <c r="T169" s="326"/>
      <c r="U169" s="326"/>
      <c r="V169" s="326"/>
      <c r="W169" s="326"/>
      <c r="X169" s="326"/>
      <c r="Y169" s="1350">
        <f t="shared" si="14"/>
        <v>0</v>
      </c>
      <c r="Z169" s="1351">
        <f t="shared" si="15"/>
        <v>0</v>
      </c>
      <c r="AA169" s="326">
        <f t="shared" si="16"/>
        <v>0</v>
      </c>
      <c r="AB169" s="326">
        <f t="shared" si="17"/>
        <v>0</v>
      </c>
      <c r="AC169" s="326">
        <f t="shared" si="18"/>
        <v>0</v>
      </c>
      <c r="AD169" s="326">
        <f t="shared" si="19"/>
        <v>0</v>
      </c>
      <c r="AE169" s="326">
        <f t="shared" si="20"/>
        <v>0</v>
      </c>
      <c r="AF169" s="424" t="s">
        <v>741</v>
      </c>
      <c r="AG169" s="838"/>
      <c r="AH169" s="744"/>
      <c r="AI169" s="292"/>
      <c r="AK169" s="300"/>
      <c r="AS169" s="452"/>
    </row>
    <row r="170" spans="1:45" s="299" customFormat="1" ht="27.6">
      <c r="A170" s="353">
        <v>305</v>
      </c>
      <c r="B170" s="352">
        <v>100</v>
      </c>
      <c r="C170" s="352">
        <v>300</v>
      </c>
      <c r="D170" s="357">
        <v>200</v>
      </c>
      <c r="E170" s="357"/>
      <c r="F170" s="352"/>
      <c r="G170" s="342" t="s">
        <v>681</v>
      </c>
      <c r="H170" s="329"/>
      <c r="I170" s="326"/>
      <c r="J170" s="358"/>
      <c r="K170" s="358"/>
      <c r="L170" s="358"/>
      <c r="M170" s="358"/>
      <c r="N170" s="327"/>
      <c r="O170" s="328"/>
      <c r="P170" s="326">
        <v>0</v>
      </c>
      <c r="Q170" s="327"/>
      <c r="R170" s="329"/>
      <c r="S170" s="326"/>
      <c r="T170" s="326"/>
      <c r="U170" s="326"/>
      <c r="V170" s="326"/>
      <c r="W170" s="326"/>
      <c r="X170" s="326"/>
      <c r="Y170" s="1350">
        <f t="shared" si="14"/>
        <v>0</v>
      </c>
      <c r="Z170" s="1351">
        <f t="shared" si="15"/>
        <v>0</v>
      </c>
      <c r="AA170" s="326">
        <f t="shared" si="16"/>
        <v>0</v>
      </c>
      <c r="AB170" s="326">
        <f t="shared" si="17"/>
        <v>0</v>
      </c>
      <c r="AC170" s="326">
        <f t="shared" si="18"/>
        <v>0</v>
      </c>
      <c r="AD170" s="326">
        <f t="shared" si="19"/>
        <v>0</v>
      </c>
      <c r="AE170" s="326">
        <f t="shared" si="20"/>
        <v>0</v>
      </c>
      <c r="AF170" s="355" t="s">
        <v>742</v>
      </c>
      <c r="AG170" s="838"/>
      <c r="AH170" s="744"/>
      <c r="AI170" s="292"/>
      <c r="AK170" s="300"/>
      <c r="AS170" s="452"/>
    </row>
    <row r="171" spans="1:45" s="299" customFormat="1">
      <c r="A171" s="353">
        <v>305</v>
      </c>
      <c r="B171" s="352">
        <v>100</v>
      </c>
      <c r="C171" s="352">
        <v>300</v>
      </c>
      <c r="D171" s="357">
        <v>300</v>
      </c>
      <c r="E171" s="357"/>
      <c r="F171" s="352"/>
      <c r="G171" s="342" t="s">
        <v>671</v>
      </c>
      <c r="H171" s="329"/>
      <c r="I171" s="326"/>
      <c r="J171" s="358"/>
      <c r="K171" s="358"/>
      <c r="L171" s="358"/>
      <c r="M171" s="358"/>
      <c r="N171" s="327"/>
      <c r="O171" s="328"/>
      <c r="P171" s="326">
        <v>0</v>
      </c>
      <c r="Q171" s="327"/>
      <c r="R171" s="329"/>
      <c r="S171" s="326"/>
      <c r="T171" s="326"/>
      <c r="U171" s="326"/>
      <c r="V171" s="326"/>
      <c r="W171" s="326"/>
      <c r="X171" s="326"/>
      <c r="Y171" s="1350">
        <f t="shared" si="14"/>
        <v>0</v>
      </c>
      <c r="Z171" s="1351">
        <f t="shared" si="15"/>
        <v>0</v>
      </c>
      <c r="AA171" s="326">
        <f t="shared" si="16"/>
        <v>0</v>
      </c>
      <c r="AB171" s="326">
        <f t="shared" si="17"/>
        <v>0</v>
      </c>
      <c r="AC171" s="326">
        <f t="shared" si="18"/>
        <v>0</v>
      </c>
      <c r="AD171" s="326">
        <f t="shared" si="19"/>
        <v>0</v>
      </c>
      <c r="AE171" s="326">
        <f t="shared" si="20"/>
        <v>0</v>
      </c>
      <c r="AF171" s="355" t="s">
        <v>743</v>
      </c>
      <c r="AG171" s="838"/>
      <c r="AH171" s="744"/>
      <c r="AI171" s="292"/>
      <c r="AK171" s="300"/>
      <c r="AS171" s="452"/>
    </row>
    <row r="172" spans="1:45" s="299" customFormat="1">
      <c r="A172" s="353">
        <v>305</v>
      </c>
      <c r="B172" s="352">
        <v>100</v>
      </c>
      <c r="C172" s="352">
        <v>300</v>
      </c>
      <c r="D172" s="352">
        <v>400</v>
      </c>
      <c r="E172" s="352"/>
      <c r="F172" s="352"/>
      <c r="G172" s="323" t="s">
        <v>694</v>
      </c>
      <c r="H172" s="334"/>
      <c r="I172" s="331"/>
      <c r="J172" s="359"/>
      <c r="K172" s="359"/>
      <c r="L172" s="359"/>
      <c r="M172" s="359"/>
      <c r="N172" s="332"/>
      <c r="O172" s="333"/>
      <c r="P172" s="331">
        <v>0</v>
      </c>
      <c r="Q172" s="332"/>
      <c r="R172" s="334"/>
      <c r="S172" s="331"/>
      <c r="T172" s="331"/>
      <c r="U172" s="331"/>
      <c r="V172" s="331"/>
      <c r="W172" s="331"/>
      <c r="X172" s="331"/>
      <c r="Y172" s="1352">
        <f t="shared" si="14"/>
        <v>0</v>
      </c>
      <c r="Z172" s="1353">
        <f t="shared" si="15"/>
        <v>0</v>
      </c>
      <c r="AA172" s="331">
        <f t="shared" si="16"/>
        <v>0</v>
      </c>
      <c r="AB172" s="331">
        <f t="shared" si="17"/>
        <v>0</v>
      </c>
      <c r="AC172" s="331">
        <f t="shared" si="18"/>
        <v>0</v>
      </c>
      <c r="AD172" s="331">
        <f t="shared" si="19"/>
        <v>0</v>
      </c>
      <c r="AE172" s="331">
        <f t="shared" si="20"/>
        <v>0</v>
      </c>
      <c r="AF172" s="355" t="s">
        <v>744</v>
      </c>
      <c r="AG172" s="838"/>
      <c r="AH172" s="744"/>
      <c r="AI172" s="292"/>
      <c r="AK172" s="300"/>
      <c r="AS172" s="452"/>
    </row>
    <row r="173" spans="1:45" s="299" customFormat="1" ht="27.6">
      <c r="A173" s="353">
        <v>305</v>
      </c>
      <c r="B173" s="352">
        <v>100</v>
      </c>
      <c r="C173" s="352">
        <v>300</v>
      </c>
      <c r="D173" s="352">
        <v>400</v>
      </c>
      <c r="E173" s="357">
        <v>10</v>
      </c>
      <c r="F173" s="352"/>
      <c r="G173" s="342" t="s">
        <v>745</v>
      </c>
      <c r="H173" s="329"/>
      <c r="I173" s="326"/>
      <c r="J173" s="358"/>
      <c r="K173" s="358"/>
      <c r="L173" s="358"/>
      <c r="M173" s="358"/>
      <c r="N173" s="327"/>
      <c r="O173" s="328"/>
      <c r="P173" s="326">
        <v>0</v>
      </c>
      <c r="Q173" s="327"/>
      <c r="R173" s="329"/>
      <c r="S173" s="326"/>
      <c r="T173" s="326"/>
      <c r="U173" s="326"/>
      <c r="V173" s="326"/>
      <c r="W173" s="326"/>
      <c r="X173" s="326"/>
      <c r="Y173" s="1350">
        <f t="shared" si="14"/>
        <v>0</v>
      </c>
      <c r="Z173" s="1351">
        <f t="shared" si="15"/>
        <v>0</v>
      </c>
      <c r="AA173" s="326">
        <f t="shared" si="16"/>
        <v>0</v>
      </c>
      <c r="AB173" s="326">
        <f t="shared" si="17"/>
        <v>0</v>
      </c>
      <c r="AC173" s="326">
        <f t="shared" si="18"/>
        <v>0</v>
      </c>
      <c r="AD173" s="326">
        <f t="shared" si="19"/>
        <v>0</v>
      </c>
      <c r="AE173" s="326">
        <f t="shared" si="20"/>
        <v>0</v>
      </c>
      <c r="AF173" s="355"/>
      <c r="AG173" s="838"/>
      <c r="AH173" s="744"/>
      <c r="AI173" s="292"/>
      <c r="AK173" s="300"/>
      <c r="AS173" s="452"/>
    </row>
    <row r="174" spans="1:45" s="299" customFormat="1" ht="27.6">
      <c r="A174" s="353">
        <v>305</v>
      </c>
      <c r="B174" s="352">
        <v>100</v>
      </c>
      <c r="C174" s="352">
        <v>300</v>
      </c>
      <c r="D174" s="352">
        <v>400</v>
      </c>
      <c r="E174" s="357">
        <v>20</v>
      </c>
      <c r="F174" s="352"/>
      <c r="G174" s="342" t="s">
        <v>746</v>
      </c>
      <c r="H174" s="329"/>
      <c r="I174" s="326"/>
      <c r="J174" s="358"/>
      <c r="K174" s="358"/>
      <c r="L174" s="358"/>
      <c r="M174" s="358"/>
      <c r="N174" s="327"/>
      <c r="O174" s="328"/>
      <c r="P174" s="326">
        <v>0</v>
      </c>
      <c r="Q174" s="327"/>
      <c r="R174" s="329"/>
      <c r="S174" s="326"/>
      <c r="T174" s="326"/>
      <c r="U174" s="326"/>
      <c r="V174" s="326"/>
      <c r="W174" s="326"/>
      <c r="X174" s="326"/>
      <c r="Y174" s="1350">
        <f t="shared" si="14"/>
        <v>0</v>
      </c>
      <c r="Z174" s="1351">
        <f t="shared" si="15"/>
        <v>0</v>
      </c>
      <c r="AA174" s="326">
        <f t="shared" si="16"/>
        <v>0</v>
      </c>
      <c r="AB174" s="326">
        <f t="shared" si="17"/>
        <v>0</v>
      </c>
      <c r="AC174" s="326">
        <f t="shared" si="18"/>
        <v>0</v>
      </c>
      <c r="AD174" s="326">
        <f t="shared" si="19"/>
        <v>0</v>
      </c>
      <c r="AE174" s="326">
        <f t="shared" si="20"/>
        <v>0</v>
      </c>
      <c r="AF174" s="355"/>
      <c r="AG174" s="838"/>
      <c r="AH174" s="744"/>
      <c r="AI174" s="292"/>
      <c r="AK174" s="300"/>
      <c r="AS174" s="452"/>
    </row>
    <row r="175" spans="1:45" s="299" customFormat="1" ht="27.6">
      <c r="A175" s="353">
        <v>305</v>
      </c>
      <c r="B175" s="352">
        <v>100</v>
      </c>
      <c r="C175" s="352">
        <v>350</v>
      </c>
      <c r="D175" s="352"/>
      <c r="E175" s="352"/>
      <c r="F175" s="352"/>
      <c r="G175" s="323" t="s">
        <v>747</v>
      </c>
      <c r="H175" s="334"/>
      <c r="I175" s="331"/>
      <c r="J175" s="359"/>
      <c r="K175" s="359"/>
      <c r="L175" s="359"/>
      <c r="M175" s="359"/>
      <c r="N175" s="332"/>
      <c r="O175" s="333"/>
      <c r="P175" s="331">
        <v>0</v>
      </c>
      <c r="Q175" s="332"/>
      <c r="R175" s="334"/>
      <c r="S175" s="331"/>
      <c r="T175" s="331"/>
      <c r="U175" s="331"/>
      <c r="V175" s="331"/>
      <c r="W175" s="331"/>
      <c r="X175" s="331"/>
      <c r="Y175" s="1352">
        <f t="shared" si="14"/>
        <v>0</v>
      </c>
      <c r="Z175" s="1353">
        <f t="shared" si="15"/>
        <v>0</v>
      </c>
      <c r="AA175" s="331">
        <f t="shared" si="16"/>
        <v>0</v>
      </c>
      <c r="AB175" s="331">
        <f t="shared" si="17"/>
        <v>0</v>
      </c>
      <c r="AC175" s="331">
        <f t="shared" si="18"/>
        <v>0</v>
      </c>
      <c r="AD175" s="331">
        <f t="shared" si="19"/>
        <v>0</v>
      </c>
      <c r="AE175" s="331">
        <f t="shared" si="20"/>
        <v>0</v>
      </c>
      <c r="AF175" s="355" t="s">
        <v>748</v>
      </c>
      <c r="AG175" s="838"/>
      <c r="AH175" s="744"/>
      <c r="AI175" s="292"/>
      <c r="AK175" s="300"/>
      <c r="AS175" s="452"/>
    </row>
    <row r="176" spans="1:45" s="299" customFormat="1" ht="27.6">
      <c r="A176" s="353">
        <v>305</v>
      </c>
      <c r="B176" s="352">
        <v>100</v>
      </c>
      <c r="C176" s="352">
        <v>350</v>
      </c>
      <c r="D176" s="352">
        <v>100</v>
      </c>
      <c r="E176" s="352"/>
      <c r="F176" s="352"/>
      <c r="G176" s="443" t="s">
        <v>675</v>
      </c>
      <c r="H176" s="334"/>
      <c r="I176" s="331"/>
      <c r="J176" s="359"/>
      <c r="K176" s="359"/>
      <c r="L176" s="359"/>
      <c r="M176" s="359"/>
      <c r="N176" s="332"/>
      <c r="O176" s="333"/>
      <c r="P176" s="331">
        <v>0</v>
      </c>
      <c r="Q176" s="332"/>
      <c r="R176" s="334"/>
      <c r="S176" s="331"/>
      <c r="T176" s="331"/>
      <c r="U176" s="331"/>
      <c r="V176" s="331"/>
      <c r="W176" s="331"/>
      <c r="X176" s="331"/>
      <c r="Y176" s="1352">
        <f t="shared" si="14"/>
        <v>0</v>
      </c>
      <c r="Z176" s="1353">
        <f t="shared" si="15"/>
        <v>0</v>
      </c>
      <c r="AA176" s="331">
        <f t="shared" si="16"/>
        <v>0</v>
      </c>
      <c r="AB176" s="331">
        <f t="shared" si="17"/>
        <v>0</v>
      </c>
      <c r="AC176" s="331">
        <f t="shared" si="18"/>
        <v>0</v>
      </c>
      <c r="AD176" s="331">
        <f t="shared" si="19"/>
        <v>0</v>
      </c>
      <c r="AE176" s="331">
        <f t="shared" si="20"/>
        <v>0</v>
      </c>
      <c r="AF176" s="355" t="s">
        <v>749</v>
      </c>
      <c r="AG176" s="838"/>
      <c r="AH176" s="744"/>
      <c r="AI176" s="292"/>
      <c r="AK176" s="300"/>
      <c r="AS176" s="452"/>
    </row>
    <row r="177" spans="1:45" s="299" customFormat="1" ht="27.6">
      <c r="A177" s="353">
        <v>305</v>
      </c>
      <c r="B177" s="352">
        <v>100</v>
      </c>
      <c r="C177" s="352">
        <v>350</v>
      </c>
      <c r="D177" s="352">
        <v>100</v>
      </c>
      <c r="E177" s="357">
        <v>10</v>
      </c>
      <c r="F177" s="352"/>
      <c r="G177" s="342" t="s">
        <v>750</v>
      </c>
      <c r="H177" s="329"/>
      <c r="I177" s="326"/>
      <c r="J177" s="358"/>
      <c r="K177" s="358"/>
      <c r="L177" s="358"/>
      <c r="M177" s="358"/>
      <c r="N177" s="327"/>
      <c r="O177" s="328"/>
      <c r="P177" s="326">
        <v>0</v>
      </c>
      <c r="Q177" s="327"/>
      <c r="R177" s="329"/>
      <c r="S177" s="326"/>
      <c r="T177" s="326"/>
      <c r="U177" s="326"/>
      <c r="V177" s="326"/>
      <c r="W177" s="326"/>
      <c r="X177" s="326"/>
      <c r="Y177" s="1350">
        <f t="shared" si="14"/>
        <v>0</v>
      </c>
      <c r="Z177" s="1351">
        <f t="shared" si="15"/>
        <v>0</v>
      </c>
      <c r="AA177" s="326">
        <f t="shared" si="16"/>
        <v>0</v>
      </c>
      <c r="AB177" s="326">
        <f t="shared" si="17"/>
        <v>0</v>
      </c>
      <c r="AC177" s="326">
        <f t="shared" si="18"/>
        <v>0</v>
      </c>
      <c r="AD177" s="326">
        <f t="shared" si="19"/>
        <v>0</v>
      </c>
      <c r="AE177" s="326">
        <f t="shared" si="20"/>
        <v>0</v>
      </c>
      <c r="AF177" s="355"/>
      <c r="AG177" s="838"/>
      <c r="AH177" s="744"/>
      <c r="AI177" s="292"/>
      <c r="AK177" s="300"/>
      <c r="AS177" s="452"/>
    </row>
    <row r="178" spans="1:45" s="299" customFormat="1" ht="27.6">
      <c r="A178" s="353">
        <v>305</v>
      </c>
      <c r="B178" s="352">
        <v>100</v>
      </c>
      <c r="C178" s="352">
        <v>350</v>
      </c>
      <c r="D178" s="352">
        <v>100</v>
      </c>
      <c r="E178" s="357">
        <v>20</v>
      </c>
      <c r="F178" s="352"/>
      <c r="G178" s="342" t="s">
        <v>751</v>
      </c>
      <c r="H178" s="329"/>
      <c r="I178" s="326"/>
      <c r="J178" s="358"/>
      <c r="K178" s="358"/>
      <c r="L178" s="358"/>
      <c r="M178" s="358"/>
      <c r="N178" s="327"/>
      <c r="O178" s="328"/>
      <c r="P178" s="326">
        <v>0</v>
      </c>
      <c r="Q178" s="327"/>
      <c r="R178" s="329"/>
      <c r="S178" s="326"/>
      <c r="T178" s="326"/>
      <c r="U178" s="326"/>
      <c r="V178" s="326"/>
      <c r="W178" s="326"/>
      <c r="X178" s="326"/>
      <c r="Y178" s="1350">
        <f t="shared" si="14"/>
        <v>0</v>
      </c>
      <c r="Z178" s="1351">
        <f t="shared" si="15"/>
        <v>0</v>
      </c>
      <c r="AA178" s="326">
        <f t="shared" si="16"/>
        <v>0</v>
      </c>
      <c r="AB178" s="326">
        <f t="shared" si="17"/>
        <v>0</v>
      </c>
      <c r="AC178" s="326">
        <f t="shared" si="18"/>
        <v>0</v>
      </c>
      <c r="AD178" s="326">
        <f t="shared" si="19"/>
        <v>0</v>
      </c>
      <c r="AE178" s="326">
        <f t="shared" si="20"/>
        <v>0</v>
      </c>
      <c r="AF178" s="355"/>
      <c r="AG178" s="838"/>
      <c r="AH178" s="744"/>
      <c r="AI178" s="292"/>
      <c r="AK178" s="300"/>
      <c r="AS178" s="452"/>
    </row>
    <row r="179" spans="1:45" s="299" customFormat="1" ht="27.6">
      <c r="A179" s="353">
        <v>305</v>
      </c>
      <c r="B179" s="352">
        <v>100</v>
      </c>
      <c r="C179" s="352">
        <v>350</v>
      </c>
      <c r="D179" s="357">
        <v>200</v>
      </c>
      <c r="E179" s="357"/>
      <c r="F179" s="352"/>
      <c r="G179" s="342" t="s">
        <v>681</v>
      </c>
      <c r="H179" s="329"/>
      <c r="I179" s="326"/>
      <c r="J179" s="358"/>
      <c r="K179" s="358"/>
      <c r="L179" s="358"/>
      <c r="M179" s="358"/>
      <c r="N179" s="327"/>
      <c r="O179" s="328"/>
      <c r="P179" s="326">
        <v>0</v>
      </c>
      <c r="Q179" s="327"/>
      <c r="R179" s="329"/>
      <c r="S179" s="326"/>
      <c r="T179" s="326"/>
      <c r="U179" s="326"/>
      <c r="V179" s="326"/>
      <c r="W179" s="326"/>
      <c r="X179" s="326"/>
      <c r="Y179" s="1350">
        <f t="shared" si="14"/>
        <v>0</v>
      </c>
      <c r="Z179" s="1351">
        <f t="shared" si="15"/>
        <v>0</v>
      </c>
      <c r="AA179" s="326">
        <f t="shared" si="16"/>
        <v>0</v>
      </c>
      <c r="AB179" s="326">
        <f t="shared" si="17"/>
        <v>0</v>
      </c>
      <c r="AC179" s="326">
        <f t="shared" si="18"/>
        <v>0</v>
      </c>
      <c r="AD179" s="326">
        <f t="shared" si="19"/>
        <v>0</v>
      </c>
      <c r="AE179" s="326">
        <f t="shared" si="20"/>
        <v>0</v>
      </c>
      <c r="AF179" s="355" t="s">
        <v>752</v>
      </c>
      <c r="AG179" s="838"/>
      <c r="AH179" s="744"/>
      <c r="AI179" s="292"/>
      <c r="AK179" s="300"/>
      <c r="AS179" s="452"/>
    </row>
    <row r="180" spans="1:45" s="299" customFormat="1">
      <c r="A180" s="353">
        <v>305</v>
      </c>
      <c r="B180" s="352">
        <v>100</v>
      </c>
      <c r="C180" s="352">
        <v>350</v>
      </c>
      <c r="D180" s="352">
        <v>300</v>
      </c>
      <c r="E180" s="352"/>
      <c r="F180" s="352"/>
      <c r="G180" s="443" t="s">
        <v>671</v>
      </c>
      <c r="H180" s="334"/>
      <c r="I180" s="331"/>
      <c r="J180" s="359"/>
      <c r="K180" s="359"/>
      <c r="L180" s="359"/>
      <c r="M180" s="359"/>
      <c r="N180" s="332"/>
      <c r="O180" s="333"/>
      <c r="P180" s="331">
        <v>0</v>
      </c>
      <c r="Q180" s="332"/>
      <c r="R180" s="334"/>
      <c r="S180" s="331"/>
      <c r="T180" s="331"/>
      <c r="U180" s="331"/>
      <c r="V180" s="331"/>
      <c r="W180" s="331"/>
      <c r="X180" s="331"/>
      <c r="Y180" s="1352">
        <f t="shared" si="14"/>
        <v>0</v>
      </c>
      <c r="Z180" s="1353">
        <f t="shared" si="15"/>
        <v>0</v>
      </c>
      <c r="AA180" s="331">
        <f t="shared" si="16"/>
        <v>0</v>
      </c>
      <c r="AB180" s="331">
        <f t="shared" si="17"/>
        <v>0</v>
      </c>
      <c r="AC180" s="331">
        <f t="shared" si="18"/>
        <v>0</v>
      </c>
      <c r="AD180" s="331">
        <f t="shared" si="19"/>
        <v>0</v>
      </c>
      <c r="AE180" s="331">
        <f t="shared" si="20"/>
        <v>0</v>
      </c>
      <c r="AF180" s="355" t="s">
        <v>753</v>
      </c>
      <c r="AG180" s="838"/>
      <c r="AH180" s="744"/>
      <c r="AI180" s="292"/>
      <c r="AK180" s="300"/>
      <c r="AS180" s="452"/>
    </row>
    <row r="181" spans="1:45" s="299" customFormat="1" ht="27.6">
      <c r="A181" s="353">
        <v>305</v>
      </c>
      <c r="B181" s="352">
        <v>100</v>
      </c>
      <c r="C181" s="352">
        <v>350</v>
      </c>
      <c r="D181" s="352">
        <v>300</v>
      </c>
      <c r="E181" s="357">
        <v>10</v>
      </c>
      <c r="F181" s="352"/>
      <c r="G181" s="342" t="s">
        <v>754</v>
      </c>
      <c r="H181" s="329"/>
      <c r="I181" s="326"/>
      <c r="J181" s="358"/>
      <c r="K181" s="358"/>
      <c r="L181" s="358"/>
      <c r="M181" s="358"/>
      <c r="N181" s="327"/>
      <c r="O181" s="328"/>
      <c r="P181" s="326">
        <v>0</v>
      </c>
      <c r="Q181" s="327"/>
      <c r="R181" s="329"/>
      <c r="S181" s="326"/>
      <c r="T181" s="326"/>
      <c r="U181" s="326"/>
      <c r="V181" s="326"/>
      <c r="W181" s="326"/>
      <c r="X181" s="326"/>
      <c r="Y181" s="1350">
        <f t="shared" si="14"/>
        <v>0</v>
      </c>
      <c r="Z181" s="1351">
        <f t="shared" si="15"/>
        <v>0</v>
      </c>
      <c r="AA181" s="326">
        <f t="shared" si="16"/>
        <v>0</v>
      </c>
      <c r="AB181" s="326">
        <f t="shared" si="17"/>
        <v>0</v>
      </c>
      <c r="AC181" s="326">
        <f t="shared" si="18"/>
        <v>0</v>
      </c>
      <c r="AD181" s="326">
        <f t="shared" si="19"/>
        <v>0</v>
      </c>
      <c r="AE181" s="326">
        <f t="shared" si="20"/>
        <v>0</v>
      </c>
      <c r="AF181" s="355"/>
      <c r="AG181" s="838"/>
      <c r="AH181" s="744"/>
      <c r="AI181" s="292"/>
      <c r="AK181" s="300"/>
      <c r="AS181" s="452"/>
    </row>
    <row r="182" spans="1:45" s="299" customFormat="1" ht="27.6">
      <c r="A182" s="353">
        <v>305</v>
      </c>
      <c r="B182" s="352">
        <v>100</v>
      </c>
      <c r="C182" s="352">
        <v>350</v>
      </c>
      <c r="D182" s="352">
        <v>300</v>
      </c>
      <c r="E182" s="357">
        <v>20</v>
      </c>
      <c r="F182" s="352"/>
      <c r="G182" s="342" t="s">
        <v>755</v>
      </c>
      <c r="H182" s="329"/>
      <c r="I182" s="326"/>
      <c r="J182" s="358"/>
      <c r="K182" s="358"/>
      <c r="L182" s="358"/>
      <c r="M182" s="358"/>
      <c r="N182" s="327"/>
      <c r="O182" s="328"/>
      <c r="P182" s="326">
        <v>0</v>
      </c>
      <c r="Q182" s="327"/>
      <c r="R182" s="329"/>
      <c r="S182" s="326"/>
      <c r="T182" s="326"/>
      <c r="U182" s="326"/>
      <c r="V182" s="326"/>
      <c r="W182" s="326"/>
      <c r="X182" s="326"/>
      <c r="Y182" s="1350">
        <f t="shared" si="14"/>
        <v>0</v>
      </c>
      <c r="Z182" s="1351">
        <f t="shared" si="15"/>
        <v>0</v>
      </c>
      <c r="AA182" s="326">
        <f t="shared" si="16"/>
        <v>0</v>
      </c>
      <c r="AB182" s="326">
        <f t="shared" si="17"/>
        <v>0</v>
      </c>
      <c r="AC182" s="326">
        <f t="shared" si="18"/>
        <v>0</v>
      </c>
      <c r="AD182" s="326">
        <f t="shared" si="19"/>
        <v>0</v>
      </c>
      <c r="AE182" s="326">
        <f t="shared" si="20"/>
        <v>0</v>
      </c>
      <c r="AF182" s="355"/>
      <c r="AG182" s="838"/>
      <c r="AH182" s="744"/>
      <c r="AI182" s="292"/>
      <c r="AK182" s="300"/>
      <c r="AS182" s="452"/>
    </row>
    <row r="183" spans="1:45" s="299" customFormat="1">
      <c r="A183" s="353">
        <v>305</v>
      </c>
      <c r="B183" s="352">
        <v>100</v>
      </c>
      <c r="C183" s="352">
        <v>350</v>
      </c>
      <c r="D183" s="352">
        <v>400</v>
      </c>
      <c r="E183" s="352"/>
      <c r="F183" s="352"/>
      <c r="G183" s="443" t="s">
        <v>694</v>
      </c>
      <c r="H183" s="334"/>
      <c r="I183" s="331"/>
      <c r="J183" s="359"/>
      <c r="K183" s="359"/>
      <c r="L183" s="359"/>
      <c r="M183" s="359"/>
      <c r="N183" s="332"/>
      <c r="O183" s="333"/>
      <c r="P183" s="331">
        <v>0</v>
      </c>
      <c r="Q183" s="332"/>
      <c r="R183" s="334"/>
      <c r="S183" s="331"/>
      <c r="T183" s="331"/>
      <c r="U183" s="331"/>
      <c r="V183" s="331"/>
      <c r="W183" s="331"/>
      <c r="X183" s="331"/>
      <c r="Y183" s="1352">
        <f t="shared" si="14"/>
        <v>0</v>
      </c>
      <c r="Z183" s="1353">
        <f t="shared" si="15"/>
        <v>0</v>
      </c>
      <c r="AA183" s="331">
        <f t="shared" si="16"/>
        <v>0</v>
      </c>
      <c r="AB183" s="331">
        <f t="shared" si="17"/>
        <v>0</v>
      </c>
      <c r="AC183" s="331">
        <f t="shared" si="18"/>
        <v>0</v>
      </c>
      <c r="AD183" s="331">
        <f t="shared" si="19"/>
        <v>0</v>
      </c>
      <c r="AE183" s="331">
        <f t="shared" si="20"/>
        <v>0</v>
      </c>
      <c r="AF183" s="355" t="s">
        <v>756</v>
      </c>
      <c r="AG183" s="838"/>
      <c r="AH183" s="744"/>
      <c r="AI183" s="292"/>
      <c r="AK183" s="300"/>
      <c r="AS183" s="452"/>
    </row>
    <row r="184" spans="1:45" s="299" customFormat="1" ht="41.4">
      <c r="A184" s="353">
        <v>305</v>
      </c>
      <c r="B184" s="352">
        <v>100</v>
      </c>
      <c r="C184" s="352">
        <v>350</v>
      </c>
      <c r="D184" s="352">
        <v>400</v>
      </c>
      <c r="E184" s="357">
        <v>10</v>
      </c>
      <c r="F184" s="352"/>
      <c r="G184" s="342" t="s">
        <v>757</v>
      </c>
      <c r="H184" s="329"/>
      <c r="I184" s="326"/>
      <c r="J184" s="358"/>
      <c r="K184" s="358"/>
      <c r="L184" s="358"/>
      <c r="M184" s="358"/>
      <c r="N184" s="327"/>
      <c r="O184" s="328"/>
      <c r="P184" s="326">
        <v>0</v>
      </c>
      <c r="Q184" s="327"/>
      <c r="R184" s="329"/>
      <c r="S184" s="326"/>
      <c r="T184" s="326"/>
      <c r="U184" s="326"/>
      <c r="V184" s="326"/>
      <c r="W184" s="326"/>
      <c r="X184" s="326"/>
      <c r="Y184" s="1350">
        <f t="shared" si="14"/>
        <v>0</v>
      </c>
      <c r="Z184" s="1351">
        <f t="shared" si="15"/>
        <v>0</v>
      </c>
      <c r="AA184" s="326">
        <f t="shared" si="16"/>
        <v>0</v>
      </c>
      <c r="AB184" s="326">
        <f t="shared" si="17"/>
        <v>0</v>
      </c>
      <c r="AC184" s="326">
        <f t="shared" si="18"/>
        <v>0</v>
      </c>
      <c r="AD184" s="326">
        <f t="shared" si="19"/>
        <v>0</v>
      </c>
      <c r="AE184" s="326">
        <f t="shared" si="20"/>
        <v>0</v>
      </c>
      <c r="AF184" s="355" t="s">
        <v>758</v>
      </c>
      <c r="AG184" s="838"/>
      <c r="AH184" s="744"/>
      <c r="AI184" s="292"/>
      <c r="AK184" s="300"/>
      <c r="AS184" s="452"/>
    </row>
    <row r="185" spans="1:45" s="299" customFormat="1" ht="41.4">
      <c r="A185" s="353">
        <v>305</v>
      </c>
      <c r="B185" s="352">
        <v>100</v>
      </c>
      <c r="C185" s="352">
        <v>350</v>
      </c>
      <c r="D185" s="352">
        <v>400</v>
      </c>
      <c r="E185" s="357">
        <v>20</v>
      </c>
      <c r="F185" s="352"/>
      <c r="G185" s="342" t="s">
        <v>759</v>
      </c>
      <c r="H185" s="329"/>
      <c r="I185" s="326"/>
      <c r="J185" s="358"/>
      <c r="K185" s="358"/>
      <c r="L185" s="358"/>
      <c r="M185" s="358"/>
      <c r="N185" s="327"/>
      <c r="O185" s="328"/>
      <c r="P185" s="326">
        <v>0</v>
      </c>
      <c r="Q185" s="327"/>
      <c r="R185" s="329"/>
      <c r="S185" s="326"/>
      <c r="T185" s="326"/>
      <c r="U185" s="326"/>
      <c r="V185" s="326"/>
      <c r="W185" s="326"/>
      <c r="X185" s="326"/>
      <c r="Y185" s="1350">
        <f t="shared" si="14"/>
        <v>0</v>
      </c>
      <c r="Z185" s="1351">
        <f t="shared" si="15"/>
        <v>0</v>
      </c>
      <c r="AA185" s="326">
        <f t="shared" si="16"/>
        <v>0</v>
      </c>
      <c r="AB185" s="326">
        <f t="shared" si="17"/>
        <v>0</v>
      </c>
      <c r="AC185" s="326">
        <f t="shared" si="18"/>
        <v>0</v>
      </c>
      <c r="AD185" s="326">
        <f t="shared" si="19"/>
        <v>0</v>
      </c>
      <c r="AE185" s="326">
        <f t="shared" si="20"/>
        <v>0</v>
      </c>
      <c r="AF185" s="355" t="s">
        <v>760</v>
      </c>
      <c r="AG185" s="838"/>
      <c r="AH185" s="744"/>
      <c r="AI185" s="292"/>
      <c r="AK185" s="300"/>
      <c r="AS185" s="452"/>
    </row>
    <row r="186" spans="1:45" s="299" customFormat="1" ht="27.6">
      <c r="A186" s="353">
        <v>305</v>
      </c>
      <c r="B186" s="352">
        <v>100</v>
      </c>
      <c r="C186" s="352">
        <v>350</v>
      </c>
      <c r="D186" s="352">
        <v>400</v>
      </c>
      <c r="E186" s="357">
        <v>30</v>
      </c>
      <c r="F186" s="352"/>
      <c r="G186" s="342" t="s">
        <v>761</v>
      </c>
      <c r="H186" s="329"/>
      <c r="I186" s="326"/>
      <c r="J186" s="358"/>
      <c r="K186" s="358"/>
      <c r="L186" s="358"/>
      <c r="M186" s="358"/>
      <c r="N186" s="327"/>
      <c r="O186" s="328"/>
      <c r="P186" s="326">
        <v>0</v>
      </c>
      <c r="Q186" s="327"/>
      <c r="R186" s="329"/>
      <c r="S186" s="326"/>
      <c r="T186" s="326"/>
      <c r="U186" s="326"/>
      <c r="V186" s="326"/>
      <c r="W186" s="326"/>
      <c r="X186" s="326"/>
      <c r="Y186" s="1350">
        <f t="shared" si="14"/>
        <v>0</v>
      </c>
      <c r="Z186" s="1351">
        <f t="shared" si="15"/>
        <v>0</v>
      </c>
      <c r="AA186" s="326">
        <f t="shared" si="16"/>
        <v>0</v>
      </c>
      <c r="AB186" s="326">
        <f t="shared" si="17"/>
        <v>0</v>
      </c>
      <c r="AC186" s="326">
        <f t="shared" si="18"/>
        <v>0</v>
      </c>
      <c r="AD186" s="326">
        <f t="shared" si="19"/>
        <v>0</v>
      </c>
      <c r="AE186" s="326">
        <f t="shared" si="20"/>
        <v>0</v>
      </c>
      <c r="AF186" s="355" t="s">
        <v>762</v>
      </c>
      <c r="AG186" s="838"/>
      <c r="AH186" s="744"/>
      <c r="AI186" s="292"/>
      <c r="AK186" s="300"/>
      <c r="AS186" s="452"/>
    </row>
    <row r="187" spans="1:45" s="299" customFormat="1" ht="27.6">
      <c r="A187" s="353">
        <v>305</v>
      </c>
      <c r="B187" s="352">
        <v>100</v>
      </c>
      <c r="C187" s="352">
        <v>350</v>
      </c>
      <c r="D187" s="352">
        <v>400</v>
      </c>
      <c r="E187" s="357">
        <v>40</v>
      </c>
      <c r="F187" s="352"/>
      <c r="G187" s="342" t="s">
        <v>763</v>
      </c>
      <c r="H187" s="329"/>
      <c r="I187" s="326"/>
      <c r="J187" s="358"/>
      <c r="K187" s="358"/>
      <c r="L187" s="358"/>
      <c r="M187" s="358"/>
      <c r="N187" s="327"/>
      <c r="O187" s="328"/>
      <c r="P187" s="326">
        <v>0</v>
      </c>
      <c r="Q187" s="327"/>
      <c r="R187" s="329"/>
      <c r="S187" s="326"/>
      <c r="T187" s="326"/>
      <c r="U187" s="326"/>
      <c r="V187" s="326"/>
      <c r="W187" s="326"/>
      <c r="X187" s="326"/>
      <c r="Y187" s="1350">
        <f t="shared" si="14"/>
        <v>0</v>
      </c>
      <c r="Z187" s="1351">
        <f t="shared" si="15"/>
        <v>0</v>
      </c>
      <c r="AA187" s="326">
        <f t="shared" si="16"/>
        <v>0</v>
      </c>
      <c r="AB187" s="326">
        <f t="shared" si="17"/>
        <v>0</v>
      </c>
      <c r="AC187" s="326">
        <f t="shared" si="18"/>
        <v>0</v>
      </c>
      <c r="AD187" s="326">
        <f t="shared" si="19"/>
        <v>0</v>
      </c>
      <c r="AE187" s="326">
        <f t="shared" si="20"/>
        <v>0</v>
      </c>
      <c r="AF187" s="355" t="s">
        <v>764</v>
      </c>
      <c r="AG187" s="838"/>
      <c r="AH187" s="744"/>
      <c r="AI187" s="292"/>
      <c r="AK187" s="300"/>
      <c r="AS187" s="452"/>
    </row>
    <row r="188" spans="1:45" s="299" customFormat="1" ht="41.4">
      <c r="A188" s="353">
        <v>305</v>
      </c>
      <c r="B188" s="352">
        <v>100</v>
      </c>
      <c r="C188" s="352">
        <v>350</v>
      </c>
      <c r="D188" s="357">
        <v>500</v>
      </c>
      <c r="E188" s="352"/>
      <c r="F188" s="352"/>
      <c r="G188" s="443" t="s">
        <v>712</v>
      </c>
      <c r="H188" s="329"/>
      <c r="I188" s="326"/>
      <c r="J188" s="358"/>
      <c r="K188" s="358"/>
      <c r="L188" s="358"/>
      <c r="M188" s="358"/>
      <c r="N188" s="327"/>
      <c r="O188" s="328"/>
      <c r="P188" s="326">
        <v>0</v>
      </c>
      <c r="Q188" s="327"/>
      <c r="R188" s="329"/>
      <c r="S188" s="326"/>
      <c r="T188" s="326"/>
      <c r="U188" s="326"/>
      <c r="V188" s="326"/>
      <c r="W188" s="326"/>
      <c r="X188" s="326"/>
      <c r="Y188" s="1350">
        <f t="shared" si="14"/>
        <v>0</v>
      </c>
      <c r="Z188" s="1351">
        <f t="shared" si="15"/>
        <v>0</v>
      </c>
      <c r="AA188" s="326">
        <f t="shared" si="16"/>
        <v>0</v>
      </c>
      <c r="AB188" s="326">
        <f t="shared" si="17"/>
        <v>0</v>
      </c>
      <c r="AC188" s="326">
        <f t="shared" si="18"/>
        <v>0</v>
      </c>
      <c r="AD188" s="326">
        <f t="shared" si="19"/>
        <v>0</v>
      </c>
      <c r="AE188" s="326">
        <f t="shared" si="20"/>
        <v>0</v>
      </c>
      <c r="AF188" s="355" t="s">
        <v>765</v>
      </c>
      <c r="AG188" s="838"/>
      <c r="AH188" s="744"/>
      <c r="AI188" s="292"/>
      <c r="AK188" s="300"/>
      <c r="AS188" s="452"/>
    </row>
    <row r="189" spans="1:45" s="299" customFormat="1" ht="27.6">
      <c r="A189" s="353">
        <v>305</v>
      </c>
      <c r="B189" s="352">
        <v>100</v>
      </c>
      <c r="C189" s="352">
        <v>400</v>
      </c>
      <c r="D189" s="352"/>
      <c r="E189" s="352"/>
      <c r="F189" s="352"/>
      <c r="G189" s="323" t="s">
        <v>766</v>
      </c>
      <c r="H189" s="334"/>
      <c r="I189" s="331"/>
      <c r="J189" s="359"/>
      <c r="K189" s="359"/>
      <c r="L189" s="359"/>
      <c r="M189" s="359"/>
      <c r="N189" s="332"/>
      <c r="O189" s="333"/>
      <c r="P189" s="331">
        <v>0</v>
      </c>
      <c r="Q189" s="332"/>
      <c r="R189" s="334"/>
      <c r="S189" s="331"/>
      <c r="T189" s="331"/>
      <c r="U189" s="331"/>
      <c r="V189" s="331"/>
      <c r="W189" s="331"/>
      <c r="X189" s="331"/>
      <c r="Y189" s="1352">
        <f t="shared" si="14"/>
        <v>0</v>
      </c>
      <c r="Z189" s="1353">
        <f t="shared" si="15"/>
        <v>0</v>
      </c>
      <c r="AA189" s="331">
        <f t="shared" si="16"/>
        <v>0</v>
      </c>
      <c r="AB189" s="331">
        <f t="shared" si="17"/>
        <v>0</v>
      </c>
      <c r="AC189" s="331">
        <f t="shared" si="18"/>
        <v>0</v>
      </c>
      <c r="AD189" s="331">
        <f t="shared" si="19"/>
        <v>0</v>
      </c>
      <c r="AE189" s="331">
        <f t="shared" si="20"/>
        <v>0</v>
      </c>
      <c r="AF189" s="355" t="s">
        <v>767</v>
      </c>
      <c r="AG189" s="838"/>
      <c r="AH189" s="744"/>
      <c r="AI189" s="292"/>
      <c r="AK189" s="300"/>
      <c r="AS189" s="452"/>
    </row>
    <row r="190" spans="1:45" s="299" customFormat="1" ht="27.6">
      <c r="A190" s="353">
        <v>305</v>
      </c>
      <c r="B190" s="352">
        <v>100</v>
      </c>
      <c r="C190" s="352">
        <v>400</v>
      </c>
      <c r="D190" s="352">
        <v>100</v>
      </c>
      <c r="E190" s="357"/>
      <c r="F190" s="357"/>
      <c r="G190" s="342" t="s">
        <v>675</v>
      </c>
      <c r="H190" s="329"/>
      <c r="I190" s="326"/>
      <c r="J190" s="358"/>
      <c r="K190" s="358"/>
      <c r="L190" s="358"/>
      <c r="M190" s="358"/>
      <c r="N190" s="327"/>
      <c r="O190" s="328"/>
      <c r="P190" s="326">
        <v>0</v>
      </c>
      <c r="Q190" s="327"/>
      <c r="R190" s="329"/>
      <c r="S190" s="326"/>
      <c r="T190" s="326"/>
      <c r="U190" s="326"/>
      <c r="V190" s="326"/>
      <c r="W190" s="326"/>
      <c r="X190" s="326"/>
      <c r="Y190" s="1350">
        <f t="shared" si="14"/>
        <v>0</v>
      </c>
      <c r="Z190" s="1351">
        <f t="shared" si="15"/>
        <v>0</v>
      </c>
      <c r="AA190" s="326">
        <f t="shared" si="16"/>
        <v>0</v>
      </c>
      <c r="AB190" s="326">
        <f t="shared" si="17"/>
        <v>0</v>
      </c>
      <c r="AC190" s="326">
        <f t="shared" si="18"/>
        <v>0</v>
      </c>
      <c r="AD190" s="326">
        <f t="shared" si="19"/>
        <v>0</v>
      </c>
      <c r="AE190" s="326">
        <f t="shared" si="20"/>
        <v>0</v>
      </c>
      <c r="AF190" s="424" t="s">
        <v>768</v>
      </c>
      <c r="AG190" s="838"/>
      <c r="AH190" s="744"/>
      <c r="AI190" s="292"/>
      <c r="AK190" s="300"/>
      <c r="AS190" s="452"/>
    </row>
    <row r="191" spans="1:45" s="299" customFormat="1" ht="27.6">
      <c r="A191" s="353">
        <v>305</v>
      </c>
      <c r="B191" s="352">
        <v>100</v>
      </c>
      <c r="C191" s="352">
        <v>400</v>
      </c>
      <c r="D191" s="357">
        <v>200</v>
      </c>
      <c r="E191" s="357"/>
      <c r="F191" s="352"/>
      <c r="G191" s="342" t="s">
        <v>681</v>
      </c>
      <c r="H191" s="329"/>
      <c r="I191" s="326"/>
      <c r="J191" s="358"/>
      <c r="K191" s="358"/>
      <c r="L191" s="358"/>
      <c r="M191" s="358"/>
      <c r="N191" s="327"/>
      <c r="O191" s="328"/>
      <c r="P191" s="326">
        <v>0</v>
      </c>
      <c r="Q191" s="327"/>
      <c r="R191" s="329"/>
      <c r="S191" s="326"/>
      <c r="T191" s="326"/>
      <c r="U191" s="326"/>
      <c r="V191" s="326"/>
      <c r="W191" s="326"/>
      <c r="X191" s="326"/>
      <c r="Y191" s="1350">
        <f t="shared" si="14"/>
        <v>0</v>
      </c>
      <c r="Z191" s="1351">
        <f t="shared" si="15"/>
        <v>0</v>
      </c>
      <c r="AA191" s="326">
        <f t="shared" si="16"/>
        <v>0</v>
      </c>
      <c r="AB191" s="326">
        <f t="shared" si="17"/>
        <v>0</v>
      </c>
      <c r="AC191" s="326">
        <f t="shared" si="18"/>
        <v>0</v>
      </c>
      <c r="AD191" s="326">
        <f t="shared" si="19"/>
        <v>0</v>
      </c>
      <c r="AE191" s="326">
        <f t="shared" si="20"/>
        <v>0</v>
      </c>
      <c r="AF191" s="355" t="s">
        <v>769</v>
      </c>
      <c r="AG191" s="838"/>
      <c r="AH191" s="744"/>
      <c r="AI191" s="292"/>
      <c r="AK191" s="300"/>
      <c r="AS191" s="452"/>
    </row>
    <row r="192" spans="1:45" s="299" customFormat="1" ht="27.6">
      <c r="A192" s="353">
        <v>305</v>
      </c>
      <c r="B192" s="352">
        <v>100</v>
      </c>
      <c r="C192" s="352">
        <v>400</v>
      </c>
      <c r="D192" s="357">
        <v>300</v>
      </c>
      <c r="E192" s="357"/>
      <c r="F192" s="352"/>
      <c r="G192" s="342" t="s">
        <v>770</v>
      </c>
      <c r="H192" s="329"/>
      <c r="I192" s="326"/>
      <c r="J192" s="358"/>
      <c r="K192" s="358"/>
      <c r="L192" s="358"/>
      <c r="M192" s="358"/>
      <c r="N192" s="327"/>
      <c r="O192" s="328"/>
      <c r="P192" s="326">
        <v>0</v>
      </c>
      <c r="Q192" s="327"/>
      <c r="R192" s="329"/>
      <c r="S192" s="326"/>
      <c r="T192" s="326"/>
      <c r="U192" s="326"/>
      <c r="V192" s="326"/>
      <c r="W192" s="326"/>
      <c r="X192" s="326"/>
      <c r="Y192" s="1350">
        <f t="shared" si="14"/>
        <v>0</v>
      </c>
      <c r="Z192" s="1351">
        <f t="shared" si="15"/>
        <v>0</v>
      </c>
      <c r="AA192" s="326">
        <f t="shared" si="16"/>
        <v>0</v>
      </c>
      <c r="AB192" s="326">
        <f t="shared" si="17"/>
        <v>0</v>
      </c>
      <c r="AC192" s="326">
        <f t="shared" si="18"/>
        <v>0</v>
      </c>
      <c r="AD192" s="326">
        <f t="shared" si="19"/>
        <v>0</v>
      </c>
      <c r="AE192" s="326">
        <f t="shared" si="20"/>
        <v>0</v>
      </c>
      <c r="AF192" s="355" t="s">
        <v>771</v>
      </c>
      <c r="AG192" s="838"/>
      <c r="AH192" s="744"/>
      <c r="AI192" s="292"/>
      <c r="AK192" s="300"/>
      <c r="AS192" s="452"/>
    </row>
    <row r="193" spans="1:45" s="299" customFormat="1">
      <c r="A193" s="353">
        <v>305</v>
      </c>
      <c r="B193" s="352">
        <v>100</v>
      </c>
      <c r="C193" s="352">
        <v>400</v>
      </c>
      <c r="D193" s="357">
        <v>400</v>
      </c>
      <c r="E193" s="357"/>
      <c r="F193" s="352"/>
      <c r="G193" s="342" t="s">
        <v>722</v>
      </c>
      <c r="H193" s="329"/>
      <c r="I193" s="326"/>
      <c r="J193" s="358"/>
      <c r="K193" s="358"/>
      <c r="L193" s="358"/>
      <c r="M193" s="358"/>
      <c r="N193" s="327"/>
      <c r="O193" s="328"/>
      <c r="P193" s="326">
        <v>0</v>
      </c>
      <c r="Q193" s="327"/>
      <c r="R193" s="329"/>
      <c r="S193" s="326"/>
      <c r="T193" s="326"/>
      <c r="U193" s="326"/>
      <c r="V193" s="326"/>
      <c r="W193" s="326"/>
      <c r="X193" s="326"/>
      <c r="Y193" s="1350">
        <f t="shared" si="14"/>
        <v>0</v>
      </c>
      <c r="Z193" s="1351">
        <f t="shared" si="15"/>
        <v>0</v>
      </c>
      <c r="AA193" s="326">
        <f t="shared" si="16"/>
        <v>0</v>
      </c>
      <c r="AB193" s="326">
        <f t="shared" si="17"/>
        <v>0</v>
      </c>
      <c r="AC193" s="326">
        <f t="shared" si="18"/>
        <v>0</v>
      </c>
      <c r="AD193" s="326">
        <f t="shared" si="19"/>
        <v>0</v>
      </c>
      <c r="AE193" s="326">
        <f t="shared" si="20"/>
        <v>0</v>
      </c>
      <c r="AF193" s="355" t="s">
        <v>772</v>
      </c>
      <c r="AG193" s="838"/>
      <c r="AH193" s="744"/>
      <c r="AI193" s="292"/>
      <c r="AK193" s="300"/>
      <c r="AS193" s="452"/>
    </row>
    <row r="194" spans="1:45" s="299" customFormat="1">
      <c r="A194" s="353">
        <v>305</v>
      </c>
      <c r="B194" s="352">
        <v>100</v>
      </c>
      <c r="C194" s="352">
        <v>400</v>
      </c>
      <c r="D194" s="357">
        <v>500</v>
      </c>
      <c r="E194" s="357"/>
      <c r="F194" s="352"/>
      <c r="G194" s="342" t="s">
        <v>726</v>
      </c>
      <c r="H194" s="329"/>
      <c r="I194" s="326"/>
      <c r="J194" s="358"/>
      <c r="K194" s="358"/>
      <c r="L194" s="358"/>
      <c r="M194" s="358"/>
      <c r="N194" s="327"/>
      <c r="O194" s="328"/>
      <c r="P194" s="326">
        <v>0</v>
      </c>
      <c r="Q194" s="327"/>
      <c r="R194" s="329"/>
      <c r="S194" s="326"/>
      <c r="T194" s="326"/>
      <c r="U194" s="326"/>
      <c r="V194" s="326"/>
      <c r="W194" s="326"/>
      <c r="X194" s="326"/>
      <c r="Y194" s="1350">
        <f t="shared" si="14"/>
        <v>0</v>
      </c>
      <c r="Z194" s="1351">
        <f t="shared" si="15"/>
        <v>0</v>
      </c>
      <c r="AA194" s="326">
        <f t="shared" si="16"/>
        <v>0</v>
      </c>
      <c r="AB194" s="326">
        <f t="shared" si="17"/>
        <v>0</v>
      </c>
      <c r="AC194" s="326">
        <f t="shared" si="18"/>
        <v>0</v>
      </c>
      <c r="AD194" s="326">
        <f t="shared" si="19"/>
        <v>0</v>
      </c>
      <c r="AE194" s="326">
        <f t="shared" si="20"/>
        <v>0</v>
      </c>
      <c r="AF194" s="355" t="s">
        <v>773</v>
      </c>
      <c r="AG194" s="838"/>
      <c r="AH194" s="744"/>
      <c r="AI194" s="292"/>
      <c r="AK194" s="300"/>
      <c r="AS194" s="452"/>
    </row>
    <row r="195" spans="1:45" s="299" customFormat="1" ht="27.6">
      <c r="A195" s="353">
        <v>305</v>
      </c>
      <c r="B195" s="352">
        <v>100</v>
      </c>
      <c r="C195" s="352">
        <v>450</v>
      </c>
      <c r="D195" s="352"/>
      <c r="E195" s="352"/>
      <c r="F195" s="352"/>
      <c r="G195" s="323" t="s">
        <v>774</v>
      </c>
      <c r="H195" s="334"/>
      <c r="I195" s="331"/>
      <c r="J195" s="359"/>
      <c r="K195" s="359"/>
      <c r="L195" s="359"/>
      <c r="M195" s="359"/>
      <c r="N195" s="332"/>
      <c r="O195" s="333"/>
      <c r="P195" s="331">
        <v>0</v>
      </c>
      <c r="Q195" s="332"/>
      <c r="R195" s="334"/>
      <c r="S195" s="331"/>
      <c r="T195" s="331"/>
      <c r="U195" s="331"/>
      <c r="V195" s="331"/>
      <c r="W195" s="331"/>
      <c r="X195" s="331"/>
      <c r="Y195" s="1352">
        <f t="shared" si="14"/>
        <v>0</v>
      </c>
      <c r="Z195" s="1353">
        <f t="shared" si="15"/>
        <v>0</v>
      </c>
      <c r="AA195" s="331">
        <f t="shared" si="16"/>
        <v>0</v>
      </c>
      <c r="AB195" s="331">
        <f t="shared" si="17"/>
        <v>0</v>
      </c>
      <c r="AC195" s="331">
        <f t="shared" si="18"/>
        <v>0</v>
      </c>
      <c r="AD195" s="331">
        <f t="shared" si="19"/>
        <v>0</v>
      </c>
      <c r="AE195" s="331">
        <f t="shared" si="20"/>
        <v>0</v>
      </c>
      <c r="AF195" s="355" t="s">
        <v>775</v>
      </c>
      <c r="AG195" s="838"/>
      <c r="AH195" s="744"/>
      <c r="AI195" s="292"/>
      <c r="AK195" s="300"/>
      <c r="AS195" s="452"/>
    </row>
    <row r="196" spans="1:45" s="299" customFormat="1" ht="41.4">
      <c r="A196" s="353">
        <v>305</v>
      </c>
      <c r="B196" s="352">
        <v>100</v>
      </c>
      <c r="C196" s="352">
        <v>450</v>
      </c>
      <c r="D196" s="352">
        <v>100</v>
      </c>
      <c r="E196" s="352"/>
      <c r="F196" s="352"/>
      <c r="G196" s="443" t="s">
        <v>660</v>
      </c>
      <c r="H196" s="334"/>
      <c r="I196" s="331"/>
      <c r="J196" s="359"/>
      <c r="K196" s="359"/>
      <c r="L196" s="359"/>
      <c r="M196" s="359"/>
      <c r="N196" s="332"/>
      <c r="O196" s="333"/>
      <c r="P196" s="331">
        <v>0</v>
      </c>
      <c r="Q196" s="332"/>
      <c r="R196" s="334"/>
      <c r="S196" s="331"/>
      <c r="T196" s="331"/>
      <c r="U196" s="331"/>
      <c r="V196" s="331"/>
      <c r="W196" s="331"/>
      <c r="X196" s="331"/>
      <c r="Y196" s="1352">
        <f t="shared" si="14"/>
        <v>0</v>
      </c>
      <c r="Z196" s="1353">
        <f t="shared" si="15"/>
        <v>0</v>
      </c>
      <c r="AA196" s="331">
        <f t="shared" si="16"/>
        <v>0</v>
      </c>
      <c r="AB196" s="331">
        <f t="shared" si="17"/>
        <v>0</v>
      </c>
      <c r="AC196" s="331">
        <f t="shared" si="18"/>
        <v>0</v>
      </c>
      <c r="AD196" s="331">
        <f t="shared" si="19"/>
        <v>0</v>
      </c>
      <c r="AE196" s="331">
        <f t="shared" si="20"/>
        <v>0</v>
      </c>
      <c r="AF196" s="355" t="s">
        <v>776</v>
      </c>
      <c r="AG196" s="838"/>
      <c r="AH196" s="744"/>
      <c r="AI196" s="292"/>
      <c r="AK196" s="300"/>
      <c r="AS196" s="452"/>
    </row>
    <row r="197" spans="1:45" s="299" customFormat="1">
      <c r="A197" s="353">
        <v>305</v>
      </c>
      <c r="B197" s="352">
        <v>100</v>
      </c>
      <c r="C197" s="352">
        <v>450</v>
      </c>
      <c r="D197" s="352">
        <v>100</v>
      </c>
      <c r="E197" s="357">
        <v>10</v>
      </c>
      <c r="F197" s="357"/>
      <c r="G197" s="342" t="s">
        <v>777</v>
      </c>
      <c r="H197" s="329"/>
      <c r="I197" s="326"/>
      <c r="J197" s="358"/>
      <c r="K197" s="358"/>
      <c r="L197" s="358"/>
      <c r="M197" s="358"/>
      <c r="N197" s="327"/>
      <c r="O197" s="328"/>
      <c r="P197" s="326">
        <v>0</v>
      </c>
      <c r="Q197" s="327"/>
      <c r="R197" s="329"/>
      <c r="S197" s="326"/>
      <c r="T197" s="326"/>
      <c r="U197" s="326"/>
      <c r="V197" s="326"/>
      <c r="W197" s="326"/>
      <c r="X197" s="326"/>
      <c r="Y197" s="1350">
        <f t="shared" si="14"/>
        <v>0</v>
      </c>
      <c r="Z197" s="1351">
        <f t="shared" si="15"/>
        <v>0</v>
      </c>
      <c r="AA197" s="326">
        <f t="shared" si="16"/>
        <v>0</v>
      </c>
      <c r="AB197" s="326">
        <f t="shared" si="17"/>
        <v>0</v>
      </c>
      <c r="AC197" s="326">
        <f t="shared" si="18"/>
        <v>0</v>
      </c>
      <c r="AD197" s="326">
        <f t="shared" si="19"/>
        <v>0</v>
      </c>
      <c r="AE197" s="326">
        <f t="shared" si="20"/>
        <v>0</v>
      </c>
      <c r="AF197" s="436"/>
      <c r="AG197" s="840"/>
      <c r="AH197" s="744"/>
      <c r="AI197" s="292"/>
      <c r="AK197" s="300"/>
      <c r="AS197" s="452"/>
    </row>
    <row r="198" spans="1:45" s="299" customFormat="1">
      <c r="A198" s="353">
        <v>305</v>
      </c>
      <c r="B198" s="352">
        <v>100</v>
      </c>
      <c r="C198" s="352">
        <v>450</v>
      </c>
      <c r="D198" s="352">
        <v>100</v>
      </c>
      <c r="E198" s="357">
        <v>20</v>
      </c>
      <c r="F198" s="357"/>
      <c r="G198" s="342" t="s">
        <v>778</v>
      </c>
      <c r="H198" s="329"/>
      <c r="I198" s="326"/>
      <c r="J198" s="358"/>
      <c r="K198" s="358"/>
      <c r="L198" s="358"/>
      <c r="M198" s="358"/>
      <c r="N198" s="327"/>
      <c r="O198" s="328"/>
      <c r="P198" s="326">
        <v>0</v>
      </c>
      <c r="Q198" s="327"/>
      <c r="R198" s="329"/>
      <c r="S198" s="326"/>
      <c r="T198" s="326"/>
      <c r="U198" s="326"/>
      <c r="V198" s="326"/>
      <c r="W198" s="326"/>
      <c r="X198" s="326"/>
      <c r="Y198" s="1350">
        <f t="shared" si="14"/>
        <v>0</v>
      </c>
      <c r="Z198" s="1351">
        <f t="shared" si="15"/>
        <v>0</v>
      </c>
      <c r="AA198" s="326">
        <f t="shared" si="16"/>
        <v>0</v>
      </c>
      <c r="AB198" s="326">
        <f t="shared" si="17"/>
        <v>0</v>
      </c>
      <c r="AC198" s="326">
        <f t="shared" si="18"/>
        <v>0</v>
      </c>
      <c r="AD198" s="326">
        <f t="shared" si="19"/>
        <v>0</v>
      </c>
      <c r="AE198" s="326">
        <f t="shared" si="20"/>
        <v>0</v>
      </c>
      <c r="AF198" s="436"/>
      <c r="AG198" s="840"/>
      <c r="AH198" s="744"/>
      <c r="AI198" s="292"/>
      <c r="AK198" s="300"/>
      <c r="AS198" s="452"/>
    </row>
    <row r="199" spans="1:45" s="299" customFormat="1" ht="27.6">
      <c r="A199" s="353">
        <v>305</v>
      </c>
      <c r="B199" s="352">
        <v>100</v>
      </c>
      <c r="C199" s="352">
        <v>450</v>
      </c>
      <c r="D199" s="357">
        <v>200</v>
      </c>
      <c r="E199" s="357"/>
      <c r="F199" s="352"/>
      <c r="G199" s="342" t="s">
        <v>681</v>
      </c>
      <c r="H199" s="329"/>
      <c r="I199" s="326"/>
      <c r="J199" s="358"/>
      <c r="K199" s="358"/>
      <c r="L199" s="358"/>
      <c r="M199" s="358"/>
      <c r="N199" s="327"/>
      <c r="O199" s="328"/>
      <c r="P199" s="326">
        <v>0</v>
      </c>
      <c r="Q199" s="327"/>
      <c r="R199" s="329"/>
      <c r="S199" s="326"/>
      <c r="T199" s="326"/>
      <c r="U199" s="326"/>
      <c r="V199" s="326"/>
      <c r="W199" s="326"/>
      <c r="X199" s="326"/>
      <c r="Y199" s="1350">
        <f t="shared" ref="Y199:Y262" si="21">+H199+O199+R199</f>
        <v>0</v>
      </c>
      <c r="Z199" s="1351">
        <f t="shared" ref="Z199:Z262" si="22">+I199+S199</f>
        <v>0</v>
      </c>
      <c r="AA199" s="326">
        <f t="shared" ref="AA199:AA262" si="23">+J199+T199</f>
        <v>0</v>
      </c>
      <c r="AB199" s="326">
        <f t="shared" ref="AB199:AB262" si="24">+K199+P199+U199</f>
        <v>0</v>
      </c>
      <c r="AC199" s="326">
        <f t="shared" ref="AC199:AC262" si="25">+L199+V199</f>
        <v>0</v>
      </c>
      <c r="AD199" s="326">
        <f t="shared" ref="AD199:AD262" si="26">+M199+W199</f>
        <v>0</v>
      </c>
      <c r="AE199" s="326">
        <f t="shared" ref="AE199:AE262" si="27">+N199+X199+Q199</f>
        <v>0</v>
      </c>
      <c r="AF199" s="355" t="s">
        <v>779</v>
      </c>
      <c r="AG199" s="838"/>
      <c r="AH199" s="744"/>
      <c r="AI199" s="292"/>
      <c r="AK199" s="300"/>
      <c r="AS199" s="452"/>
    </row>
    <row r="200" spans="1:45" s="299" customFormat="1">
      <c r="A200" s="353">
        <v>305</v>
      </c>
      <c r="B200" s="352">
        <v>100</v>
      </c>
      <c r="C200" s="352">
        <v>450</v>
      </c>
      <c r="D200" s="357">
        <v>300</v>
      </c>
      <c r="E200" s="357"/>
      <c r="F200" s="352"/>
      <c r="G200" s="342" t="s">
        <v>671</v>
      </c>
      <c r="H200" s="446"/>
      <c r="I200" s="444"/>
      <c r="J200" s="447"/>
      <c r="K200" s="447"/>
      <c r="L200" s="447"/>
      <c r="M200" s="447"/>
      <c r="N200" s="445"/>
      <c r="O200" s="799"/>
      <c r="P200" s="444">
        <v>0</v>
      </c>
      <c r="Q200" s="445"/>
      <c r="R200" s="446">
        <v>17717</v>
      </c>
      <c r="S200" s="444"/>
      <c r="T200" s="444"/>
      <c r="U200" s="444">
        <v>17717</v>
      </c>
      <c r="V200" s="444"/>
      <c r="W200" s="444"/>
      <c r="X200" s="444">
        <v>45428</v>
      </c>
      <c r="Y200" s="1358">
        <f t="shared" si="21"/>
        <v>17717</v>
      </c>
      <c r="Z200" s="1359">
        <f t="shared" si="22"/>
        <v>0</v>
      </c>
      <c r="AA200" s="444">
        <f t="shared" si="23"/>
        <v>0</v>
      </c>
      <c r="AB200" s="444">
        <f t="shared" si="24"/>
        <v>17717</v>
      </c>
      <c r="AC200" s="444">
        <f t="shared" si="25"/>
        <v>0</v>
      </c>
      <c r="AD200" s="444">
        <f t="shared" si="26"/>
        <v>0</v>
      </c>
      <c r="AE200" s="444">
        <f t="shared" si="27"/>
        <v>45428</v>
      </c>
      <c r="AF200" s="355" t="s">
        <v>780</v>
      </c>
      <c r="AG200" s="838"/>
      <c r="AH200" s="744"/>
      <c r="AI200" s="292"/>
      <c r="AK200" s="300"/>
      <c r="AS200" s="452"/>
    </row>
    <row r="201" spans="1:45" s="299" customFormat="1">
      <c r="A201" s="353">
        <v>305</v>
      </c>
      <c r="B201" s="352">
        <v>100</v>
      </c>
      <c r="C201" s="352">
        <v>450</v>
      </c>
      <c r="D201" s="352">
        <v>400</v>
      </c>
      <c r="E201" s="352"/>
      <c r="F201" s="352"/>
      <c r="G201" s="443" t="s">
        <v>722</v>
      </c>
      <c r="H201" s="334"/>
      <c r="I201" s="331"/>
      <c r="J201" s="359"/>
      <c r="K201" s="359"/>
      <c r="L201" s="359"/>
      <c r="M201" s="359"/>
      <c r="N201" s="332"/>
      <c r="O201" s="333"/>
      <c r="P201" s="331">
        <v>0</v>
      </c>
      <c r="Q201" s="332"/>
      <c r="R201" s="334"/>
      <c r="S201" s="331"/>
      <c r="T201" s="331"/>
      <c r="U201" s="331"/>
      <c r="V201" s="331"/>
      <c r="W201" s="331"/>
      <c r="X201" s="331"/>
      <c r="Y201" s="1352">
        <f t="shared" si="21"/>
        <v>0</v>
      </c>
      <c r="Z201" s="1353">
        <f t="shared" si="22"/>
        <v>0</v>
      </c>
      <c r="AA201" s="331">
        <f t="shared" si="23"/>
        <v>0</v>
      </c>
      <c r="AB201" s="331">
        <f t="shared" si="24"/>
        <v>0</v>
      </c>
      <c r="AC201" s="331">
        <f t="shared" si="25"/>
        <v>0</v>
      </c>
      <c r="AD201" s="331">
        <f t="shared" si="26"/>
        <v>0</v>
      </c>
      <c r="AE201" s="331">
        <f t="shared" si="27"/>
        <v>0</v>
      </c>
      <c r="AF201" s="355" t="s">
        <v>781</v>
      </c>
      <c r="AG201" s="838"/>
      <c r="AH201" s="744"/>
      <c r="AI201" s="292"/>
      <c r="AK201" s="300"/>
      <c r="AS201" s="452"/>
    </row>
    <row r="202" spans="1:45" s="299" customFormat="1" ht="27.6">
      <c r="A202" s="353">
        <v>305</v>
      </c>
      <c r="B202" s="352">
        <v>100</v>
      </c>
      <c r="C202" s="352">
        <v>450</v>
      </c>
      <c r="D202" s="352">
        <v>400</v>
      </c>
      <c r="E202" s="357">
        <v>10</v>
      </c>
      <c r="F202" s="357"/>
      <c r="G202" s="342" t="s">
        <v>782</v>
      </c>
      <c r="H202" s="329"/>
      <c r="I202" s="326"/>
      <c r="J202" s="358"/>
      <c r="K202" s="358"/>
      <c r="L202" s="358"/>
      <c r="M202" s="358"/>
      <c r="N202" s="327"/>
      <c r="O202" s="328"/>
      <c r="P202" s="326">
        <v>0</v>
      </c>
      <c r="Q202" s="327"/>
      <c r="R202" s="329"/>
      <c r="S202" s="326"/>
      <c r="T202" s="326"/>
      <c r="U202" s="326"/>
      <c r="V202" s="326"/>
      <c r="W202" s="326"/>
      <c r="X202" s="326"/>
      <c r="Y202" s="1350">
        <f t="shared" si="21"/>
        <v>0</v>
      </c>
      <c r="Z202" s="1351">
        <f t="shared" si="22"/>
        <v>0</v>
      </c>
      <c r="AA202" s="326">
        <f t="shared" si="23"/>
        <v>0</v>
      </c>
      <c r="AB202" s="326">
        <f t="shared" si="24"/>
        <v>0</v>
      </c>
      <c r="AC202" s="326">
        <f t="shared" si="25"/>
        <v>0</v>
      </c>
      <c r="AD202" s="326">
        <f t="shared" si="26"/>
        <v>0</v>
      </c>
      <c r="AE202" s="326">
        <f t="shared" si="27"/>
        <v>0</v>
      </c>
      <c r="AF202" s="355"/>
      <c r="AG202" s="838"/>
      <c r="AH202" s="744"/>
      <c r="AI202" s="292"/>
      <c r="AK202" s="300"/>
      <c r="AS202" s="452"/>
    </row>
    <row r="203" spans="1:45" s="299" customFormat="1">
      <c r="A203" s="353">
        <v>305</v>
      </c>
      <c r="B203" s="352">
        <v>100</v>
      </c>
      <c r="C203" s="352">
        <v>450</v>
      </c>
      <c r="D203" s="352">
        <v>400</v>
      </c>
      <c r="E203" s="357">
        <v>90</v>
      </c>
      <c r="F203" s="357"/>
      <c r="G203" s="342" t="s">
        <v>783</v>
      </c>
      <c r="H203" s="329"/>
      <c r="I203" s="326"/>
      <c r="J203" s="358"/>
      <c r="K203" s="358"/>
      <c r="L203" s="358"/>
      <c r="M203" s="358"/>
      <c r="N203" s="327"/>
      <c r="O203" s="328"/>
      <c r="P203" s="326">
        <v>0</v>
      </c>
      <c r="Q203" s="327"/>
      <c r="R203" s="329"/>
      <c r="S203" s="326"/>
      <c r="T203" s="326"/>
      <c r="U203" s="326"/>
      <c r="V203" s="326"/>
      <c r="W203" s="326"/>
      <c r="X203" s="326"/>
      <c r="Y203" s="1350">
        <f t="shared" si="21"/>
        <v>0</v>
      </c>
      <c r="Z203" s="1351">
        <f t="shared" si="22"/>
        <v>0</v>
      </c>
      <c r="AA203" s="326">
        <f t="shared" si="23"/>
        <v>0</v>
      </c>
      <c r="AB203" s="326">
        <f t="shared" si="24"/>
        <v>0</v>
      </c>
      <c r="AC203" s="326">
        <f t="shared" si="25"/>
        <v>0</v>
      </c>
      <c r="AD203" s="326">
        <f t="shared" si="26"/>
        <v>0</v>
      </c>
      <c r="AE203" s="326">
        <f t="shared" si="27"/>
        <v>0</v>
      </c>
      <c r="AF203" s="355"/>
      <c r="AG203" s="838"/>
      <c r="AH203" s="744"/>
      <c r="AI203" s="292"/>
      <c r="AK203" s="300"/>
      <c r="AS203" s="452"/>
    </row>
    <row r="204" spans="1:45" s="299" customFormat="1">
      <c r="A204" s="353">
        <v>305</v>
      </c>
      <c r="B204" s="352">
        <v>100</v>
      </c>
      <c r="C204" s="352">
        <v>450</v>
      </c>
      <c r="D204" s="357">
        <v>500</v>
      </c>
      <c r="E204" s="357"/>
      <c r="F204" s="352"/>
      <c r="G204" s="342" t="s">
        <v>726</v>
      </c>
      <c r="H204" s="329"/>
      <c r="I204" s="326"/>
      <c r="J204" s="358"/>
      <c r="K204" s="358"/>
      <c r="L204" s="358"/>
      <c r="M204" s="358"/>
      <c r="N204" s="327"/>
      <c r="O204" s="328"/>
      <c r="P204" s="326">
        <v>0</v>
      </c>
      <c r="Q204" s="327"/>
      <c r="R204" s="329"/>
      <c r="S204" s="326"/>
      <c r="T204" s="326"/>
      <c r="U204" s="326"/>
      <c r="V204" s="326"/>
      <c r="W204" s="326"/>
      <c r="X204" s="326"/>
      <c r="Y204" s="1350">
        <f t="shared" si="21"/>
        <v>0</v>
      </c>
      <c r="Z204" s="1351">
        <f t="shared" si="22"/>
        <v>0</v>
      </c>
      <c r="AA204" s="326">
        <f t="shared" si="23"/>
        <v>0</v>
      </c>
      <c r="AB204" s="326">
        <f t="shared" si="24"/>
        <v>0</v>
      </c>
      <c r="AC204" s="326">
        <f t="shared" si="25"/>
        <v>0</v>
      </c>
      <c r="AD204" s="326">
        <f t="shared" si="26"/>
        <v>0</v>
      </c>
      <c r="AE204" s="326">
        <f t="shared" si="27"/>
        <v>0</v>
      </c>
      <c r="AF204" s="355" t="s">
        <v>784</v>
      </c>
      <c r="AG204" s="838"/>
      <c r="AH204" s="744"/>
      <c r="AI204" s="292"/>
      <c r="AK204" s="300"/>
      <c r="AS204" s="452"/>
    </row>
    <row r="205" spans="1:45" s="299" customFormat="1" ht="41.4">
      <c r="A205" s="353">
        <v>305</v>
      </c>
      <c r="B205" s="352">
        <v>100</v>
      </c>
      <c r="C205" s="352">
        <v>450</v>
      </c>
      <c r="D205" s="357">
        <v>600</v>
      </c>
      <c r="E205" s="357"/>
      <c r="F205" s="352"/>
      <c r="G205" s="342" t="s">
        <v>712</v>
      </c>
      <c r="H205" s="329"/>
      <c r="I205" s="326"/>
      <c r="J205" s="358"/>
      <c r="K205" s="358"/>
      <c r="L205" s="358"/>
      <c r="M205" s="358"/>
      <c r="N205" s="327"/>
      <c r="O205" s="328"/>
      <c r="P205" s="326">
        <v>0</v>
      </c>
      <c r="Q205" s="327"/>
      <c r="R205" s="329"/>
      <c r="S205" s="326"/>
      <c r="T205" s="326"/>
      <c r="U205" s="326"/>
      <c r="V205" s="326"/>
      <c r="W205" s="326"/>
      <c r="X205" s="326"/>
      <c r="Y205" s="1350">
        <f t="shared" si="21"/>
        <v>0</v>
      </c>
      <c r="Z205" s="1351">
        <f t="shared" si="22"/>
        <v>0</v>
      </c>
      <c r="AA205" s="326">
        <f t="shared" si="23"/>
        <v>0</v>
      </c>
      <c r="AB205" s="326">
        <f t="shared" si="24"/>
        <v>0</v>
      </c>
      <c r="AC205" s="326">
        <f t="shared" si="25"/>
        <v>0</v>
      </c>
      <c r="AD205" s="326">
        <f t="shared" si="26"/>
        <v>0</v>
      </c>
      <c r="AE205" s="326">
        <f t="shared" si="27"/>
        <v>0</v>
      </c>
      <c r="AF205" s="355" t="s">
        <v>785</v>
      </c>
      <c r="AG205" s="838"/>
      <c r="AH205" s="744"/>
      <c r="AI205" s="292"/>
      <c r="AK205" s="300"/>
      <c r="AS205" s="452"/>
    </row>
    <row r="206" spans="1:45" s="299" customFormat="1" ht="27.6">
      <c r="A206" s="353">
        <v>305</v>
      </c>
      <c r="B206" s="352">
        <v>100</v>
      </c>
      <c r="C206" s="352">
        <v>500</v>
      </c>
      <c r="D206" s="352"/>
      <c r="E206" s="352"/>
      <c r="F206" s="352"/>
      <c r="G206" s="323" t="s">
        <v>786</v>
      </c>
      <c r="H206" s="334"/>
      <c r="I206" s="331"/>
      <c r="J206" s="359"/>
      <c r="K206" s="359"/>
      <c r="L206" s="359"/>
      <c r="M206" s="359"/>
      <c r="N206" s="332"/>
      <c r="O206" s="333"/>
      <c r="P206" s="331">
        <v>0</v>
      </c>
      <c r="Q206" s="332"/>
      <c r="R206" s="334"/>
      <c r="S206" s="331"/>
      <c r="T206" s="331"/>
      <c r="U206" s="331"/>
      <c r="V206" s="331"/>
      <c r="W206" s="331"/>
      <c r="X206" s="331"/>
      <c r="Y206" s="1352">
        <f t="shared" si="21"/>
        <v>0</v>
      </c>
      <c r="Z206" s="1353">
        <f t="shared" si="22"/>
        <v>0</v>
      </c>
      <c r="AA206" s="331">
        <f t="shared" si="23"/>
        <v>0</v>
      </c>
      <c r="AB206" s="331">
        <f t="shared" si="24"/>
        <v>0</v>
      </c>
      <c r="AC206" s="331">
        <f t="shared" si="25"/>
        <v>0</v>
      </c>
      <c r="AD206" s="331">
        <f t="shared" si="26"/>
        <v>0</v>
      </c>
      <c r="AE206" s="331">
        <f t="shared" si="27"/>
        <v>0</v>
      </c>
      <c r="AF206" s="355" t="s">
        <v>787</v>
      </c>
      <c r="AG206" s="838"/>
      <c r="AH206" s="744"/>
      <c r="AI206" s="292"/>
      <c r="AK206" s="300"/>
      <c r="AS206" s="452"/>
    </row>
    <row r="207" spans="1:45" s="299" customFormat="1" ht="41.4">
      <c r="A207" s="353">
        <v>305</v>
      </c>
      <c r="B207" s="352">
        <v>100</v>
      </c>
      <c r="C207" s="352">
        <v>500</v>
      </c>
      <c r="D207" s="352">
        <v>100</v>
      </c>
      <c r="E207" s="357"/>
      <c r="F207" s="357"/>
      <c r="G207" s="342" t="s">
        <v>660</v>
      </c>
      <c r="H207" s="329"/>
      <c r="I207" s="326"/>
      <c r="J207" s="358"/>
      <c r="K207" s="358"/>
      <c r="L207" s="358"/>
      <c r="M207" s="358"/>
      <c r="N207" s="327"/>
      <c r="O207" s="328"/>
      <c r="P207" s="326">
        <v>0</v>
      </c>
      <c r="Q207" s="327"/>
      <c r="R207" s="329"/>
      <c r="S207" s="326"/>
      <c r="T207" s="326"/>
      <c r="U207" s="326"/>
      <c r="V207" s="326"/>
      <c r="W207" s="326"/>
      <c r="X207" s="326"/>
      <c r="Y207" s="1350">
        <f t="shared" si="21"/>
        <v>0</v>
      </c>
      <c r="Z207" s="1351">
        <f t="shared" si="22"/>
        <v>0</v>
      </c>
      <c r="AA207" s="326">
        <f t="shared" si="23"/>
        <v>0</v>
      </c>
      <c r="AB207" s="326">
        <f t="shared" si="24"/>
        <v>0</v>
      </c>
      <c r="AC207" s="326">
        <f t="shared" si="25"/>
        <v>0</v>
      </c>
      <c r="AD207" s="326">
        <f t="shared" si="26"/>
        <v>0</v>
      </c>
      <c r="AE207" s="326">
        <f t="shared" si="27"/>
        <v>0</v>
      </c>
      <c r="AF207" s="424" t="s">
        <v>788</v>
      </c>
      <c r="AG207" s="838"/>
      <c r="AH207" s="744"/>
      <c r="AI207" s="292"/>
      <c r="AK207" s="300"/>
      <c r="AS207" s="452"/>
    </row>
    <row r="208" spans="1:45" s="299" customFormat="1" ht="27.6">
      <c r="A208" s="353">
        <v>305</v>
      </c>
      <c r="B208" s="352">
        <v>100</v>
      </c>
      <c r="C208" s="352">
        <v>500</v>
      </c>
      <c r="D208" s="357">
        <v>200</v>
      </c>
      <c r="E208" s="357"/>
      <c r="F208" s="352"/>
      <c r="G208" s="342" t="s">
        <v>681</v>
      </c>
      <c r="H208" s="329"/>
      <c r="I208" s="326"/>
      <c r="J208" s="358"/>
      <c r="K208" s="358"/>
      <c r="L208" s="358"/>
      <c r="M208" s="358"/>
      <c r="N208" s="327"/>
      <c r="O208" s="328"/>
      <c r="P208" s="326">
        <v>0</v>
      </c>
      <c r="Q208" s="327"/>
      <c r="R208" s="329"/>
      <c r="S208" s="326"/>
      <c r="T208" s="326"/>
      <c r="U208" s="326"/>
      <c r="V208" s="326"/>
      <c r="W208" s="326"/>
      <c r="X208" s="326"/>
      <c r="Y208" s="1350">
        <f t="shared" si="21"/>
        <v>0</v>
      </c>
      <c r="Z208" s="1351">
        <f t="shared" si="22"/>
        <v>0</v>
      </c>
      <c r="AA208" s="326">
        <f t="shared" si="23"/>
        <v>0</v>
      </c>
      <c r="AB208" s="326">
        <f t="shared" si="24"/>
        <v>0</v>
      </c>
      <c r="AC208" s="326">
        <f t="shared" si="25"/>
        <v>0</v>
      </c>
      <c r="AD208" s="326">
        <f t="shared" si="26"/>
        <v>0</v>
      </c>
      <c r="AE208" s="326">
        <f t="shared" si="27"/>
        <v>0</v>
      </c>
      <c r="AF208" s="355" t="s">
        <v>789</v>
      </c>
      <c r="AG208" s="838"/>
      <c r="AH208" s="744"/>
      <c r="AI208" s="292"/>
      <c r="AK208" s="300"/>
      <c r="AS208" s="452"/>
    </row>
    <row r="209" spans="1:45" s="299" customFormat="1">
      <c r="A209" s="353">
        <v>305</v>
      </c>
      <c r="B209" s="352">
        <v>100</v>
      </c>
      <c r="C209" s="352">
        <v>500</v>
      </c>
      <c r="D209" s="357">
        <v>300</v>
      </c>
      <c r="E209" s="357"/>
      <c r="F209" s="352"/>
      <c r="G209" s="342" t="s">
        <v>671</v>
      </c>
      <c r="H209" s="329"/>
      <c r="I209" s="326"/>
      <c r="J209" s="358"/>
      <c r="K209" s="358"/>
      <c r="L209" s="358"/>
      <c r="M209" s="358"/>
      <c r="N209" s="327"/>
      <c r="O209" s="328"/>
      <c r="P209" s="326">
        <v>0</v>
      </c>
      <c r="Q209" s="327"/>
      <c r="R209" s="329"/>
      <c r="S209" s="326"/>
      <c r="T209" s="326"/>
      <c r="U209" s="326"/>
      <c r="V209" s="326"/>
      <c r="W209" s="326"/>
      <c r="X209" s="326"/>
      <c r="Y209" s="1350">
        <f t="shared" si="21"/>
        <v>0</v>
      </c>
      <c r="Z209" s="1351">
        <f t="shared" si="22"/>
        <v>0</v>
      </c>
      <c r="AA209" s="326">
        <f t="shared" si="23"/>
        <v>0</v>
      </c>
      <c r="AB209" s="326">
        <f t="shared" si="24"/>
        <v>0</v>
      </c>
      <c r="AC209" s="326">
        <f t="shared" si="25"/>
        <v>0</v>
      </c>
      <c r="AD209" s="326">
        <f t="shared" si="26"/>
        <v>0</v>
      </c>
      <c r="AE209" s="326">
        <f t="shared" si="27"/>
        <v>0</v>
      </c>
      <c r="AF209" s="355" t="s">
        <v>790</v>
      </c>
      <c r="AG209" s="838"/>
      <c r="AH209" s="744"/>
      <c r="AI209" s="292"/>
      <c r="AK209" s="300"/>
      <c r="AS209" s="452"/>
    </row>
    <row r="210" spans="1:45" s="299" customFormat="1">
      <c r="A210" s="353">
        <v>305</v>
      </c>
      <c r="B210" s="352">
        <v>100</v>
      </c>
      <c r="C210" s="352">
        <v>500</v>
      </c>
      <c r="D210" s="357">
        <v>400</v>
      </c>
      <c r="E210" s="357"/>
      <c r="F210" s="352"/>
      <c r="G210" s="342" t="s">
        <v>694</v>
      </c>
      <c r="H210" s="329"/>
      <c r="I210" s="326"/>
      <c r="J210" s="358"/>
      <c r="K210" s="358"/>
      <c r="L210" s="358"/>
      <c r="M210" s="358"/>
      <c r="N210" s="327"/>
      <c r="O210" s="328"/>
      <c r="P210" s="326">
        <v>0</v>
      </c>
      <c r="Q210" s="327"/>
      <c r="R210" s="329"/>
      <c r="S210" s="326"/>
      <c r="T210" s="326"/>
      <c r="U210" s="326"/>
      <c r="V210" s="326"/>
      <c r="W210" s="326"/>
      <c r="X210" s="326"/>
      <c r="Y210" s="1350">
        <f t="shared" si="21"/>
        <v>0</v>
      </c>
      <c r="Z210" s="1351">
        <f t="shared" si="22"/>
        <v>0</v>
      </c>
      <c r="AA210" s="326">
        <f t="shared" si="23"/>
        <v>0</v>
      </c>
      <c r="AB210" s="326">
        <f t="shared" si="24"/>
        <v>0</v>
      </c>
      <c r="AC210" s="326">
        <f t="shared" si="25"/>
        <v>0</v>
      </c>
      <c r="AD210" s="326">
        <f t="shared" si="26"/>
        <v>0</v>
      </c>
      <c r="AE210" s="326">
        <f t="shared" si="27"/>
        <v>0</v>
      </c>
      <c r="AF210" s="355" t="s">
        <v>791</v>
      </c>
      <c r="AG210" s="838"/>
      <c r="AH210" s="744"/>
      <c r="AI210" s="292"/>
      <c r="AK210" s="300"/>
      <c r="AS210" s="452"/>
    </row>
    <row r="211" spans="1:45" s="299" customFormat="1" ht="41.4">
      <c r="A211" s="353">
        <v>305</v>
      </c>
      <c r="B211" s="352">
        <v>100</v>
      </c>
      <c r="C211" s="352">
        <v>500</v>
      </c>
      <c r="D211" s="357">
        <v>500</v>
      </c>
      <c r="E211" s="357"/>
      <c r="F211" s="352"/>
      <c r="G211" s="342" t="s">
        <v>712</v>
      </c>
      <c r="H211" s="329"/>
      <c r="I211" s="326"/>
      <c r="J211" s="358"/>
      <c r="K211" s="358"/>
      <c r="L211" s="358"/>
      <c r="M211" s="358"/>
      <c r="N211" s="327"/>
      <c r="O211" s="328"/>
      <c r="P211" s="326">
        <v>0</v>
      </c>
      <c r="Q211" s="327"/>
      <c r="R211" s="329"/>
      <c r="S211" s="326"/>
      <c r="T211" s="326"/>
      <c r="U211" s="326"/>
      <c r="V211" s="326"/>
      <c r="W211" s="326"/>
      <c r="X211" s="326"/>
      <c r="Y211" s="1350">
        <f t="shared" si="21"/>
        <v>0</v>
      </c>
      <c r="Z211" s="1351">
        <f t="shared" si="22"/>
        <v>0</v>
      </c>
      <c r="AA211" s="326">
        <f t="shared" si="23"/>
        <v>0</v>
      </c>
      <c r="AB211" s="326">
        <f t="shared" si="24"/>
        <v>0</v>
      </c>
      <c r="AC211" s="326">
        <f t="shared" si="25"/>
        <v>0</v>
      </c>
      <c r="AD211" s="326">
        <f t="shared" si="26"/>
        <v>0</v>
      </c>
      <c r="AE211" s="326">
        <f t="shared" si="27"/>
        <v>0</v>
      </c>
      <c r="AF211" s="355" t="s">
        <v>792</v>
      </c>
      <c r="AG211" s="838"/>
      <c r="AH211" s="744"/>
      <c r="AI211" s="292"/>
      <c r="AK211" s="300"/>
      <c r="AS211" s="452"/>
    </row>
    <row r="212" spans="1:45" s="299" customFormat="1" ht="27.6">
      <c r="A212" s="353">
        <v>305</v>
      </c>
      <c r="B212" s="352">
        <v>100</v>
      </c>
      <c r="C212" s="352">
        <v>550</v>
      </c>
      <c r="D212" s="352"/>
      <c r="E212" s="352"/>
      <c r="F212" s="352"/>
      <c r="G212" s="323" t="s">
        <v>793</v>
      </c>
      <c r="H212" s="334"/>
      <c r="I212" s="331"/>
      <c r="J212" s="359"/>
      <c r="K212" s="359"/>
      <c r="L212" s="359"/>
      <c r="M212" s="359"/>
      <c r="N212" s="332"/>
      <c r="O212" s="333"/>
      <c r="P212" s="331">
        <v>0</v>
      </c>
      <c r="Q212" s="332"/>
      <c r="R212" s="334"/>
      <c r="S212" s="331"/>
      <c r="T212" s="331"/>
      <c r="U212" s="331"/>
      <c r="V212" s="331"/>
      <c r="W212" s="331"/>
      <c r="X212" s="331"/>
      <c r="Y212" s="1352">
        <f t="shared" si="21"/>
        <v>0</v>
      </c>
      <c r="Z212" s="1353">
        <f t="shared" si="22"/>
        <v>0</v>
      </c>
      <c r="AA212" s="331">
        <f t="shared" si="23"/>
        <v>0</v>
      </c>
      <c r="AB212" s="331">
        <f t="shared" si="24"/>
        <v>0</v>
      </c>
      <c r="AC212" s="331">
        <f t="shared" si="25"/>
        <v>0</v>
      </c>
      <c r="AD212" s="331">
        <f t="shared" si="26"/>
        <v>0</v>
      </c>
      <c r="AE212" s="331">
        <f t="shared" si="27"/>
        <v>0</v>
      </c>
      <c r="AF212" s="355" t="s">
        <v>794</v>
      </c>
      <c r="AG212" s="838"/>
      <c r="AH212" s="744"/>
      <c r="AI212" s="292"/>
      <c r="AK212" s="300"/>
      <c r="AS212" s="452"/>
    </row>
    <row r="213" spans="1:45" s="299" customFormat="1" ht="41.4">
      <c r="A213" s="353">
        <v>305</v>
      </c>
      <c r="B213" s="352">
        <v>100</v>
      </c>
      <c r="C213" s="352">
        <v>550</v>
      </c>
      <c r="D213" s="352">
        <v>100</v>
      </c>
      <c r="E213" s="357"/>
      <c r="F213" s="357"/>
      <c r="G213" s="342" t="s">
        <v>660</v>
      </c>
      <c r="H213" s="329"/>
      <c r="I213" s="326"/>
      <c r="J213" s="358"/>
      <c r="K213" s="358"/>
      <c r="L213" s="358"/>
      <c r="M213" s="358"/>
      <c r="N213" s="327"/>
      <c r="O213" s="328"/>
      <c r="P213" s="326">
        <v>0</v>
      </c>
      <c r="Q213" s="327"/>
      <c r="R213" s="329"/>
      <c r="S213" s="326"/>
      <c r="T213" s="326"/>
      <c r="U213" s="326"/>
      <c r="V213" s="326"/>
      <c r="W213" s="326"/>
      <c r="X213" s="326"/>
      <c r="Y213" s="1350">
        <f t="shared" si="21"/>
        <v>0</v>
      </c>
      <c r="Z213" s="1351">
        <f t="shared" si="22"/>
        <v>0</v>
      </c>
      <c r="AA213" s="326">
        <f t="shared" si="23"/>
        <v>0</v>
      </c>
      <c r="AB213" s="326">
        <f t="shared" si="24"/>
        <v>0</v>
      </c>
      <c r="AC213" s="326">
        <f t="shared" si="25"/>
        <v>0</v>
      </c>
      <c r="AD213" s="326">
        <f t="shared" si="26"/>
        <v>0</v>
      </c>
      <c r="AE213" s="326">
        <f t="shared" si="27"/>
        <v>0</v>
      </c>
      <c r="AF213" s="424" t="s">
        <v>795</v>
      </c>
      <c r="AG213" s="838"/>
      <c r="AH213" s="744"/>
      <c r="AI213" s="292"/>
      <c r="AK213" s="300"/>
      <c r="AS213" s="452"/>
    </row>
    <row r="214" spans="1:45" s="299" customFormat="1" ht="27.6">
      <c r="A214" s="353">
        <v>305</v>
      </c>
      <c r="B214" s="352">
        <v>100</v>
      </c>
      <c r="C214" s="352">
        <v>550</v>
      </c>
      <c r="D214" s="357">
        <v>200</v>
      </c>
      <c r="E214" s="357"/>
      <c r="F214" s="352"/>
      <c r="G214" s="342" t="s">
        <v>681</v>
      </c>
      <c r="H214" s="329"/>
      <c r="I214" s="326"/>
      <c r="J214" s="358"/>
      <c r="K214" s="358"/>
      <c r="L214" s="358"/>
      <c r="M214" s="358"/>
      <c r="N214" s="327"/>
      <c r="O214" s="328"/>
      <c r="P214" s="326">
        <v>0</v>
      </c>
      <c r="Q214" s="327"/>
      <c r="R214" s="329"/>
      <c r="S214" s="326"/>
      <c r="T214" s="326"/>
      <c r="U214" s="326"/>
      <c r="V214" s="326"/>
      <c r="W214" s="326"/>
      <c r="X214" s="326"/>
      <c r="Y214" s="1350">
        <f t="shared" si="21"/>
        <v>0</v>
      </c>
      <c r="Z214" s="1351">
        <f t="shared" si="22"/>
        <v>0</v>
      </c>
      <c r="AA214" s="326">
        <f t="shared" si="23"/>
        <v>0</v>
      </c>
      <c r="AB214" s="326">
        <f t="shared" si="24"/>
        <v>0</v>
      </c>
      <c r="AC214" s="326">
        <f t="shared" si="25"/>
        <v>0</v>
      </c>
      <c r="AD214" s="326">
        <f t="shared" si="26"/>
        <v>0</v>
      </c>
      <c r="AE214" s="326">
        <f t="shared" si="27"/>
        <v>0</v>
      </c>
      <c r="AF214" s="355" t="s">
        <v>796</v>
      </c>
      <c r="AG214" s="838"/>
      <c r="AH214" s="744"/>
      <c r="AI214" s="292"/>
      <c r="AK214" s="300"/>
      <c r="AS214" s="452"/>
    </row>
    <row r="215" spans="1:45" s="299" customFormat="1">
      <c r="A215" s="353">
        <v>305</v>
      </c>
      <c r="B215" s="352">
        <v>100</v>
      </c>
      <c r="C215" s="352">
        <v>550</v>
      </c>
      <c r="D215" s="357">
        <v>300</v>
      </c>
      <c r="E215" s="357"/>
      <c r="F215" s="352"/>
      <c r="G215" s="342" t="s">
        <v>671</v>
      </c>
      <c r="H215" s="329"/>
      <c r="I215" s="326"/>
      <c r="J215" s="358"/>
      <c r="K215" s="358"/>
      <c r="L215" s="358"/>
      <c r="M215" s="358"/>
      <c r="N215" s="327"/>
      <c r="O215" s="328"/>
      <c r="P215" s="326">
        <v>0</v>
      </c>
      <c r="Q215" s="327"/>
      <c r="R215" s="329"/>
      <c r="S215" s="326"/>
      <c r="T215" s="326"/>
      <c r="U215" s="326"/>
      <c r="V215" s="326"/>
      <c r="W215" s="326"/>
      <c r="X215" s="326"/>
      <c r="Y215" s="1350">
        <f t="shared" si="21"/>
        <v>0</v>
      </c>
      <c r="Z215" s="1351">
        <f t="shared" si="22"/>
        <v>0</v>
      </c>
      <c r="AA215" s="326">
        <f t="shared" si="23"/>
        <v>0</v>
      </c>
      <c r="AB215" s="326">
        <f t="shared" si="24"/>
        <v>0</v>
      </c>
      <c r="AC215" s="326">
        <f t="shared" si="25"/>
        <v>0</v>
      </c>
      <c r="AD215" s="326">
        <f t="shared" si="26"/>
        <v>0</v>
      </c>
      <c r="AE215" s="326">
        <f t="shared" si="27"/>
        <v>0</v>
      </c>
      <c r="AF215" s="355" t="s">
        <v>797</v>
      </c>
      <c r="AG215" s="838"/>
      <c r="AH215" s="744"/>
      <c r="AI215" s="292"/>
      <c r="AK215" s="300"/>
      <c r="AS215" s="452"/>
    </row>
    <row r="216" spans="1:45" s="299" customFormat="1">
      <c r="A216" s="353">
        <v>305</v>
      </c>
      <c r="B216" s="352">
        <v>100</v>
      </c>
      <c r="C216" s="352">
        <v>550</v>
      </c>
      <c r="D216" s="352">
        <v>400</v>
      </c>
      <c r="E216" s="352"/>
      <c r="F216" s="352"/>
      <c r="G216" s="323" t="s">
        <v>694</v>
      </c>
      <c r="H216" s="334"/>
      <c r="I216" s="331"/>
      <c r="J216" s="359"/>
      <c r="K216" s="359"/>
      <c r="L216" s="359"/>
      <c r="M216" s="359"/>
      <c r="N216" s="332"/>
      <c r="O216" s="333"/>
      <c r="P216" s="331">
        <v>0</v>
      </c>
      <c r="Q216" s="332"/>
      <c r="R216" s="334"/>
      <c r="S216" s="331"/>
      <c r="T216" s="331"/>
      <c r="U216" s="331"/>
      <c r="V216" s="331"/>
      <c r="W216" s="331"/>
      <c r="X216" s="331"/>
      <c r="Y216" s="1352">
        <f t="shared" si="21"/>
        <v>0</v>
      </c>
      <c r="Z216" s="1353">
        <f t="shared" si="22"/>
        <v>0</v>
      </c>
      <c r="AA216" s="331">
        <f t="shared" si="23"/>
        <v>0</v>
      </c>
      <c r="AB216" s="331">
        <f t="shared" si="24"/>
        <v>0</v>
      </c>
      <c r="AC216" s="331">
        <f t="shared" si="25"/>
        <v>0</v>
      </c>
      <c r="AD216" s="331">
        <f t="shared" si="26"/>
        <v>0</v>
      </c>
      <c r="AE216" s="331">
        <f t="shared" si="27"/>
        <v>0</v>
      </c>
      <c r="AF216" s="355" t="s">
        <v>798</v>
      </c>
      <c r="AG216" s="838"/>
      <c r="AH216" s="744"/>
      <c r="AI216" s="292"/>
      <c r="AK216" s="300"/>
      <c r="AS216" s="452"/>
    </row>
    <row r="217" spans="1:45" s="299" customFormat="1">
      <c r="A217" s="353">
        <v>305</v>
      </c>
      <c r="B217" s="352">
        <v>100</v>
      </c>
      <c r="C217" s="352">
        <v>550</v>
      </c>
      <c r="D217" s="352">
        <v>400</v>
      </c>
      <c r="E217" s="357">
        <v>10</v>
      </c>
      <c r="F217" s="317"/>
      <c r="G217" s="342" t="s">
        <v>799</v>
      </c>
      <c r="H217" s="329"/>
      <c r="I217" s="326"/>
      <c r="J217" s="358"/>
      <c r="K217" s="358"/>
      <c r="L217" s="358"/>
      <c r="M217" s="358"/>
      <c r="N217" s="327"/>
      <c r="O217" s="328"/>
      <c r="P217" s="326">
        <v>0</v>
      </c>
      <c r="Q217" s="327"/>
      <c r="R217" s="329"/>
      <c r="S217" s="326"/>
      <c r="T217" s="326"/>
      <c r="U217" s="326"/>
      <c r="V217" s="326"/>
      <c r="W217" s="326"/>
      <c r="X217" s="326"/>
      <c r="Y217" s="1350">
        <f t="shared" si="21"/>
        <v>0</v>
      </c>
      <c r="Z217" s="1351">
        <f t="shared" si="22"/>
        <v>0</v>
      </c>
      <c r="AA217" s="326">
        <f t="shared" si="23"/>
        <v>0</v>
      </c>
      <c r="AB217" s="326">
        <f t="shared" si="24"/>
        <v>0</v>
      </c>
      <c r="AC217" s="326">
        <f t="shared" si="25"/>
        <v>0</v>
      </c>
      <c r="AD217" s="326">
        <f t="shared" si="26"/>
        <v>0</v>
      </c>
      <c r="AE217" s="326">
        <f t="shared" si="27"/>
        <v>0</v>
      </c>
      <c r="AF217" s="355"/>
      <c r="AG217" s="838"/>
      <c r="AH217" s="744"/>
      <c r="AI217" s="292"/>
      <c r="AK217" s="300"/>
      <c r="AS217" s="452"/>
    </row>
    <row r="218" spans="1:45" s="299" customFormat="1">
      <c r="A218" s="353">
        <v>305</v>
      </c>
      <c r="B218" s="352">
        <v>100</v>
      </c>
      <c r="C218" s="352">
        <v>550</v>
      </c>
      <c r="D218" s="352">
        <v>400</v>
      </c>
      <c r="E218" s="357">
        <v>20</v>
      </c>
      <c r="F218" s="317"/>
      <c r="G218" s="342" t="s">
        <v>800</v>
      </c>
      <c r="H218" s="329">
        <v>12020.44</v>
      </c>
      <c r="I218" s="326"/>
      <c r="J218" s="358"/>
      <c r="K218" s="358">
        <v>14213.31</v>
      </c>
      <c r="L218" s="358"/>
      <c r="M218" s="358"/>
      <c r="N218" s="327">
        <v>15000</v>
      </c>
      <c r="O218" s="328"/>
      <c r="P218" s="326">
        <v>0</v>
      </c>
      <c r="Q218" s="327"/>
      <c r="R218" s="329"/>
      <c r="S218" s="326"/>
      <c r="T218" s="326"/>
      <c r="U218" s="326"/>
      <c r="V218" s="326"/>
      <c r="W218" s="326"/>
      <c r="X218" s="326"/>
      <c r="Y218" s="1350">
        <f t="shared" si="21"/>
        <v>12020.44</v>
      </c>
      <c r="Z218" s="1351">
        <f t="shared" si="22"/>
        <v>0</v>
      </c>
      <c r="AA218" s="326">
        <f t="shared" si="23"/>
        <v>0</v>
      </c>
      <c r="AB218" s="326">
        <f t="shared" si="24"/>
        <v>14213.31</v>
      </c>
      <c r="AC218" s="326">
        <f t="shared" si="25"/>
        <v>0</v>
      </c>
      <c r="AD218" s="326">
        <f t="shared" si="26"/>
        <v>0</v>
      </c>
      <c r="AE218" s="326">
        <f t="shared" si="27"/>
        <v>15000</v>
      </c>
      <c r="AF218" s="355"/>
      <c r="AG218" s="838"/>
      <c r="AH218" s="744"/>
      <c r="AI218" s="292"/>
      <c r="AK218" s="300"/>
      <c r="AS218" s="452"/>
    </row>
    <row r="219" spans="1:45" s="299" customFormat="1">
      <c r="A219" s="353">
        <v>305</v>
      </c>
      <c r="B219" s="352">
        <v>100</v>
      </c>
      <c r="C219" s="352">
        <v>550</v>
      </c>
      <c r="D219" s="352">
        <v>400</v>
      </c>
      <c r="E219" s="357">
        <v>30</v>
      </c>
      <c r="F219" s="317"/>
      <c r="G219" s="342" t="s">
        <v>801</v>
      </c>
      <c r="H219" s="329"/>
      <c r="I219" s="326"/>
      <c r="J219" s="358"/>
      <c r="K219" s="358"/>
      <c r="L219" s="358"/>
      <c r="M219" s="358"/>
      <c r="N219" s="327"/>
      <c r="O219" s="328"/>
      <c r="P219" s="326">
        <v>0</v>
      </c>
      <c r="Q219" s="327"/>
      <c r="R219" s="329"/>
      <c r="S219" s="326"/>
      <c r="T219" s="326"/>
      <c r="U219" s="326"/>
      <c r="V219" s="326"/>
      <c r="W219" s="326"/>
      <c r="X219" s="326"/>
      <c r="Y219" s="1350">
        <f t="shared" si="21"/>
        <v>0</v>
      </c>
      <c r="Z219" s="1351">
        <f t="shared" si="22"/>
        <v>0</v>
      </c>
      <c r="AA219" s="326">
        <f t="shared" si="23"/>
        <v>0</v>
      </c>
      <c r="AB219" s="326">
        <f t="shared" si="24"/>
        <v>0</v>
      </c>
      <c r="AC219" s="326">
        <f t="shared" si="25"/>
        <v>0</v>
      </c>
      <c r="AD219" s="326">
        <f t="shared" si="26"/>
        <v>0</v>
      </c>
      <c r="AE219" s="326">
        <f t="shared" si="27"/>
        <v>0</v>
      </c>
      <c r="AF219" s="355"/>
      <c r="AG219" s="838"/>
      <c r="AH219" s="744"/>
      <c r="AI219" s="292"/>
      <c r="AK219" s="300"/>
      <c r="AS219" s="452"/>
    </row>
    <row r="220" spans="1:45" s="299" customFormat="1">
      <c r="A220" s="353">
        <v>305</v>
      </c>
      <c r="B220" s="352">
        <v>100</v>
      </c>
      <c r="C220" s="352">
        <v>550</v>
      </c>
      <c r="D220" s="352">
        <v>400</v>
      </c>
      <c r="E220" s="357">
        <v>40</v>
      </c>
      <c r="F220" s="317"/>
      <c r="G220" s="342" t="s">
        <v>802</v>
      </c>
      <c r="H220" s="329"/>
      <c r="I220" s="326"/>
      <c r="J220" s="358"/>
      <c r="K220" s="358"/>
      <c r="L220" s="358"/>
      <c r="M220" s="358"/>
      <c r="N220" s="327"/>
      <c r="O220" s="328"/>
      <c r="P220" s="326">
        <v>0</v>
      </c>
      <c r="Q220" s="327"/>
      <c r="R220" s="329"/>
      <c r="S220" s="326"/>
      <c r="T220" s="326"/>
      <c r="U220" s="326"/>
      <c r="V220" s="326"/>
      <c r="W220" s="326"/>
      <c r="X220" s="326"/>
      <c r="Y220" s="1350">
        <f t="shared" si="21"/>
        <v>0</v>
      </c>
      <c r="Z220" s="1351">
        <f t="shared" si="22"/>
        <v>0</v>
      </c>
      <c r="AA220" s="326">
        <f t="shared" si="23"/>
        <v>0</v>
      </c>
      <c r="AB220" s="326">
        <f t="shared" si="24"/>
        <v>0</v>
      </c>
      <c r="AC220" s="326">
        <f t="shared" si="25"/>
        <v>0</v>
      </c>
      <c r="AD220" s="326">
        <f t="shared" si="26"/>
        <v>0</v>
      </c>
      <c r="AE220" s="326">
        <f t="shared" si="27"/>
        <v>0</v>
      </c>
      <c r="AF220" s="355"/>
      <c r="AG220" s="838"/>
      <c r="AH220" s="744"/>
      <c r="AI220" s="292"/>
      <c r="AK220" s="300"/>
      <c r="AS220" s="452"/>
    </row>
    <row r="221" spans="1:45" s="299" customFormat="1" ht="27.6">
      <c r="A221" s="353">
        <v>305</v>
      </c>
      <c r="B221" s="352">
        <v>100</v>
      </c>
      <c r="C221" s="352">
        <v>600</v>
      </c>
      <c r="D221" s="352"/>
      <c r="E221" s="352"/>
      <c r="F221" s="352"/>
      <c r="G221" s="323" t="s">
        <v>803</v>
      </c>
      <c r="H221" s="334"/>
      <c r="I221" s="331"/>
      <c r="J221" s="359"/>
      <c r="K221" s="359"/>
      <c r="L221" s="359"/>
      <c r="M221" s="359"/>
      <c r="N221" s="332"/>
      <c r="O221" s="333"/>
      <c r="P221" s="331">
        <v>0</v>
      </c>
      <c r="Q221" s="332"/>
      <c r="R221" s="334"/>
      <c r="S221" s="331"/>
      <c r="T221" s="331"/>
      <c r="U221" s="331"/>
      <c r="V221" s="331"/>
      <c r="W221" s="331"/>
      <c r="X221" s="331"/>
      <c r="Y221" s="1352">
        <f t="shared" si="21"/>
        <v>0</v>
      </c>
      <c r="Z221" s="1353">
        <f t="shared" si="22"/>
        <v>0</v>
      </c>
      <c r="AA221" s="331">
        <f t="shared" si="23"/>
        <v>0</v>
      </c>
      <c r="AB221" s="331">
        <f t="shared" si="24"/>
        <v>0</v>
      </c>
      <c r="AC221" s="331">
        <f t="shared" si="25"/>
        <v>0</v>
      </c>
      <c r="AD221" s="331">
        <f t="shared" si="26"/>
        <v>0</v>
      </c>
      <c r="AE221" s="331">
        <f t="shared" si="27"/>
        <v>0</v>
      </c>
      <c r="AF221" s="424" t="s">
        <v>804</v>
      </c>
      <c r="AG221" s="838"/>
      <c r="AH221" s="744"/>
      <c r="AI221" s="292"/>
      <c r="AK221" s="300"/>
      <c r="AS221" s="452"/>
    </row>
    <row r="222" spans="1:45" s="299" customFormat="1" ht="41.4">
      <c r="A222" s="353">
        <v>305</v>
      </c>
      <c r="B222" s="352">
        <v>100</v>
      </c>
      <c r="C222" s="352">
        <v>600</v>
      </c>
      <c r="D222" s="352">
        <v>100</v>
      </c>
      <c r="E222" s="357"/>
      <c r="F222" s="357"/>
      <c r="G222" s="403" t="s">
        <v>660</v>
      </c>
      <c r="H222" s="334"/>
      <c r="I222" s="331"/>
      <c r="J222" s="359"/>
      <c r="K222" s="359"/>
      <c r="L222" s="359"/>
      <c r="M222" s="359"/>
      <c r="N222" s="332"/>
      <c r="O222" s="333"/>
      <c r="P222" s="331">
        <v>0</v>
      </c>
      <c r="Q222" s="332"/>
      <c r="R222" s="334"/>
      <c r="S222" s="331"/>
      <c r="T222" s="331"/>
      <c r="U222" s="331"/>
      <c r="V222" s="331"/>
      <c r="W222" s="331"/>
      <c r="X222" s="331"/>
      <c r="Y222" s="1352">
        <f t="shared" si="21"/>
        <v>0</v>
      </c>
      <c r="Z222" s="1353">
        <f t="shared" si="22"/>
        <v>0</v>
      </c>
      <c r="AA222" s="331">
        <f t="shared" si="23"/>
        <v>0</v>
      </c>
      <c r="AB222" s="331">
        <f t="shared" si="24"/>
        <v>0</v>
      </c>
      <c r="AC222" s="331">
        <f t="shared" si="25"/>
        <v>0</v>
      </c>
      <c r="AD222" s="331">
        <f t="shared" si="26"/>
        <v>0</v>
      </c>
      <c r="AE222" s="331">
        <f t="shared" si="27"/>
        <v>0</v>
      </c>
      <c r="AF222" s="424" t="s">
        <v>805</v>
      </c>
      <c r="AG222" s="838"/>
      <c r="AH222" s="744"/>
      <c r="AI222" s="292"/>
      <c r="AK222" s="300"/>
      <c r="AS222" s="452"/>
    </row>
    <row r="223" spans="1:45" s="299" customFormat="1" ht="27.6">
      <c r="A223" s="353">
        <v>305</v>
      </c>
      <c r="B223" s="352">
        <v>100</v>
      </c>
      <c r="C223" s="352">
        <v>600</v>
      </c>
      <c r="D223" s="352">
        <v>100</v>
      </c>
      <c r="E223" s="357">
        <v>10</v>
      </c>
      <c r="F223" s="357"/>
      <c r="G223" s="315" t="s">
        <v>806</v>
      </c>
      <c r="H223" s="401"/>
      <c r="I223" s="395"/>
      <c r="J223" s="402"/>
      <c r="K223" s="402"/>
      <c r="L223" s="402"/>
      <c r="M223" s="402"/>
      <c r="N223" s="396"/>
      <c r="O223" s="798"/>
      <c r="P223" s="395">
        <v>0</v>
      </c>
      <c r="Q223" s="396"/>
      <c r="R223" s="401"/>
      <c r="S223" s="395"/>
      <c r="T223" s="395"/>
      <c r="U223" s="395"/>
      <c r="V223" s="395"/>
      <c r="W223" s="395"/>
      <c r="X223" s="395"/>
      <c r="Y223" s="1354">
        <f t="shared" si="21"/>
        <v>0</v>
      </c>
      <c r="Z223" s="1355">
        <f t="shared" si="22"/>
        <v>0</v>
      </c>
      <c r="AA223" s="395">
        <f t="shared" si="23"/>
        <v>0</v>
      </c>
      <c r="AB223" s="395">
        <f t="shared" si="24"/>
        <v>0</v>
      </c>
      <c r="AC223" s="395">
        <f t="shared" si="25"/>
        <v>0</v>
      </c>
      <c r="AD223" s="395">
        <f t="shared" si="26"/>
        <v>0</v>
      </c>
      <c r="AE223" s="395">
        <f t="shared" si="27"/>
        <v>0</v>
      </c>
      <c r="AF223" s="424" t="s">
        <v>807</v>
      </c>
      <c r="AG223" s="838"/>
      <c r="AH223" s="744"/>
      <c r="AI223" s="292"/>
      <c r="AK223" s="300"/>
      <c r="AS223" s="452"/>
    </row>
    <row r="224" spans="1:45" s="299" customFormat="1" ht="27.6">
      <c r="A224" s="353">
        <v>305</v>
      </c>
      <c r="B224" s="352">
        <v>100</v>
      </c>
      <c r="C224" s="352">
        <v>600</v>
      </c>
      <c r="D224" s="352">
        <v>100</v>
      </c>
      <c r="E224" s="357">
        <v>20</v>
      </c>
      <c r="F224" s="357"/>
      <c r="G224" s="315" t="s">
        <v>808</v>
      </c>
      <c r="H224" s="401"/>
      <c r="I224" s="395"/>
      <c r="J224" s="402"/>
      <c r="K224" s="402"/>
      <c r="L224" s="402"/>
      <c r="M224" s="402"/>
      <c r="N224" s="396"/>
      <c r="O224" s="798"/>
      <c r="P224" s="395">
        <v>0</v>
      </c>
      <c r="Q224" s="396"/>
      <c r="R224" s="401"/>
      <c r="S224" s="395"/>
      <c r="T224" s="395"/>
      <c r="U224" s="395"/>
      <c r="V224" s="395"/>
      <c r="W224" s="395"/>
      <c r="X224" s="395"/>
      <c r="Y224" s="1354">
        <f t="shared" si="21"/>
        <v>0</v>
      </c>
      <c r="Z224" s="1355">
        <f t="shared" si="22"/>
        <v>0</v>
      </c>
      <c r="AA224" s="395">
        <f t="shared" si="23"/>
        <v>0</v>
      </c>
      <c r="AB224" s="395">
        <f t="shared" si="24"/>
        <v>0</v>
      </c>
      <c r="AC224" s="395">
        <f t="shared" si="25"/>
        <v>0</v>
      </c>
      <c r="AD224" s="395">
        <f t="shared" si="26"/>
        <v>0</v>
      </c>
      <c r="AE224" s="395">
        <f t="shared" si="27"/>
        <v>0</v>
      </c>
      <c r="AF224" s="424" t="s">
        <v>809</v>
      </c>
      <c r="AG224" s="838"/>
      <c r="AH224" s="744"/>
      <c r="AI224" s="292"/>
      <c r="AK224" s="300"/>
      <c r="AS224" s="452"/>
    </row>
    <row r="225" spans="1:45" s="299" customFormat="1" ht="27.6">
      <c r="A225" s="353">
        <v>305</v>
      </c>
      <c r="B225" s="352">
        <v>100</v>
      </c>
      <c r="C225" s="352">
        <v>600</v>
      </c>
      <c r="D225" s="352">
        <v>200</v>
      </c>
      <c r="E225" s="352"/>
      <c r="F225" s="352"/>
      <c r="G225" s="443" t="s">
        <v>810</v>
      </c>
      <c r="H225" s="334"/>
      <c r="I225" s="331"/>
      <c r="J225" s="359"/>
      <c r="K225" s="359"/>
      <c r="L225" s="359"/>
      <c r="M225" s="359"/>
      <c r="N225" s="332"/>
      <c r="O225" s="333"/>
      <c r="P225" s="331">
        <v>0</v>
      </c>
      <c r="Q225" s="332"/>
      <c r="R225" s="334"/>
      <c r="S225" s="331"/>
      <c r="T225" s="331"/>
      <c r="U225" s="331"/>
      <c r="V225" s="331"/>
      <c r="W225" s="331"/>
      <c r="X225" s="331"/>
      <c r="Y225" s="1352">
        <f t="shared" si="21"/>
        <v>0</v>
      </c>
      <c r="Z225" s="1353">
        <f t="shared" si="22"/>
        <v>0</v>
      </c>
      <c r="AA225" s="331">
        <f t="shared" si="23"/>
        <v>0</v>
      </c>
      <c r="AB225" s="331">
        <f t="shared" si="24"/>
        <v>0</v>
      </c>
      <c r="AC225" s="331">
        <f t="shared" si="25"/>
        <v>0</v>
      </c>
      <c r="AD225" s="331">
        <f t="shared" si="26"/>
        <v>0</v>
      </c>
      <c r="AE225" s="331">
        <f t="shared" si="27"/>
        <v>0</v>
      </c>
      <c r="AF225" s="355" t="s">
        <v>811</v>
      </c>
      <c r="AG225" s="838"/>
      <c r="AH225" s="744"/>
      <c r="AI225" s="292"/>
      <c r="AK225" s="300"/>
      <c r="AS225" s="452"/>
    </row>
    <row r="226" spans="1:45" s="299" customFormat="1">
      <c r="A226" s="353">
        <v>305</v>
      </c>
      <c r="B226" s="352">
        <v>100</v>
      </c>
      <c r="C226" s="352">
        <v>600</v>
      </c>
      <c r="D226" s="352">
        <v>200</v>
      </c>
      <c r="E226" s="357">
        <v>10</v>
      </c>
      <c r="F226" s="317"/>
      <c r="G226" s="342" t="s">
        <v>812</v>
      </c>
      <c r="H226" s="329"/>
      <c r="I226" s="326"/>
      <c r="J226" s="358"/>
      <c r="K226" s="358"/>
      <c r="L226" s="358"/>
      <c r="M226" s="358"/>
      <c r="N226" s="327"/>
      <c r="O226" s="328"/>
      <c r="P226" s="326">
        <v>0</v>
      </c>
      <c r="Q226" s="327"/>
      <c r="R226" s="329"/>
      <c r="S226" s="326"/>
      <c r="T226" s="326"/>
      <c r="U226" s="326"/>
      <c r="V226" s="326"/>
      <c r="W226" s="326"/>
      <c r="X226" s="326"/>
      <c r="Y226" s="1350">
        <f t="shared" si="21"/>
        <v>0</v>
      </c>
      <c r="Z226" s="1351">
        <f t="shared" si="22"/>
        <v>0</v>
      </c>
      <c r="AA226" s="326">
        <f t="shared" si="23"/>
        <v>0</v>
      </c>
      <c r="AB226" s="326">
        <f t="shared" si="24"/>
        <v>0</v>
      </c>
      <c r="AC226" s="326">
        <f t="shared" si="25"/>
        <v>0</v>
      </c>
      <c r="AD226" s="326">
        <f t="shared" si="26"/>
        <v>0</v>
      </c>
      <c r="AE226" s="326">
        <f t="shared" si="27"/>
        <v>0</v>
      </c>
      <c r="AF226" s="355"/>
      <c r="AG226" s="838"/>
      <c r="AH226" s="744"/>
      <c r="AI226" s="292"/>
      <c r="AK226" s="300"/>
      <c r="AS226" s="452"/>
    </row>
    <row r="227" spans="1:45" s="299" customFormat="1" ht="41.4">
      <c r="A227" s="353">
        <v>305</v>
      </c>
      <c r="B227" s="352">
        <v>100</v>
      </c>
      <c r="C227" s="352">
        <v>600</v>
      </c>
      <c r="D227" s="352">
        <v>200</v>
      </c>
      <c r="E227" s="357">
        <v>20</v>
      </c>
      <c r="F227" s="317"/>
      <c r="G227" s="342" t="s">
        <v>813</v>
      </c>
      <c r="H227" s="329"/>
      <c r="I227" s="326"/>
      <c r="J227" s="358"/>
      <c r="K227" s="358"/>
      <c r="L227" s="358"/>
      <c r="M227" s="358"/>
      <c r="N227" s="327"/>
      <c r="O227" s="328"/>
      <c r="P227" s="326">
        <v>0</v>
      </c>
      <c r="Q227" s="327"/>
      <c r="R227" s="329"/>
      <c r="S227" s="326"/>
      <c r="T227" s="326"/>
      <c r="U227" s="326"/>
      <c r="V227" s="326"/>
      <c r="W227" s="326"/>
      <c r="X227" s="326"/>
      <c r="Y227" s="1350">
        <f t="shared" si="21"/>
        <v>0</v>
      </c>
      <c r="Z227" s="1351">
        <f t="shared" si="22"/>
        <v>0</v>
      </c>
      <c r="AA227" s="326">
        <f t="shared" si="23"/>
        <v>0</v>
      </c>
      <c r="AB227" s="326">
        <f t="shared" si="24"/>
        <v>0</v>
      </c>
      <c r="AC227" s="326">
        <f t="shared" si="25"/>
        <v>0</v>
      </c>
      <c r="AD227" s="326">
        <f t="shared" si="26"/>
        <v>0</v>
      </c>
      <c r="AE227" s="326">
        <f t="shared" si="27"/>
        <v>0</v>
      </c>
      <c r="AF227" s="355"/>
      <c r="AG227" s="838"/>
      <c r="AH227" s="744"/>
      <c r="AI227" s="292"/>
      <c r="AK227" s="300"/>
      <c r="AS227" s="452"/>
    </row>
    <row r="228" spans="1:45" s="299" customFormat="1" ht="27.6">
      <c r="A228" s="353">
        <v>305</v>
      </c>
      <c r="B228" s="352">
        <v>100</v>
      </c>
      <c r="C228" s="352">
        <v>600</v>
      </c>
      <c r="D228" s="352">
        <v>200</v>
      </c>
      <c r="E228" s="357">
        <v>30</v>
      </c>
      <c r="F228" s="317"/>
      <c r="G228" s="342" t="s">
        <v>814</v>
      </c>
      <c r="H228" s="329"/>
      <c r="I228" s="326"/>
      <c r="J228" s="358"/>
      <c r="K228" s="358"/>
      <c r="L228" s="358"/>
      <c r="M228" s="358"/>
      <c r="N228" s="327"/>
      <c r="O228" s="328"/>
      <c r="P228" s="326">
        <v>0</v>
      </c>
      <c r="Q228" s="327"/>
      <c r="R228" s="329"/>
      <c r="S228" s="326"/>
      <c r="T228" s="326"/>
      <c r="U228" s="326"/>
      <c r="V228" s="326"/>
      <c r="W228" s="326"/>
      <c r="X228" s="326"/>
      <c r="Y228" s="1350">
        <f t="shared" si="21"/>
        <v>0</v>
      </c>
      <c r="Z228" s="1351">
        <f t="shared" si="22"/>
        <v>0</v>
      </c>
      <c r="AA228" s="326">
        <f t="shared" si="23"/>
        <v>0</v>
      </c>
      <c r="AB228" s="326">
        <f t="shared" si="24"/>
        <v>0</v>
      </c>
      <c r="AC228" s="326">
        <f t="shared" si="25"/>
        <v>0</v>
      </c>
      <c r="AD228" s="326">
        <f t="shared" si="26"/>
        <v>0</v>
      </c>
      <c r="AE228" s="326">
        <f t="shared" si="27"/>
        <v>0</v>
      </c>
      <c r="AF228" s="355"/>
      <c r="AG228" s="838"/>
      <c r="AH228" s="744"/>
      <c r="AI228" s="292"/>
      <c r="AK228" s="300"/>
      <c r="AS228" s="452"/>
    </row>
    <row r="229" spans="1:45" s="433" customFormat="1" ht="27.6">
      <c r="A229" s="353">
        <v>305</v>
      </c>
      <c r="B229" s="352">
        <v>100</v>
      </c>
      <c r="C229" s="352">
        <v>600</v>
      </c>
      <c r="D229" s="352">
        <v>200</v>
      </c>
      <c r="E229" s="357">
        <v>90</v>
      </c>
      <c r="F229" s="317"/>
      <c r="G229" s="342" t="s">
        <v>815</v>
      </c>
      <c r="H229" s="329"/>
      <c r="I229" s="326"/>
      <c r="J229" s="358"/>
      <c r="K229" s="358"/>
      <c r="L229" s="358"/>
      <c r="M229" s="358"/>
      <c r="N229" s="327"/>
      <c r="O229" s="328"/>
      <c r="P229" s="326">
        <v>0</v>
      </c>
      <c r="Q229" s="327"/>
      <c r="R229" s="329"/>
      <c r="S229" s="326"/>
      <c r="T229" s="326"/>
      <c r="U229" s="326"/>
      <c r="V229" s="326"/>
      <c r="W229" s="326"/>
      <c r="X229" s="326"/>
      <c r="Y229" s="1350">
        <f t="shared" si="21"/>
        <v>0</v>
      </c>
      <c r="Z229" s="1351">
        <f t="shared" si="22"/>
        <v>0</v>
      </c>
      <c r="AA229" s="326">
        <f t="shared" si="23"/>
        <v>0</v>
      </c>
      <c r="AB229" s="326">
        <f t="shared" si="24"/>
        <v>0</v>
      </c>
      <c r="AC229" s="326">
        <f t="shared" si="25"/>
        <v>0</v>
      </c>
      <c r="AD229" s="326">
        <f t="shared" si="26"/>
        <v>0</v>
      </c>
      <c r="AE229" s="326">
        <f t="shared" si="27"/>
        <v>0</v>
      </c>
      <c r="AF229" s="355"/>
      <c r="AG229" s="838"/>
      <c r="AH229" s="745"/>
      <c r="AI229" s="435"/>
      <c r="AK229" s="434"/>
      <c r="AS229" s="1402"/>
    </row>
    <row r="230" spans="1:45" s="299" customFormat="1" ht="69">
      <c r="A230" s="353">
        <v>305</v>
      </c>
      <c r="B230" s="352">
        <v>100</v>
      </c>
      <c r="C230" s="352">
        <v>600</v>
      </c>
      <c r="D230" s="352">
        <v>250</v>
      </c>
      <c r="E230" s="357"/>
      <c r="F230" s="317"/>
      <c r="G230" s="342" t="s">
        <v>816</v>
      </c>
      <c r="H230" s="329"/>
      <c r="I230" s="326"/>
      <c r="J230" s="358"/>
      <c r="K230" s="358"/>
      <c r="L230" s="358"/>
      <c r="M230" s="358"/>
      <c r="N230" s="327"/>
      <c r="O230" s="328"/>
      <c r="P230" s="326">
        <v>0</v>
      </c>
      <c r="Q230" s="327"/>
      <c r="R230" s="329"/>
      <c r="S230" s="326"/>
      <c r="T230" s="326"/>
      <c r="U230" s="326"/>
      <c r="V230" s="326"/>
      <c r="W230" s="326"/>
      <c r="X230" s="326"/>
      <c r="Y230" s="1350">
        <f t="shared" si="21"/>
        <v>0</v>
      </c>
      <c r="Z230" s="1351">
        <f t="shared" si="22"/>
        <v>0</v>
      </c>
      <c r="AA230" s="326">
        <f t="shared" si="23"/>
        <v>0</v>
      </c>
      <c r="AB230" s="326">
        <f t="shared" si="24"/>
        <v>0</v>
      </c>
      <c r="AC230" s="326">
        <f t="shared" si="25"/>
        <v>0</v>
      </c>
      <c r="AD230" s="326">
        <f t="shared" si="26"/>
        <v>0</v>
      </c>
      <c r="AE230" s="326">
        <f t="shared" si="27"/>
        <v>0</v>
      </c>
      <c r="AF230" s="355" t="s">
        <v>817</v>
      </c>
      <c r="AG230" s="838"/>
      <c r="AH230" s="744"/>
      <c r="AI230" s="292"/>
      <c r="AK230" s="300"/>
      <c r="AS230" s="452"/>
    </row>
    <row r="231" spans="1:45" s="299" customFormat="1" ht="27.6">
      <c r="A231" s="353">
        <v>305</v>
      </c>
      <c r="B231" s="352">
        <v>100</v>
      </c>
      <c r="C231" s="352">
        <v>600</v>
      </c>
      <c r="D231" s="357">
        <v>300</v>
      </c>
      <c r="E231" s="357"/>
      <c r="F231" s="352"/>
      <c r="G231" s="342" t="s">
        <v>818</v>
      </c>
      <c r="H231" s="329"/>
      <c r="I231" s="326"/>
      <c r="J231" s="358"/>
      <c r="K231" s="358"/>
      <c r="L231" s="358"/>
      <c r="M231" s="358"/>
      <c r="N231" s="327"/>
      <c r="O231" s="328"/>
      <c r="P231" s="326">
        <v>0</v>
      </c>
      <c r="Q231" s="327"/>
      <c r="R231" s="1417">
        <v>551746.80000000005</v>
      </c>
      <c r="S231" s="326"/>
      <c r="T231" s="326"/>
      <c r="U231" s="326">
        <v>550000</v>
      </c>
      <c r="V231" s="326"/>
      <c r="W231" s="326"/>
      <c r="X231" s="326"/>
      <c r="Y231" s="1350">
        <f t="shared" si="21"/>
        <v>551746.80000000005</v>
      </c>
      <c r="Z231" s="1351">
        <f t="shared" si="22"/>
        <v>0</v>
      </c>
      <c r="AA231" s="326">
        <f t="shared" si="23"/>
        <v>0</v>
      </c>
      <c r="AB231" s="326">
        <f t="shared" si="24"/>
        <v>550000</v>
      </c>
      <c r="AC231" s="326">
        <f t="shared" si="25"/>
        <v>0</v>
      </c>
      <c r="AD231" s="326">
        <f t="shared" si="26"/>
        <v>0</v>
      </c>
      <c r="AE231" s="326">
        <f t="shared" si="27"/>
        <v>0</v>
      </c>
      <c r="AF231" s="355" t="s">
        <v>819</v>
      </c>
      <c r="AG231" s="838"/>
      <c r="AH231" s="744"/>
      <c r="AI231" s="292"/>
      <c r="AK231" s="300"/>
      <c r="AS231" s="452"/>
    </row>
    <row r="232" spans="1:45" s="299" customFormat="1">
      <c r="A232" s="353">
        <v>305</v>
      </c>
      <c r="B232" s="352">
        <v>100</v>
      </c>
      <c r="C232" s="352">
        <v>600</v>
      </c>
      <c r="D232" s="352">
        <v>400</v>
      </c>
      <c r="E232" s="352"/>
      <c r="F232" s="352"/>
      <c r="G232" s="443" t="s">
        <v>722</v>
      </c>
      <c r="H232" s="334"/>
      <c r="I232" s="331"/>
      <c r="J232" s="359"/>
      <c r="K232" s="359"/>
      <c r="L232" s="359"/>
      <c r="M232" s="359"/>
      <c r="N232" s="332"/>
      <c r="O232" s="333"/>
      <c r="P232" s="331">
        <v>0</v>
      </c>
      <c r="Q232" s="332"/>
      <c r="R232" s="334"/>
      <c r="S232" s="331"/>
      <c r="T232" s="331"/>
      <c r="U232" s="331"/>
      <c r="V232" s="331"/>
      <c r="W232" s="331"/>
      <c r="X232" s="331"/>
      <c r="Y232" s="1352">
        <f t="shared" si="21"/>
        <v>0</v>
      </c>
      <c r="Z232" s="1353">
        <f t="shared" si="22"/>
        <v>0</v>
      </c>
      <c r="AA232" s="331">
        <f t="shared" si="23"/>
        <v>0</v>
      </c>
      <c r="AB232" s="331">
        <f t="shared" si="24"/>
        <v>0</v>
      </c>
      <c r="AC232" s="331">
        <f t="shared" si="25"/>
        <v>0</v>
      </c>
      <c r="AD232" s="331">
        <f t="shared" si="26"/>
        <v>0</v>
      </c>
      <c r="AE232" s="331">
        <f t="shared" si="27"/>
        <v>0</v>
      </c>
      <c r="AF232" s="355" t="s">
        <v>820</v>
      </c>
      <c r="AG232" s="838"/>
      <c r="AH232" s="744"/>
      <c r="AI232" s="292"/>
      <c r="AK232" s="300"/>
      <c r="AS232" s="452"/>
    </row>
    <row r="233" spans="1:45" s="299" customFormat="1" ht="27.6">
      <c r="A233" s="353">
        <v>305</v>
      </c>
      <c r="B233" s="352">
        <v>100</v>
      </c>
      <c r="C233" s="352">
        <v>600</v>
      </c>
      <c r="D233" s="352">
        <v>400</v>
      </c>
      <c r="E233" s="357">
        <v>10</v>
      </c>
      <c r="F233" s="317"/>
      <c r="G233" s="342" t="s">
        <v>821</v>
      </c>
      <c r="H233" s="329"/>
      <c r="I233" s="326"/>
      <c r="J233" s="358"/>
      <c r="K233" s="358"/>
      <c r="L233" s="358"/>
      <c r="M233" s="358"/>
      <c r="N233" s="327"/>
      <c r="O233" s="328"/>
      <c r="P233" s="326">
        <v>0</v>
      </c>
      <c r="Q233" s="327"/>
      <c r="R233" s="329"/>
      <c r="S233" s="326"/>
      <c r="T233" s="326"/>
      <c r="U233" s="326"/>
      <c r="V233" s="326"/>
      <c r="W233" s="326"/>
      <c r="X233" s="326"/>
      <c r="Y233" s="1350">
        <f t="shared" si="21"/>
        <v>0</v>
      </c>
      <c r="Z233" s="1351">
        <f t="shared" si="22"/>
        <v>0</v>
      </c>
      <c r="AA233" s="326">
        <f t="shared" si="23"/>
        <v>0</v>
      </c>
      <c r="AB233" s="326">
        <f t="shared" si="24"/>
        <v>0</v>
      </c>
      <c r="AC233" s="326">
        <f t="shared" si="25"/>
        <v>0</v>
      </c>
      <c r="AD233" s="326">
        <f t="shared" si="26"/>
        <v>0</v>
      </c>
      <c r="AE233" s="326">
        <f t="shared" si="27"/>
        <v>0</v>
      </c>
      <c r="AF233" s="355"/>
      <c r="AG233" s="838"/>
      <c r="AH233" s="744"/>
      <c r="AI233" s="292"/>
      <c r="AK233" s="300"/>
      <c r="AS233" s="452"/>
    </row>
    <row r="234" spans="1:45" s="299" customFormat="1">
      <c r="A234" s="353">
        <v>305</v>
      </c>
      <c r="B234" s="352">
        <v>100</v>
      </c>
      <c r="C234" s="352">
        <v>600</v>
      </c>
      <c r="D234" s="352">
        <v>400</v>
      </c>
      <c r="E234" s="357">
        <v>20</v>
      </c>
      <c r="F234" s="317"/>
      <c r="G234" s="342" t="s">
        <v>822</v>
      </c>
      <c r="H234" s="329"/>
      <c r="I234" s="326"/>
      <c r="J234" s="358"/>
      <c r="K234" s="358"/>
      <c r="L234" s="358"/>
      <c r="M234" s="358"/>
      <c r="N234" s="327"/>
      <c r="O234" s="328"/>
      <c r="P234" s="326">
        <v>0</v>
      </c>
      <c r="Q234" s="327"/>
      <c r="R234" s="329"/>
      <c r="S234" s="326"/>
      <c r="T234" s="326"/>
      <c r="U234" s="326"/>
      <c r="V234" s="326"/>
      <c r="W234" s="326"/>
      <c r="X234" s="326"/>
      <c r="Y234" s="1350">
        <f t="shared" si="21"/>
        <v>0</v>
      </c>
      <c r="Z234" s="1351">
        <f t="shared" si="22"/>
        <v>0</v>
      </c>
      <c r="AA234" s="326">
        <f t="shared" si="23"/>
        <v>0</v>
      </c>
      <c r="AB234" s="326">
        <f t="shared" si="24"/>
        <v>0</v>
      </c>
      <c r="AC234" s="326">
        <f t="shared" si="25"/>
        <v>0</v>
      </c>
      <c r="AD234" s="326">
        <f t="shared" si="26"/>
        <v>0</v>
      </c>
      <c r="AE234" s="326">
        <f t="shared" si="27"/>
        <v>0</v>
      </c>
      <c r="AF234" s="355"/>
      <c r="AG234" s="838"/>
      <c r="AH234" s="744"/>
      <c r="AI234" s="292"/>
      <c r="AK234" s="300"/>
      <c r="AS234" s="452"/>
    </row>
    <row r="235" spans="1:45" s="299" customFormat="1">
      <c r="A235" s="353">
        <v>305</v>
      </c>
      <c r="B235" s="352">
        <v>100</v>
      </c>
      <c r="C235" s="352">
        <v>600</v>
      </c>
      <c r="D235" s="352">
        <v>400</v>
      </c>
      <c r="E235" s="357">
        <v>30</v>
      </c>
      <c r="F235" s="317"/>
      <c r="G235" s="342" t="s">
        <v>812</v>
      </c>
      <c r="H235" s="329"/>
      <c r="I235" s="326"/>
      <c r="J235" s="358"/>
      <c r="K235" s="358"/>
      <c r="L235" s="358"/>
      <c r="M235" s="358"/>
      <c r="N235" s="327"/>
      <c r="O235" s="328"/>
      <c r="P235" s="326">
        <v>0</v>
      </c>
      <c r="Q235" s="327"/>
      <c r="R235" s="329"/>
      <c r="S235" s="326"/>
      <c r="T235" s="326"/>
      <c r="U235" s="326"/>
      <c r="V235" s="326"/>
      <c r="W235" s="326"/>
      <c r="X235" s="326"/>
      <c r="Y235" s="1350">
        <f t="shared" si="21"/>
        <v>0</v>
      </c>
      <c r="Z235" s="1351">
        <f t="shared" si="22"/>
        <v>0</v>
      </c>
      <c r="AA235" s="326">
        <f t="shared" si="23"/>
        <v>0</v>
      </c>
      <c r="AB235" s="326">
        <f t="shared" si="24"/>
        <v>0</v>
      </c>
      <c r="AC235" s="326">
        <f t="shared" si="25"/>
        <v>0</v>
      </c>
      <c r="AD235" s="326">
        <f t="shared" si="26"/>
        <v>0</v>
      </c>
      <c r="AE235" s="326">
        <f t="shared" si="27"/>
        <v>0</v>
      </c>
      <c r="AF235" s="355"/>
      <c r="AG235" s="838"/>
      <c r="AH235" s="744"/>
      <c r="AI235" s="292"/>
      <c r="AK235" s="300"/>
      <c r="AS235" s="452"/>
    </row>
    <row r="236" spans="1:45" s="299" customFormat="1" ht="41.4">
      <c r="A236" s="353">
        <v>305</v>
      </c>
      <c r="B236" s="352">
        <v>100</v>
      </c>
      <c r="C236" s="352">
        <v>600</v>
      </c>
      <c r="D236" s="352">
        <v>400</v>
      </c>
      <c r="E236" s="357">
        <v>40</v>
      </c>
      <c r="F236" s="317"/>
      <c r="G236" s="342" t="s">
        <v>813</v>
      </c>
      <c r="H236" s="329"/>
      <c r="I236" s="326"/>
      <c r="J236" s="358"/>
      <c r="K236" s="358"/>
      <c r="L236" s="358"/>
      <c r="M236" s="358"/>
      <c r="N236" s="327"/>
      <c r="O236" s="328"/>
      <c r="P236" s="326">
        <v>0</v>
      </c>
      <c r="Q236" s="327"/>
      <c r="R236" s="329"/>
      <c r="S236" s="326"/>
      <c r="T236" s="326"/>
      <c r="U236" s="326"/>
      <c r="V236" s="326"/>
      <c r="W236" s="326"/>
      <c r="X236" s="326"/>
      <c r="Y236" s="1350">
        <f t="shared" si="21"/>
        <v>0</v>
      </c>
      <c r="Z236" s="1351">
        <f t="shared" si="22"/>
        <v>0</v>
      </c>
      <c r="AA236" s="326">
        <f t="shared" si="23"/>
        <v>0</v>
      </c>
      <c r="AB236" s="326">
        <f t="shared" si="24"/>
        <v>0</v>
      </c>
      <c r="AC236" s="326">
        <f t="shared" si="25"/>
        <v>0</v>
      </c>
      <c r="AD236" s="326">
        <f t="shared" si="26"/>
        <v>0</v>
      </c>
      <c r="AE236" s="326">
        <f t="shared" si="27"/>
        <v>0</v>
      </c>
      <c r="AF236" s="355"/>
      <c r="AG236" s="838"/>
      <c r="AH236" s="744"/>
      <c r="AI236" s="292"/>
      <c r="AK236" s="300"/>
      <c r="AS236" s="452"/>
    </row>
    <row r="237" spans="1:45" s="299" customFormat="1" ht="27.6">
      <c r="A237" s="353">
        <v>305</v>
      </c>
      <c r="B237" s="352">
        <v>100</v>
      </c>
      <c r="C237" s="352">
        <v>600</v>
      </c>
      <c r="D237" s="352">
        <v>400</v>
      </c>
      <c r="E237" s="357">
        <v>50</v>
      </c>
      <c r="F237" s="317"/>
      <c r="G237" s="342" t="s">
        <v>814</v>
      </c>
      <c r="H237" s="329"/>
      <c r="I237" s="326"/>
      <c r="J237" s="358"/>
      <c r="K237" s="358"/>
      <c r="L237" s="358"/>
      <c r="M237" s="358"/>
      <c r="N237" s="327"/>
      <c r="O237" s="328"/>
      <c r="P237" s="326">
        <v>0</v>
      </c>
      <c r="Q237" s="327"/>
      <c r="R237" s="329"/>
      <c r="S237" s="326"/>
      <c r="T237" s="326"/>
      <c r="U237" s="326"/>
      <c r="V237" s="326"/>
      <c r="W237" s="326"/>
      <c r="X237" s="326"/>
      <c r="Y237" s="1350">
        <f t="shared" si="21"/>
        <v>0</v>
      </c>
      <c r="Z237" s="1351">
        <f t="shared" si="22"/>
        <v>0</v>
      </c>
      <c r="AA237" s="326">
        <f t="shared" si="23"/>
        <v>0</v>
      </c>
      <c r="AB237" s="326">
        <f t="shared" si="24"/>
        <v>0</v>
      </c>
      <c r="AC237" s="326">
        <f t="shared" si="25"/>
        <v>0</v>
      </c>
      <c r="AD237" s="326">
        <f t="shared" si="26"/>
        <v>0</v>
      </c>
      <c r="AE237" s="326">
        <f t="shared" si="27"/>
        <v>0</v>
      </c>
      <c r="AF237" s="355"/>
      <c r="AG237" s="838"/>
      <c r="AH237" s="744"/>
      <c r="AI237" s="292"/>
      <c r="AK237" s="300"/>
      <c r="AS237" s="452"/>
    </row>
    <row r="238" spans="1:45" s="299" customFormat="1" ht="41.4">
      <c r="A238" s="353">
        <v>305</v>
      </c>
      <c r="B238" s="352">
        <v>100</v>
      </c>
      <c r="C238" s="352">
        <v>600</v>
      </c>
      <c r="D238" s="352">
        <v>400</v>
      </c>
      <c r="E238" s="357">
        <v>60</v>
      </c>
      <c r="F238" s="317"/>
      <c r="G238" s="342" t="s">
        <v>823</v>
      </c>
      <c r="H238" s="329"/>
      <c r="I238" s="326"/>
      <c r="J238" s="358"/>
      <c r="K238" s="358"/>
      <c r="L238" s="358"/>
      <c r="M238" s="358"/>
      <c r="N238" s="327"/>
      <c r="O238" s="328"/>
      <c r="P238" s="326">
        <v>0</v>
      </c>
      <c r="Q238" s="327"/>
      <c r="R238" s="329"/>
      <c r="S238" s="326"/>
      <c r="T238" s="326"/>
      <c r="U238" s="326"/>
      <c r="V238" s="326"/>
      <c r="W238" s="326"/>
      <c r="X238" s="326"/>
      <c r="Y238" s="1350">
        <f t="shared" si="21"/>
        <v>0</v>
      </c>
      <c r="Z238" s="1351">
        <f t="shared" si="22"/>
        <v>0</v>
      </c>
      <c r="AA238" s="326">
        <f t="shared" si="23"/>
        <v>0</v>
      </c>
      <c r="AB238" s="326">
        <f t="shared" si="24"/>
        <v>0</v>
      </c>
      <c r="AC238" s="326">
        <f t="shared" si="25"/>
        <v>0</v>
      </c>
      <c r="AD238" s="326">
        <f t="shared" si="26"/>
        <v>0</v>
      </c>
      <c r="AE238" s="326">
        <f t="shared" si="27"/>
        <v>0</v>
      </c>
      <c r="AF238" s="355"/>
      <c r="AG238" s="838"/>
      <c r="AH238" s="744"/>
      <c r="AI238" s="292"/>
      <c r="AK238" s="300"/>
      <c r="AS238" s="452"/>
    </row>
    <row r="239" spans="1:45" s="299" customFormat="1" ht="27.6">
      <c r="A239" s="353">
        <v>305</v>
      </c>
      <c r="B239" s="352">
        <v>100</v>
      </c>
      <c r="C239" s="352">
        <v>600</v>
      </c>
      <c r="D239" s="352">
        <v>400</v>
      </c>
      <c r="E239" s="357">
        <v>70</v>
      </c>
      <c r="F239" s="317"/>
      <c r="G239" s="342" t="s">
        <v>824</v>
      </c>
      <c r="H239" s="329"/>
      <c r="I239" s="326"/>
      <c r="J239" s="358"/>
      <c r="K239" s="358"/>
      <c r="L239" s="358"/>
      <c r="M239" s="358"/>
      <c r="N239" s="327"/>
      <c r="O239" s="328"/>
      <c r="P239" s="326">
        <v>0</v>
      </c>
      <c r="Q239" s="327"/>
      <c r="R239" s="329"/>
      <c r="S239" s="326"/>
      <c r="T239" s="326"/>
      <c r="U239" s="326"/>
      <c r="V239" s="326"/>
      <c r="W239" s="326"/>
      <c r="X239" s="326"/>
      <c r="Y239" s="1350">
        <f t="shared" si="21"/>
        <v>0</v>
      </c>
      <c r="Z239" s="1351">
        <f t="shared" si="22"/>
        <v>0</v>
      </c>
      <c r="AA239" s="326">
        <f t="shared" si="23"/>
        <v>0</v>
      </c>
      <c r="AB239" s="326">
        <f t="shared" si="24"/>
        <v>0</v>
      </c>
      <c r="AC239" s="326">
        <f t="shared" si="25"/>
        <v>0</v>
      </c>
      <c r="AD239" s="326">
        <f t="shared" si="26"/>
        <v>0</v>
      </c>
      <c r="AE239" s="326">
        <f t="shared" si="27"/>
        <v>0</v>
      </c>
      <c r="AF239" s="355"/>
      <c r="AG239" s="838"/>
      <c r="AH239" s="744"/>
      <c r="AI239" s="292"/>
      <c r="AK239" s="300"/>
      <c r="AS239" s="452"/>
    </row>
    <row r="240" spans="1:45" s="299" customFormat="1" ht="27.6">
      <c r="A240" s="353">
        <v>305</v>
      </c>
      <c r="B240" s="352">
        <v>100</v>
      </c>
      <c r="C240" s="352">
        <v>600</v>
      </c>
      <c r="D240" s="352">
        <v>400</v>
      </c>
      <c r="E240" s="357">
        <v>90</v>
      </c>
      <c r="F240" s="317"/>
      <c r="G240" s="342" t="s">
        <v>825</v>
      </c>
      <c r="H240" s="329"/>
      <c r="I240" s="326"/>
      <c r="J240" s="358"/>
      <c r="K240" s="358"/>
      <c r="L240" s="358"/>
      <c r="M240" s="358"/>
      <c r="N240" s="327"/>
      <c r="O240" s="328"/>
      <c r="P240" s="326">
        <v>0</v>
      </c>
      <c r="Q240" s="327"/>
      <c r="R240" s="329"/>
      <c r="S240" s="326"/>
      <c r="T240" s="326"/>
      <c r="U240" s="326"/>
      <c r="V240" s="326"/>
      <c r="W240" s="326"/>
      <c r="X240" s="326"/>
      <c r="Y240" s="1350">
        <f t="shared" si="21"/>
        <v>0</v>
      </c>
      <c r="Z240" s="1351">
        <f t="shared" si="22"/>
        <v>0</v>
      </c>
      <c r="AA240" s="326">
        <f t="shared" si="23"/>
        <v>0</v>
      </c>
      <c r="AB240" s="326">
        <f t="shared" si="24"/>
        <v>0</v>
      </c>
      <c r="AC240" s="326">
        <f t="shared" si="25"/>
        <v>0</v>
      </c>
      <c r="AD240" s="326">
        <f t="shared" si="26"/>
        <v>0</v>
      </c>
      <c r="AE240" s="326">
        <f t="shared" si="27"/>
        <v>0</v>
      </c>
      <c r="AF240" s="355"/>
      <c r="AG240" s="838"/>
      <c r="AH240" s="744"/>
      <c r="AI240" s="292"/>
      <c r="AK240" s="300"/>
      <c r="AS240" s="452"/>
    </row>
    <row r="241" spans="1:45" s="299" customFormat="1">
      <c r="A241" s="353">
        <v>305</v>
      </c>
      <c r="B241" s="352">
        <v>100</v>
      </c>
      <c r="C241" s="352">
        <v>600</v>
      </c>
      <c r="D241" s="352">
        <v>500</v>
      </c>
      <c r="E241" s="352"/>
      <c r="F241" s="352"/>
      <c r="G241" s="443" t="s">
        <v>726</v>
      </c>
      <c r="H241" s="334"/>
      <c r="I241" s="331"/>
      <c r="J241" s="359"/>
      <c r="K241" s="359"/>
      <c r="L241" s="359"/>
      <c r="M241" s="359"/>
      <c r="N241" s="332"/>
      <c r="O241" s="333"/>
      <c r="P241" s="331">
        <v>0</v>
      </c>
      <c r="Q241" s="332"/>
      <c r="R241" s="334"/>
      <c r="S241" s="331"/>
      <c r="T241" s="331"/>
      <c r="U241" s="331"/>
      <c r="V241" s="331"/>
      <c r="W241" s="331"/>
      <c r="X241" s="331"/>
      <c r="Y241" s="1352">
        <f t="shared" si="21"/>
        <v>0</v>
      </c>
      <c r="Z241" s="1353">
        <f t="shared" si="22"/>
        <v>0</v>
      </c>
      <c r="AA241" s="331">
        <f t="shared" si="23"/>
        <v>0</v>
      </c>
      <c r="AB241" s="331">
        <f t="shared" si="24"/>
        <v>0</v>
      </c>
      <c r="AC241" s="331">
        <f t="shared" si="25"/>
        <v>0</v>
      </c>
      <c r="AD241" s="331">
        <f t="shared" si="26"/>
        <v>0</v>
      </c>
      <c r="AE241" s="331">
        <f t="shared" si="27"/>
        <v>0</v>
      </c>
      <c r="AF241" s="355" t="s">
        <v>826</v>
      </c>
      <c r="AG241" s="838"/>
      <c r="AH241" s="744"/>
      <c r="AI241" s="292"/>
      <c r="AK241" s="300"/>
      <c r="AS241" s="452"/>
    </row>
    <row r="242" spans="1:45" s="299" customFormat="1" ht="41.4">
      <c r="A242" s="353">
        <v>305</v>
      </c>
      <c r="B242" s="352">
        <v>100</v>
      </c>
      <c r="C242" s="352">
        <v>600</v>
      </c>
      <c r="D242" s="352">
        <v>500</v>
      </c>
      <c r="E242" s="357">
        <v>10</v>
      </c>
      <c r="F242" s="317"/>
      <c r="G242" s="342" t="s">
        <v>823</v>
      </c>
      <c r="H242" s="329"/>
      <c r="I242" s="326"/>
      <c r="J242" s="358"/>
      <c r="K242" s="358"/>
      <c r="L242" s="358"/>
      <c r="M242" s="358"/>
      <c r="N242" s="327"/>
      <c r="O242" s="328"/>
      <c r="P242" s="326">
        <v>0</v>
      </c>
      <c r="Q242" s="327"/>
      <c r="R242" s="329"/>
      <c r="S242" s="326"/>
      <c r="T242" s="326"/>
      <c r="U242" s="326"/>
      <c r="V242" s="326"/>
      <c r="W242" s="326"/>
      <c r="X242" s="326"/>
      <c r="Y242" s="1350">
        <f t="shared" si="21"/>
        <v>0</v>
      </c>
      <c r="Z242" s="1351">
        <f t="shared" si="22"/>
        <v>0</v>
      </c>
      <c r="AA242" s="326">
        <f t="shared" si="23"/>
        <v>0</v>
      </c>
      <c r="AB242" s="326">
        <f t="shared" si="24"/>
        <v>0</v>
      </c>
      <c r="AC242" s="326">
        <f t="shared" si="25"/>
        <v>0</v>
      </c>
      <c r="AD242" s="326">
        <f t="shared" si="26"/>
        <v>0</v>
      </c>
      <c r="AE242" s="326">
        <f t="shared" si="27"/>
        <v>0</v>
      </c>
      <c r="AF242" s="355"/>
      <c r="AG242" s="838"/>
      <c r="AH242" s="744"/>
      <c r="AI242" s="292"/>
      <c r="AK242" s="300"/>
      <c r="AS242" s="452"/>
    </row>
    <row r="243" spans="1:45" s="299" customFormat="1" ht="27.6">
      <c r="A243" s="353">
        <v>305</v>
      </c>
      <c r="B243" s="352">
        <v>100</v>
      </c>
      <c r="C243" s="352">
        <v>600</v>
      </c>
      <c r="D243" s="352">
        <v>500</v>
      </c>
      <c r="E243" s="357">
        <v>90</v>
      </c>
      <c r="F243" s="317"/>
      <c r="G243" s="342" t="s">
        <v>827</v>
      </c>
      <c r="H243" s="329"/>
      <c r="I243" s="326"/>
      <c r="J243" s="358"/>
      <c r="K243" s="358"/>
      <c r="L243" s="358"/>
      <c r="M243" s="358"/>
      <c r="N243" s="327"/>
      <c r="O243" s="328"/>
      <c r="P243" s="326">
        <v>0</v>
      </c>
      <c r="Q243" s="327"/>
      <c r="R243" s="328"/>
      <c r="S243" s="326"/>
      <c r="T243" s="326"/>
      <c r="U243" s="326"/>
      <c r="V243" s="326"/>
      <c r="W243" s="326"/>
      <c r="X243" s="326"/>
      <c r="Y243" s="1350">
        <f t="shared" si="21"/>
        <v>0</v>
      </c>
      <c r="Z243" s="1351">
        <f t="shared" si="22"/>
        <v>0</v>
      </c>
      <c r="AA243" s="326">
        <f t="shared" si="23"/>
        <v>0</v>
      </c>
      <c r="AB243" s="326">
        <f t="shared" si="24"/>
        <v>0</v>
      </c>
      <c r="AC243" s="326">
        <f t="shared" si="25"/>
        <v>0</v>
      </c>
      <c r="AD243" s="326">
        <f t="shared" si="26"/>
        <v>0</v>
      </c>
      <c r="AE243" s="326">
        <f t="shared" si="27"/>
        <v>0</v>
      </c>
      <c r="AF243" s="355"/>
      <c r="AG243" s="838"/>
      <c r="AH243" s="744"/>
      <c r="AI243" s="292"/>
      <c r="AK243" s="300"/>
      <c r="AS243" s="452"/>
    </row>
    <row r="244" spans="1:45" s="299" customFormat="1" ht="27.6">
      <c r="A244" s="353">
        <v>305</v>
      </c>
      <c r="B244" s="352">
        <v>100</v>
      </c>
      <c r="C244" s="352">
        <v>650</v>
      </c>
      <c r="D244" s="352"/>
      <c r="E244" s="352"/>
      <c r="F244" s="352"/>
      <c r="G244" s="323" t="s">
        <v>828</v>
      </c>
      <c r="H244" s="334"/>
      <c r="I244" s="331"/>
      <c r="J244" s="359"/>
      <c r="K244" s="359"/>
      <c r="L244" s="359"/>
      <c r="M244" s="359"/>
      <c r="N244" s="332"/>
      <c r="O244" s="333"/>
      <c r="P244" s="331">
        <v>0</v>
      </c>
      <c r="Q244" s="332"/>
      <c r="R244" s="333"/>
      <c r="S244" s="331"/>
      <c r="T244" s="331"/>
      <c r="U244" s="331"/>
      <c r="V244" s="331"/>
      <c r="W244" s="331"/>
      <c r="X244" s="331"/>
      <c r="Y244" s="1352">
        <f t="shared" si="21"/>
        <v>0</v>
      </c>
      <c r="Z244" s="1353">
        <f t="shared" si="22"/>
        <v>0</v>
      </c>
      <c r="AA244" s="331">
        <f t="shared" si="23"/>
        <v>0</v>
      </c>
      <c r="AB244" s="331">
        <f t="shared" si="24"/>
        <v>0</v>
      </c>
      <c r="AC244" s="331">
        <f t="shared" si="25"/>
        <v>0</v>
      </c>
      <c r="AD244" s="331">
        <f t="shared" si="26"/>
        <v>0</v>
      </c>
      <c r="AE244" s="331">
        <f t="shared" si="27"/>
        <v>0</v>
      </c>
      <c r="AF244" s="355" t="s">
        <v>829</v>
      </c>
      <c r="AG244" s="838"/>
      <c r="AH244" s="744"/>
      <c r="AI244" s="292"/>
      <c r="AK244" s="300"/>
      <c r="AS244" s="452"/>
    </row>
    <row r="245" spans="1:45" s="299" customFormat="1" ht="41.4">
      <c r="A245" s="353">
        <v>305</v>
      </c>
      <c r="B245" s="352">
        <v>100</v>
      </c>
      <c r="C245" s="352">
        <v>650</v>
      </c>
      <c r="D245" s="357">
        <v>100</v>
      </c>
      <c r="E245" s="357"/>
      <c r="F245" s="352"/>
      <c r="G245" s="342" t="s">
        <v>830</v>
      </c>
      <c r="H245" s="329"/>
      <c r="I245" s="326"/>
      <c r="J245" s="358"/>
      <c r="K245" s="358"/>
      <c r="L245" s="358"/>
      <c r="M245" s="358"/>
      <c r="N245" s="327"/>
      <c r="O245" s="328"/>
      <c r="P245" s="326">
        <v>0</v>
      </c>
      <c r="Q245" s="327"/>
      <c r="R245" s="328">
        <v>46650</v>
      </c>
      <c r="S245" s="326"/>
      <c r="T245" s="326"/>
      <c r="U245" s="326">
        <v>23209</v>
      </c>
      <c r="V245" s="326"/>
      <c r="W245" s="326"/>
      <c r="X245" s="326">
        <v>23209</v>
      </c>
      <c r="Y245" s="1350">
        <f t="shared" si="21"/>
        <v>46650</v>
      </c>
      <c r="Z245" s="1351">
        <f t="shared" si="22"/>
        <v>0</v>
      </c>
      <c r="AA245" s="326">
        <f t="shared" si="23"/>
        <v>0</v>
      </c>
      <c r="AB245" s="326">
        <f t="shared" si="24"/>
        <v>23209</v>
      </c>
      <c r="AC245" s="326">
        <f t="shared" si="25"/>
        <v>0</v>
      </c>
      <c r="AD245" s="326">
        <f t="shared" si="26"/>
        <v>0</v>
      </c>
      <c r="AE245" s="326">
        <f t="shared" si="27"/>
        <v>23209</v>
      </c>
      <c r="AF245" s="355" t="s">
        <v>831</v>
      </c>
      <c r="AG245" s="838"/>
      <c r="AH245" s="744"/>
      <c r="AI245" s="292"/>
      <c r="AK245" s="300"/>
      <c r="AS245" s="452"/>
    </row>
    <row r="246" spans="1:45" s="299" customFormat="1" ht="41.4">
      <c r="A246" s="353">
        <v>305</v>
      </c>
      <c r="B246" s="352">
        <v>100</v>
      </c>
      <c r="C246" s="352">
        <v>650</v>
      </c>
      <c r="D246" s="357">
        <v>200</v>
      </c>
      <c r="E246" s="357"/>
      <c r="F246" s="352"/>
      <c r="G246" s="342" t="s">
        <v>832</v>
      </c>
      <c r="H246" s="329"/>
      <c r="I246" s="326"/>
      <c r="J246" s="358"/>
      <c r="K246" s="358"/>
      <c r="L246" s="358"/>
      <c r="M246" s="358"/>
      <c r="N246" s="327"/>
      <c r="O246" s="328"/>
      <c r="P246" s="326">
        <v>0</v>
      </c>
      <c r="Q246" s="327"/>
      <c r="R246" s="328">
        <v>397589.38</v>
      </c>
      <c r="S246" s="326"/>
      <c r="T246" s="326"/>
      <c r="U246" s="326">
        <v>448671</v>
      </c>
      <c r="V246" s="326"/>
      <c r="W246" s="326"/>
      <c r="X246" s="326">
        <v>448671</v>
      </c>
      <c r="Y246" s="1350">
        <f t="shared" si="21"/>
        <v>397589.38</v>
      </c>
      <c r="Z246" s="1351">
        <f t="shared" si="22"/>
        <v>0</v>
      </c>
      <c r="AA246" s="326">
        <f t="shared" si="23"/>
        <v>0</v>
      </c>
      <c r="AB246" s="326">
        <f t="shared" si="24"/>
        <v>448671</v>
      </c>
      <c r="AC246" s="326">
        <f t="shared" si="25"/>
        <v>0</v>
      </c>
      <c r="AD246" s="326">
        <f t="shared" si="26"/>
        <v>0</v>
      </c>
      <c r="AE246" s="326">
        <f t="shared" si="27"/>
        <v>448671</v>
      </c>
      <c r="AF246" s="355" t="s">
        <v>833</v>
      </c>
      <c r="AG246" s="838"/>
      <c r="AH246" s="744"/>
      <c r="AI246" s="292"/>
      <c r="AK246" s="300"/>
      <c r="AS246" s="452"/>
    </row>
    <row r="247" spans="1:45" s="299" customFormat="1" ht="41.4">
      <c r="A247" s="353">
        <v>305</v>
      </c>
      <c r="B247" s="352">
        <v>100</v>
      </c>
      <c r="C247" s="352">
        <v>650</v>
      </c>
      <c r="D247" s="357">
        <v>300</v>
      </c>
      <c r="E247" s="357"/>
      <c r="F247" s="352"/>
      <c r="G247" s="342" t="s">
        <v>834</v>
      </c>
      <c r="H247" s="329"/>
      <c r="I247" s="326"/>
      <c r="J247" s="358"/>
      <c r="K247" s="358"/>
      <c r="L247" s="358"/>
      <c r="M247" s="358"/>
      <c r="N247" s="327"/>
      <c r="O247" s="328"/>
      <c r="P247" s="326">
        <v>0</v>
      </c>
      <c r="Q247" s="327"/>
      <c r="R247" s="328"/>
      <c r="S247" s="326"/>
      <c r="T247" s="326"/>
      <c r="U247" s="326">
        <v>0</v>
      </c>
      <c r="V247" s="326"/>
      <c r="W247" s="326"/>
      <c r="X247" s="326"/>
      <c r="Y247" s="1350">
        <f t="shared" si="21"/>
        <v>0</v>
      </c>
      <c r="Z247" s="1351">
        <f t="shared" si="22"/>
        <v>0</v>
      </c>
      <c r="AA247" s="326">
        <f t="shared" si="23"/>
        <v>0</v>
      </c>
      <c r="AB247" s="326">
        <f t="shared" si="24"/>
        <v>0</v>
      </c>
      <c r="AC247" s="326">
        <f t="shared" si="25"/>
        <v>0</v>
      </c>
      <c r="AD247" s="326">
        <f t="shared" si="26"/>
        <v>0</v>
      </c>
      <c r="AE247" s="326">
        <f t="shared" si="27"/>
        <v>0</v>
      </c>
      <c r="AF247" s="355" t="s">
        <v>835</v>
      </c>
      <c r="AG247" s="838"/>
      <c r="AH247" s="744"/>
      <c r="AI247" s="292"/>
      <c r="AK247" s="300"/>
      <c r="AS247" s="452"/>
    </row>
    <row r="248" spans="1:45" s="299" customFormat="1" ht="55.2">
      <c r="A248" s="353">
        <v>305</v>
      </c>
      <c r="B248" s="352">
        <v>100</v>
      </c>
      <c r="C248" s="352">
        <v>650</v>
      </c>
      <c r="D248" s="352">
        <v>400</v>
      </c>
      <c r="E248" s="352"/>
      <c r="F248" s="352"/>
      <c r="G248" s="323" t="s">
        <v>836</v>
      </c>
      <c r="H248" s="334"/>
      <c r="I248" s="331"/>
      <c r="J248" s="359"/>
      <c r="K248" s="359"/>
      <c r="L248" s="359"/>
      <c r="M248" s="359"/>
      <c r="N248" s="332"/>
      <c r="O248" s="333"/>
      <c r="P248" s="331">
        <v>0</v>
      </c>
      <c r="Q248" s="332"/>
      <c r="R248" s="333"/>
      <c r="S248" s="331"/>
      <c r="T248" s="331"/>
      <c r="U248" s="331">
        <v>0</v>
      </c>
      <c r="V248" s="331"/>
      <c r="W248" s="331"/>
      <c r="X248" s="331"/>
      <c r="Y248" s="1352">
        <f t="shared" si="21"/>
        <v>0</v>
      </c>
      <c r="Z248" s="1353">
        <f t="shared" si="22"/>
        <v>0</v>
      </c>
      <c r="AA248" s="331">
        <f t="shared" si="23"/>
        <v>0</v>
      </c>
      <c r="AB248" s="331">
        <f t="shared" si="24"/>
        <v>0</v>
      </c>
      <c r="AC248" s="331">
        <f t="shared" si="25"/>
        <v>0</v>
      </c>
      <c r="AD248" s="331">
        <f t="shared" si="26"/>
        <v>0</v>
      </c>
      <c r="AE248" s="331">
        <f t="shared" si="27"/>
        <v>0</v>
      </c>
      <c r="AF248" s="355" t="s">
        <v>837</v>
      </c>
      <c r="AG248" s="838"/>
      <c r="AH248" s="744"/>
      <c r="AI248" s="292"/>
      <c r="AK248" s="300"/>
      <c r="AS248" s="452"/>
    </row>
    <row r="249" spans="1:45" s="299" customFormat="1" ht="41.4">
      <c r="A249" s="353">
        <v>305</v>
      </c>
      <c r="B249" s="352">
        <v>100</v>
      </c>
      <c r="C249" s="352">
        <v>650</v>
      </c>
      <c r="D249" s="352">
        <v>400</v>
      </c>
      <c r="E249" s="357">
        <v>10</v>
      </c>
      <c r="F249" s="317"/>
      <c r="G249" s="342" t="s">
        <v>838</v>
      </c>
      <c r="H249" s="329"/>
      <c r="I249" s="326"/>
      <c r="J249" s="358"/>
      <c r="K249" s="358"/>
      <c r="L249" s="358"/>
      <c r="M249" s="358"/>
      <c r="N249" s="327"/>
      <c r="O249" s="328"/>
      <c r="P249" s="326">
        <v>0</v>
      </c>
      <c r="Q249" s="327"/>
      <c r="R249" s="328">
        <f>43570.08+80528.74</f>
        <v>124098.82</v>
      </c>
      <c r="S249" s="326"/>
      <c r="T249" s="326"/>
      <c r="U249" s="326">
        <f>915+102323</f>
        <v>103238</v>
      </c>
      <c r="V249" s="326"/>
      <c r="W249" s="326"/>
      <c r="X249" s="326">
        <v>915</v>
      </c>
      <c r="Y249" s="1350">
        <f t="shared" si="21"/>
        <v>124098.82</v>
      </c>
      <c r="Z249" s="1351">
        <f t="shared" si="22"/>
        <v>0</v>
      </c>
      <c r="AA249" s="326">
        <f t="shared" si="23"/>
        <v>0</v>
      </c>
      <c r="AB249" s="326">
        <f t="shared" si="24"/>
        <v>103238</v>
      </c>
      <c r="AC249" s="326">
        <f t="shared" si="25"/>
        <v>0</v>
      </c>
      <c r="AD249" s="326">
        <f t="shared" si="26"/>
        <v>0</v>
      </c>
      <c r="AE249" s="326">
        <f t="shared" si="27"/>
        <v>915</v>
      </c>
      <c r="AF249" s="355"/>
      <c r="AG249" s="838"/>
      <c r="AH249" s="744"/>
      <c r="AI249" s="292"/>
      <c r="AK249" s="300"/>
      <c r="AS249" s="452"/>
    </row>
    <row r="250" spans="1:45" s="299" customFormat="1" ht="41.4">
      <c r="A250" s="353">
        <v>305</v>
      </c>
      <c r="B250" s="352">
        <v>100</v>
      </c>
      <c r="C250" s="352">
        <v>650</v>
      </c>
      <c r="D250" s="352">
        <v>400</v>
      </c>
      <c r="E250" s="357">
        <v>20</v>
      </c>
      <c r="F250" s="317"/>
      <c r="G250" s="342" t="s">
        <v>839</v>
      </c>
      <c r="H250" s="329"/>
      <c r="I250" s="326"/>
      <c r="J250" s="358"/>
      <c r="K250" s="358"/>
      <c r="L250" s="358"/>
      <c r="M250" s="358"/>
      <c r="N250" s="327"/>
      <c r="O250" s="328"/>
      <c r="P250" s="326">
        <v>0</v>
      </c>
      <c r="Q250" s="327"/>
      <c r="R250" s="328"/>
      <c r="S250" s="326"/>
      <c r="T250" s="326"/>
      <c r="U250" s="326">
        <v>43977</v>
      </c>
      <c r="V250" s="326"/>
      <c r="W250" s="326"/>
      <c r="X250" s="326">
        <v>43977</v>
      </c>
      <c r="Y250" s="1350">
        <f t="shared" si="21"/>
        <v>0</v>
      </c>
      <c r="Z250" s="1351">
        <f t="shared" si="22"/>
        <v>0</v>
      </c>
      <c r="AA250" s="326">
        <f t="shared" si="23"/>
        <v>0</v>
      </c>
      <c r="AB250" s="326">
        <f t="shared" si="24"/>
        <v>43977</v>
      </c>
      <c r="AC250" s="326">
        <f t="shared" si="25"/>
        <v>0</v>
      </c>
      <c r="AD250" s="326">
        <f t="shared" si="26"/>
        <v>0</v>
      </c>
      <c r="AE250" s="326">
        <f t="shared" si="27"/>
        <v>43977</v>
      </c>
      <c r="AF250" s="355"/>
      <c r="AG250" s="838"/>
      <c r="AH250" s="744"/>
      <c r="AI250" s="292"/>
      <c r="AK250" s="300"/>
      <c r="AS250" s="452"/>
    </row>
    <row r="251" spans="1:45" s="299" customFormat="1" ht="41.4">
      <c r="A251" s="353">
        <v>305</v>
      </c>
      <c r="B251" s="352">
        <v>100</v>
      </c>
      <c r="C251" s="352">
        <v>650</v>
      </c>
      <c r="D251" s="352">
        <v>400</v>
      </c>
      <c r="E251" s="357">
        <v>30</v>
      </c>
      <c r="F251" s="317"/>
      <c r="G251" s="342" t="s">
        <v>840</v>
      </c>
      <c r="H251" s="329"/>
      <c r="I251" s="326"/>
      <c r="J251" s="358"/>
      <c r="K251" s="358"/>
      <c r="L251" s="358"/>
      <c r="M251" s="358"/>
      <c r="N251" s="327"/>
      <c r="O251" s="328"/>
      <c r="P251" s="326">
        <v>0</v>
      </c>
      <c r="Q251" s="327"/>
      <c r="R251" s="328"/>
      <c r="S251" s="326"/>
      <c r="T251" s="326"/>
      <c r="U251" s="326">
        <f>38733+700</f>
        <v>39433</v>
      </c>
      <c r="V251" s="326"/>
      <c r="W251" s="326"/>
      <c r="X251" s="326">
        <v>38733</v>
      </c>
      <c r="Y251" s="1350">
        <f t="shared" si="21"/>
        <v>0</v>
      </c>
      <c r="Z251" s="1351">
        <f t="shared" si="22"/>
        <v>0</v>
      </c>
      <c r="AA251" s="326">
        <f t="shared" si="23"/>
        <v>0</v>
      </c>
      <c r="AB251" s="326">
        <f t="shared" si="24"/>
        <v>39433</v>
      </c>
      <c r="AC251" s="326">
        <f t="shared" si="25"/>
        <v>0</v>
      </c>
      <c r="AD251" s="326">
        <f t="shared" si="26"/>
        <v>0</v>
      </c>
      <c r="AE251" s="326">
        <f t="shared" si="27"/>
        <v>38733</v>
      </c>
      <c r="AF251" s="355"/>
      <c r="AG251" s="838"/>
      <c r="AH251" s="744"/>
      <c r="AI251" s="292"/>
      <c r="AK251" s="300"/>
      <c r="AS251" s="452"/>
    </row>
    <row r="252" spans="1:45" s="299" customFormat="1" ht="41.4">
      <c r="A252" s="353">
        <v>305</v>
      </c>
      <c r="B252" s="352">
        <v>100</v>
      </c>
      <c r="C252" s="352">
        <v>650</v>
      </c>
      <c r="D252" s="352">
        <v>400</v>
      </c>
      <c r="E252" s="357">
        <v>90</v>
      </c>
      <c r="F252" s="317"/>
      <c r="G252" s="342" t="s">
        <v>841</v>
      </c>
      <c r="H252" s="329"/>
      <c r="I252" s="326"/>
      <c r="J252" s="358"/>
      <c r="K252" s="358"/>
      <c r="L252" s="358"/>
      <c r="M252" s="358"/>
      <c r="N252" s="327"/>
      <c r="O252" s="328"/>
      <c r="P252" s="326">
        <v>0</v>
      </c>
      <c r="Q252" s="327"/>
      <c r="R252" s="328"/>
      <c r="S252" s="326"/>
      <c r="T252" s="326"/>
      <c r="U252" s="326">
        <v>0</v>
      </c>
      <c r="V252" s="326"/>
      <c r="W252" s="326"/>
      <c r="X252" s="326"/>
      <c r="Y252" s="1350">
        <f t="shared" si="21"/>
        <v>0</v>
      </c>
      <c r="Z252" s="1351">
        <f t="shared" si="22"/>
        <v>0</v>
      </c>
      <c r="AA252" s="326">
        <f t="shared" si="23"/>
        <v>0</v>
      </c>
      <c r="AB252" s="326">
        <f t="shared" si="24"/>
        <v>0</v>
      </c>
      <c r="AC252" s="326">
        <f t="shared" si="25"/>
        <v>0</v>
      </c>
      <c r="AD252" s="326">
        <f t="shared" si="26"/>
        <v>0</v>
      </c>
      <c r="AE252" s="326">
        <f t="shared" si="27"/>
        <v>0</v>
      </c>
      <c r="AF252" s="355"/>
      <c r="AG252" s="838"/>
      <c r="AH252" s="744"/>
      <c r="AI252" s="292"/>
      <c r="AK252" s="300"/>
      <c r="AS252" s="452"/>
    </row>
    <row r="253" spans="1:45" s="299" customFormat="1" ht="82.8">
      <c r="A253" s="353">
        <v>305</v>
      </c>
      <c r="B253" s="352">
        <v>100</v>
      </c>
      <c r="C253" s="352">
        <v>650</v>
      </c>
      <c r="D253" s="352">
        <v>500</v>
      </c>
      <c r="E253" s="352"/>
      <c r="F253" s="352"/>
      <c r="G253" s="323" t="s">
        <v>842</v>
      </c>
      <c r="H253" s="334"/>
      <c r="I253" s="331"/>
      <c r="J253" s="359"/>
      <c r="K253" s="359"/>
      <c r="L253" s="359"/>
      <c r="M253" s="359"/>
      <c r="N253" s="332"/>
      <c r="O253" s="333"/>
      <c r="P253" s="331">
        <v>0</v>
      </c>
      <c r="Q253" s="332"/>
      <c r="R253" s="333"/>
      <c r="S253" s="331"/>
      <c r="T253" s="331"/>
      <c r="U253" s="331">
        <v>0</v>
      </c>
      <c r="V253" s="331"/>
      <c r="W253" s="331"/>
      <c r="X253" s="331"/>
      <c r="Y253" s="1352">
        <f t="shared" si="21"/>
        <v>0</v>
      </c>
      <c r="Z253" s="1353">
        <f t="shared" si="22"/>
        <v>0</v>
      </c>
      <c r="AA253" s="331">
        <f t="shared" si="23"/>
        <v>0</v>
      </c>
      <c r="AB253" s="331">
        <f t="shared" si="24"/>
        <v>0</v>
      </c>
      <c r="AC253" s="331">
        <f t="shared" si="25"/>
        <v>0</v>
      </c>
      <c r="AD253" s="331">
        <f t="shared" si="26"/>
        <v>0</v>
      </c>
      <c r="AE253" s="331">
        <f t="shared" si="27"/>
        <v>0</v>
      </c>
      <c r="AF253" s="355" t="s">
        <v>843</v>
      </c>
      <c r="AG253" s="838"/>
      <c r="AH253" s="744"/>
      <c r="AI253" s="292"/>
      <c r="AK253" s="300"/>
      <c r="AS253" s="452"/>
    </row>
    <row r="254" spans="1:45" s="299" customFormat="1" ht="41.4">
      <c r="A254" s="353">
        <v>305</v>
      </c>
      <c r="B254" s="352">
        <v>100</v>
      </c>
      <c r="C254" s="352">
        <v>650</v>
      </c>
      <c r="D254" s="352">
        <v>500</v>
      </c>
      <c r="E254" s="357">
        <v>10</v>
      </c>
      <c r="F254" s="357"/>
      <c r="G254" s="342" t="s">
        <v>838</v>
      </c>
      <c r="H254" s="329"/>
      <c r="I254" s="326"/>
      <c r="J254" s="358"/>
      <c r="K254" s="358"/>
      <c r="L254" s="358"/>
      <c r="M254" s="358"/>
      <c r="N254" s="327"/>
      <c r="O254" s="328"/>
      <c r="P254" s="326">
        <v>0</v>
      </c>
      <c r="Q254" s="327"/>
      <c r="R254" s="328"/>
      <c r="S254" s="326"/>
      <c r="T254" s="326"/>
      <c r="U254" s="326"/>
      <c r="V254" s="326"/>
      <c r="W254" s="326"/>
      <c r="X254" s="326">
        <v>102323</v>
      </c>
      <c r="Y254" s="1350">
        <f t="shared" si="21"/>
        <v>0</v>
      </c>
      <c r="Z254" s="1351">
        <f t="shared" si="22"/>
        <v>0</v>
      </c>
      <c r="AA254" s="326">
        <f t="shared" si="23"/>
        <v>0</v>
      </c>
      <c r="AB254" s="326">
        <f t="shared" si="24"/>
        <v>0</v>
      </c>
      <c r="AC254" s="326">
        <f t="shared" si="25"/>
        <v>0</v>
      </c>
      <c r="AD254" s="326">
        <f t="shared" si="26"/>
        <v>0</v>
      </c>
      <c r="AE254" s="326">
        <f t="shared" si="27"/>
        <v>102323</v>
      </c>
      <c r="AF254" s="424"/>
      <c r="AG254" s="838"/>
      <c r="AH254" s="744"/>
      <c r="AI254" s="292"/>
      <c r="AK254" s="300"/>
      <c r="AS254" s="452"/>
    </row>
    <row r="255" spans="1:45" s="299" customFormat="1" ht="41.4">
      <c r="A255" s="353">
        <v>305</v>
      </c>
      <c r="B255" s="352">
        <v>100</v>
      </c>
      <c r="C255" s="352">
        <v>650</v>
      </c>
      <c r="D255" s="352">
        <v>500</v>
      </c>
      <c r="E255" s="357">
        <v>20</v>
      </c>
      <c r="F255" s="357"/>
      <c r="G255" s="342" t="s">
        <v>839</v>
      </c>
      <c r="H255" s="329"/>
      <c r="I255" s="326"/>
      <c r="J255" s="358"/>
      <c r="K255" s="358"/>
      <c r="L255" s="358"/>
      <c r="M255" s="358"/>
      <c r="N255" s="327"/>
      <c r="O255" s="328"/>
      <c r="P255" s="326">
        <v>0</v>
      </c>
      <c r="Q255" s="327"/>
      <c r="R255" s="328"/>
      <c r="S255" s="326"/>
      <c r="T255" s="326"/>
      <c r="U255" s="326">
        <v>0</v>
      </c>
      <c r="V255" s="326"/>
      <c r="W255" s="326"/>
      <c r="X255" s="326">
        <v>0</v>
      </c>
      <c r="Y255" s="1350">
        <f t="shared" si="21"/>
        <v>0</v>
      </c>
      <c r="Z255" s="1351">
        <f t="shared" si="22"/>
        <v>0</v>
      </c>
      <c r="AA255" s="326">
        <f t="shared" si="23"/>
        <v>0</v>
      </c>
      <c r="AB255" s="326">
        <f t="shared" si="24"/>
        <v>0</v>
      </c>
      <c r="AC255" s="326">
        <f t="shared" si="25"/>
        <v>0</v>
      </c>
      <c r="AD255" s="326">
        <f t="shared" si="26"/>
        <v>0</v>
      </c>
      <c r="AE255" s="326">
        <f t="shared" si="27"/>
        <v>0</v>
      </c>
      <c r="AF255" s="424"/>
      <c r="AG255" s="838"/>
      <c r="AH255" s="744"/>
      <c r="AI255" s="292"/>
      <c r="AK255" s="300"/>
      <c r="AS255" s="452"/>
    </row>
    <row r="256" spans="1:45" s="299" customFormat="1" ht="41.4">
      <c r="A256" s="353">
        <v>305</v>
      </c>
      <c r="B256" s="352">
        <v>100</v>
      </c>
      <c r="C256" s="352">
        <v>650</v>
      </c>
      <c r="D256" s="352">
        <v>500</v>
      </c>
      <c r="E256" s="357">
        <v>30</v>
      </c>
      <c r="F256" s="357"/>
      <c r="G256" s="342" t="s">
        <v>840</v>
      </c>
      <c r="H256" s="329"/>
      <c r="I256" s="326"/>
      <c r="J256" s="358"/>
      <c r="K256" s="358"/>
      <c r="L256" s="358"/>
      <c r="M256" s="358"/>
      <c r="N256" s="327"/>
      <c r="O256" s="328"/>
      <c r="P256" s="326">
        <v>0</v>
      </c>
      <c r="Q256" s="327"/>
      <c r="R256" s="328"/>
      <c r="S256" s="326"/>
      <c r="T256" s="326"/>
      <c r="U256" s="326"/>
      <c r="V256" s="326"/>
      <c r="W256" s="326"/>
      <c r="X256" s="326">
        <v>700</v>
      </c>
      <c r="Y256" s="1350">
        <f t="shared" si="21"/>
        <v>0</v>
      </c>
      <c r="Z256" s="1351">
        <f t="shared" si="22"/>
        <v>0</v>
      </c>
      <c r="AA256" s="326">
        <f t="shared" si="23"/>
        <v>0</v>
      </c>
      <c r="AB256" s="326">
        <f t="shared" si="24"/>
        <v>0</v>
      </c>
      <c r="AC256" s="326">
        <f t="shared" si="25"/>
        <v>0</v>
      </c>
      <c r="AD256" s="326">
        <f t="shared" si="26"/>
        <v>0</v>
      </c>
      <c r="AE256" s="326">
        <f t="shared" si="27"/>
        <v>700</v>
      </c>
      <c r="AF256" s="424"/>
      <c r="AG256" s="838"/>
      <c r="AH256" s="744"/>
      <c r="AI256" s="292"/>
      <c r="AK256" s="300"/>
      <c r="AS256" s="452"/>
    </row>
    <row r="257" spans="1:45" s="299" customFormat="1" ht="41.4">
      <c r="A257" s="353">
        <v>305</v>
      </c>
      <c r="B257" s="352">
        <v>100</v>
      </c>
      <c r="C257" s="352">
        <v>650</v>
      </c>
      <c r="D257" s="352">
        <v>500</v>
      </c>
      <c r="E257" s="357">
        <v>90</v>
      </c>
      <c r="F257" s="357"/>
      <c r="G257" s="342" t="s">
        <v>841</v>
      </c>
      <c r="H257" s="329"/>
      <c r="I257" s="326"/>
      <c r="J257" s="358"/>
      <c r="K257" s="358"/>
      <c r="L257" s="358"/>
      <c r="M257" s="358"/>
      <c r="N257" s="327"/>
      <c r="O257" s="328"/>
      <c r="P257" s="326">
        <v>0</v>
      </c>
      <c r="Q257" s="327"/>
      <c r="R257" s="328"/>
      <c r="S257" s="326"/>
      <c r="T257" s="326"/>
      <c r="U257" s="326"/>
      <c r="V257" s="326"/>
      <c r="W257" s="326"/>
      <c r="X257" s="326"/>
      <c r="Y257" s="1350">
        <f t="shared" si="21"/>
        <v>0</v>
      </c>
      <c r="Z257" s="1351">
        <f t="shared" si="22"/>
        <v>0</v>
      </c>
      <c r="AA257" s="326">
        <f t="shared" si="23"/>
        <v>0</v>
      </c>
      <c r="AB257" s="326">
        <f t="shared" si="24"/>
        <v>0</v>
      </c>
      <c r="AC257" s="326">
        <f t="shared" si="25"/>
        <v>0</v>
      </c>
      <c r="AD257" s="326">
        <f t="shared" si="26"/>
        <v>0</v>
      </c>
      <c r="AE257" s="326">
        <f t="shared" si="27"/>
        <v>0</v>
      </c>
      <c r="AF257" s="424"/>
      <c r="AG257" s="838"/>
      <c r="AH257" s="744"/>
      <c r="AI257" s="292"/>
      <c r="AK257" s="300"/>
      <c r="AS257" s="452"/>
    </row>
    <row r="258" spans="1:45" s="299" customFormat="1" ht="41.4">
      <c r="A258" s="353">
        <v>305</v>
      </c>
      <c r="B258" s="352">
        <v>100</v>
      </c>
      <c r="C258" s="352">
        <v>650</v>
      </c>
      <c r="D258" s="352">
        <v>600</v>
      </c>
      <c r="E258" s="352"/>
      <c r="F258" s="352"/>
      <c r="G258" s="323" t="s">
        <v>844</v>
      </c>
      <c r="H258" s="334"/>
      <c r="I258" s="331"/>
      <c r="J258" s="359"/>
      <c r="K258" s="359"/>
      <c r="L258" s="359"/>
      <c r="M258" s="359"/>
      <c r="N258" s="332"/>
      <c r="O258" s="333"/>
      <c r="P258" s="331">
        <v>0</v>
      </c>
      <c r="Q258" s="332"/>
      <c r="R258" s="333"/>
      <c r="S258" s="331"/>
      <c r="T258" s="331"/>
      <c r="U258" s="331"/>
      <c r="V258" s="331"/>
      <c r="W258" s="331"/>
      <c r="X258" s="331"/>
      <c r="Y258" s="1352">
        <f t="shared" si="21"/>
        <v>0</v>
      </c>
      <c r="Z258" s="1353">
        <f t="shared" si="22"/>
        <v>0</v>
      </c>
      <c r="AA258" s="331">
        <f t="shared" si="23"/>
        <v>0</v>
      </c>
      <c r="AB258" s="331">
        <f t="shared" si="24"/>
        <v>0</v>
      </c>
      <c r="AC258" s="331">
        <f t="shared" si="25"/>
        <v>0</v>
      </c>
      <c r="AD258" s="331">
        <f t="shared" si="26"/>
        <v>0</v>
      </c>
      <c r="AE258" s="331">
        <f t="shared" si="27"/>
        <v>0</v>
      </c>
      <c r="AF258" s="355" t="s">
        <v>845</v>
      </c>
      <c r="AG258" s="838"/>
      <c r="AH258" s="744"/>
      <c r="AI258" s="292"/>
      <c r="AK258" s="300"/>
      <c r="AS258" s="452"/>
    </row>
    <row r="259" spans="1:45" s="299" customFormat="1" ht="41.4">
      <c r="A259" s="353">
        <v>305</v>
      </c>
      <c r="B259" s="352">
        <v>100</v>
      </c>
      <c r="C259" s="352">
        <v>650</v>
      </c>
      <c r="D259" s="352">
        <v>600</v>
      </c>
      <c r="E259" s="357">
        <v>5</v>
      </c>
      <c r="F259" s="317"/>
      <c r="G259" s="342" t="s">
        <v>846</v>
      </c>
      <c r="H259" s="329"/>
      <c r="I259" s="326"/>
      <c r="J259" s="358"/>
      <c r="K259" s="358"/>
      <c r="L259" s="358"/>
      <c r="M259" s="358"/>
      <c r="N259" s="327"/>
      <c r="O259" s="328"/>
      <c r="P259" s="326">
        <v>0</v>
      </c>
      <c r="Q259" s="327"/>
      <c r="R259" s="329"/>
      <c r="S259" s="326"/>
      <c r="T259" s="326"/>
      <c r="U259" s="326"/>
      <c r="V259" s="326"/>
      <c r="W259" s="326"/>
      <c r="X259" s="326"/>
      <c r="Y259" s="1350">
        <f t="shared" si="21"/>
        <v>0</v>
      </c>
      <c r="Z259" s="1351">
        <f t="shared" si="22"/>
        <v>0</v>
      </c>
      <c r="AA259" s="326">
        <f t="shared" si="23"/>
        <v>0</v>
      </c>
      <c r="AB259" s="326">
        <f t="shared" si="24"/>
        <v>0</v>
      </c>
      <c r="AC259" s="326">
        <f t="shared" si="25"/>
        <v>0</v>
      </c>
      <c r="AD259" s="326">
        <f t="shared" si="26"/>
        <v>0</v>
      </c>
      <c r="AE259" s="326">
        <f t="shared" si="27"/>
        <v>0</v>
      </c>
      <c r="AF259" s="355"/>
      <c r="AG259" s="838"/>
      <c r="AH259" s="744"/>
      <c r="AI259" s="292"/>
      <c r="AK259" s="300"/>
      <c r="AS259" s="452"/>
    </row>
    <row r="260" spans="1:45" s="299" customFormat="1" ht="27.6">
      <c r="A260" s="353">
        <v>305</v>
      </c>
      <c r="B260" s="352">
        <v>100</v>
      </c>
      <c r="C260" s="352">
        <v>650</v>
      </c>
      <c r="D260" s="352">
        <v>600</v>
      </c>
      <c r="E260" s="357">
        <v>10</v>
      </c>
      <c r="F260" s="317"/>
      <c r="G260" s="342" t="s">
        <v>847</v>
      </c>
      <c r="H260" s="329"/>
      <c r="I260" s="326"/>
      <c r="J260" s="358"/>
      <c r="K260" s="358"/>
      <c r="L260" s="358"/>
      <c r="M260" s="358"/>
      <c r="N260" s="327"/>
      <c r="O260" s="328"/>
      <c r="P260" s="326">
        <v>0</v>
      </c>
      <c r="Q260" s="327"/>
      <c r="R260" s="329"/>
      <c r="S260" s="326"/>
      <c r="T260" s="326"/>
      <c r="U260" s="326"/>
      <c r="V260" s="326"/>
      <c r="W260" s="326"/>
      <c r="X260" s="326"/>
      <c r="Y260" s="1350">
        <f t="shared" si="21"/>
        <v>0</v>
      </c>
      <c r="Z260" s="1351">
        <f t="shared" si="22"/>
        <v>0</v>
      </c>
      <c r="AA260" s="326">
        <f t="shared" si="23"/>
        <v>0</v>
      </c>
      <c r="AB260" s="326">
        <f t="shared" si="24"/>
        <v>0</v>
      </c>
      <c r="AC260" s="326">
        <f t="shared" si="25"/>
        <v>0</v>
      </c>
      <c r="AD260" s="326">
        <f t="shared" si="26"/>
        <v>0</v>
      </c>
      <c r="AE260" s="326">
        <f t="shared" si="27"/>
        <v>0</v>
      </c>
      <c r="AF260" s="355"/>
      <c r="AG260" s="838"/>
      <c r="AH260" s="744"/>
      <c r="AI260" s="292"/>
      <c r="AK260" s="300"/>
      <c r="AS260" s="452"/>
    </row>
    <row r="261" spans="1:45" s="299" customFormat="1" ht="41.4">
      <c r="A261" s="353">
        <v>305</v>
      </c>
      <c r="B261" s="352">
        <v>100</v>
      </c>
      <c r="C261" s="352">
        <v>650</v>
      </c>
      <c r="D261" s="352">
        <v>600</v>
      </c>
      <c r="E261" s="357">
        <v>15</v>
      </c>
      <c r="F261" s="317"/>
      <c r="G261" s="342" t="s">
        <v>848</v>
      </c>
      <c r="H261" s="329"/>
      <c r="I261" s="326"/>
      <c r="J261" s="358"/>
      <c r="K261" s="358"/>
      <c r="L261" s="358"/>
      <c r="M261" s="358"/>
      <c r="N261" s="327"/>
      <c r="O261" s="328"/>
      <c r="P261" s="326">
        <v>0</v>
      </c>
      <c r="Q261" s="327"/>
      <c r="R261" s="329"/>
      <c r="S261" s="326"/>
      <c r="T261" s="326"/>
      <c r="U261" s="326"/>
      <c r="V261" s="326"/>
      <c r="W261" s="326"/>
      <c r="X261" s="326"/>
      <c r="Y261" s="1350">
        <f t="shared" si="21"/>
        <v>0</v>
      </c>
      <c r="Z261" s="1351">
        <f t="shared" si="22"/>
        <v>0</v>
      </c>
      <c r="AA261" s="326">
        <f t="shared" si="23"/>
        <v>0</v>
      </c>
      <c r="AB261" s="326">
        <f t="shared" si="24"/>
        <v>0</v>
      </c>
      <c r="AC261" s="326">
        <f t="shared" si="25"/>
        <v>0</v>
      </c>
      <c r="AD261" s="326">
        <f t="shared" si="26"/>
        <v>0</v>
      </c>
      <c r="AE261" s="326">
        <f t="shared" si="27"/>
        <v>0</v>
      </c>
      <c r="AF261" s="355"/>
      <c r="AG261" s="838"/>
      <c r="AH261" s="744"/>
      <c r="AI261" s="292"/>
      <c r="AK261" s="300"/>
      <c r="AS261" s="452"/>
    </row>
    <row r="262" spans="1:45" s="299" customFormat="1" ht="41.4">
      <c r="A262" s="353">
        <v>305</v>
      </c>
      <c r="B262" s="352">
        <v>100</v>
      </c>
      <c r="C262" s="352">
        <v>650</v>
      </c>
      <c r="D262" s="352">
        <v>600</v>
      </c>
      <c r="E262" s="357">
        <v>20</v>
      </c>
      <c r="F262" s="317"/>
      <c r="G262" s="342" t="s">
        <v>849</v>
      </c>
      <c r="H262" s="329"/>
      <c r="I262" s="326"/>
      <c r="J262" s="358"/>
      <c r="K262" s="358"/>
      <c r="L262" s="358"/>
      <c r="M262" s="358"/>
      <c r="N262" s="327"/>
      <c r="O262" s="328"/>
      <c r="P262" s="326">
        <v>0</v>
      </c>
      <c r="Q262" s="327"/>
      <c r="R262" s="329">
        <v>20239.04</v>
      </c>
      <c r="S262" s="326"/>
      <c r="T262" s="326"/>
      <c r="U262" s="326"/>
      <c r="V262" s="326"/>
      <c r="W262" s="326"/>
      <c r="X262" s="326"/>
      <c r="Y262" s="1350">
        <f t="shared" si="21"/>
        <v>20239.04</v>
      </c>
      <c r="Z262" s="1351">
        <f t="shared" si="22"/>
        <v>0</v>
      </c>
      <c r="AA262" s="326">
        <f t="shared" si="23"/>
        <v>0</v>
      </c>
      <c r="AB262" s="326">
        <f t="shared" si="24"/>
        <v>0</v>
      </c>
      <c r="AC262" s="326">
        <f t="shared" si="25"/>
        <v>0</v>
      </c>
      <c r="AD262" s="326">
        <f t="shared" si="26"/>
        <v>0</v>
      </c>
      <c r="AE262" s="326">
        <f t="shared" si="27"/>
        <v>0</v>
      </c>
      <c r="AF262" s="355"/>
      <c r="AG262" s="838"/>
      <c r="AH262" s="744"/>
      <c r="AI262" s="292"/>
      <c r="AK262" s="300"/>
      <c r="AS262" s="452"/>
    </row>
    <row r="263" spans="1:45" s="299" customFormat="1" ht="41.4">
      <c r="A263" s="353">
        <v>305</v>
      </c>
      <c r="B263" s="352">
        <v>100</v>
      </c>
      <c r="C263" s="352">
        <v>650</v>
      </c>
      <c r="D263" s="352">
        <v>600</v>
      </c>
      <c r="E263" s="357">
        <v>25</v>
      </c>
      <c r="F263" s="317"/>
      <c r="G263" s="342" t="s">
        <v>850</v>
      </c>
      <c r="H263" s="329"/>
      <c r="I263" s="326"/>
      <c r="J263" s="358"/>
      <c r="K263" s="358"/>
      <c r="L263" s="358"/>
      <c r="M263" s="358"/>
      <c r="N263" s="327"/>
      <c r="O263" s="328"/>
      <c r="P263" s="326">
        <v>0</v>
      </c>
      <c r="Q263" s="327"/>
      <c r="R263" s="329"/>
      <c r="S263" s="326"/>
      <c r="T263" s="326"/>
      <c r="U263" s="326"/>
      <c r="V263" s="326"/>
      <c r="W263" s="326"/>
      <c r="X263" s="326"/>
      <c r="Y263" s="1350">
        <f t="shared" ref="Y263:Y326" si="28">+H263+O263+R263</f>
        <v>0</v>
      </c>
      <c r="Z263" s="1351">
        <f t="shared" ref="Z263:Z326" si="29">+I263+S263</f>
        <v>0</v>
      </c>
      <c r="AA263" s="326">
        <f t="shared" ref="AA263:AA326" si="30">+J263+T263</f>
        <v>0</v>
      </c>
      <c r="AB263" s="326">
        <f t="shared" ref="AB263:AB326" si="31">+K263+P263+U263</f>
        <v>0</v>
      </c>
      <c r="AC263" s="326">
        <f t="shared" ref="AC263:AC326" si="32">+L263+V263</f>
        <v>0</v>
      </c>
      <c r="AD263" s="326">
        <f t="shared" ref="AD263:AD326" si="33">+M263+W263</f>
        <v>0</v>
      </c>
      <c r="AE263" s="326">
        <f t="shared" ref="AE263:AE326" si="34">+N263+X263+Q263</f>
        <v>0</v>
      </c>
      <c r="AF263" s="355"/>
      <c r="AG263" s="838"/>
      <c r="AH263" s="744"/>
      <c r="AI263" s="292"/>
      <c r="AK263" s="300"/>
      <c r="AS263" s="452"/>
    </row>
    <row r="264" spans="1:45" s="299" customFormat="1" ht="27.6">
      <c r="A264" s="353">
        <v>305</v>
      </c>
      <c r="B264" s="352">
        <v>100</v>
      </c>
      <c r="C264" s="352">
        <v>650</v>
      </c>
      <c r="D264" s="352">
        <v>600</v>
      </c>
      <c r="E264" s="357">
        <v>30</v>
      </c>
      <c r="F264" s="317"/>
      <c r="G264" s="342" t="s">
        <v>851</v>
      </c>
      <c r="H264" s="329"/>
      <c r="I264" s="326"/>
      <c r="J264" s="358"/>
      <c r="K264" s="358"/>
      <c r="L264" s="358"/>
      <c r="M264" s="358"/>
      <c r="N264" s="327"/>
      <c r="O264" s="328"/>
      <c r="P264" s="326">
        <v>0</v>
      </c>
      <c r="Q264" s="327"/>
      <c r="R264" s="329"/>
      <c r="S264" s="326"/>
      <c r="T264" s="326"/>
      <c r="U264" s="326"/>
      <c r="V264" s="326"/>
      <c r="W264" s="326"/>
      <c r="X264" s="326"/>
      <c r="Y264" s="1350">
        <f t="shared" si="28"/>
        <v>0</v>
      </c>
      <c r="Z264" s="1351">
        <f t="shared" si="29"/>
        <v>0</v>
      </c>
      <c r="AA264" s="326">
        <f t="shared" si="30"/>
        <v>0</v>
      </c>
      <c r="AB264" s="326">
        <f t="shared" si="31"/>
        <v>0</v>
      </c>
      <c r="AC264" s="326">
        <f t="shared" si="32"/>
        <v>0</v>
      </c>
      <c r="AD264" s="326">
        <f t="shared" si="33"/>
        <v>0</v>
      </c>
      <c r="AE264" s="326">
        <f t="shared" si="34"/>
        <v>0</v>
      </c>
      <c r="AF264" s="355"/>
      <c r="AG264" s="838"/>
      <c r="AH264" s="744"/>
      <c r="AI264" s="292"/>
      <c r="AK264" s="300"/>
      <c r="AS264" s="452"/>
    </row>
    <row r="265" spans="1:45" s="299" customFormat="1" ht="41.4">
      <c r="A265" s="353">
        <v>305</v>
      </c>
      <c r="B265" s="352">
        <v>100</v>
      </c>
      <c r="C265" s="352">
        <v>650</v>
      </c>
      <c r="D265" s="352">
        <v>600</v>
      </c>
      <c r="E265" s="357">
        <v>35</v>
      </c>
      <c r="F265" s="317"/>
      <c r="G265" s="342" t="s">
        <v>852</v>
      </c>
      <c r="H265" s="329"/>
      <c r="I265" s="326"/>
      <c r="J265" s="358"/>
      <c r="K265" s="358"/>
      <c r="L265" s="358"/>
      <c r="M265" s="358"/>
      <c r="N265" s="327"/>
      <c r="O265" s="328"/>
      <c r="P265" s="326">
        <v>0</v>
      </c>
      <c r="Q265" s="327"/>
      <c r="R265" s="329"/>
      <c r="S265" s="326"/>
      <c r="T265" s="326"/>
      <c r="U265" s="326"/>
      <c r="V265" s="326"/>
      <c r="W265" s="326"/>
      <c r="X265" s="326"/>
      <c r="Y265" s="1350">
        <f t="shared" si="28"/>
        <v>0</v>
      </c>
      <c r="Z265" s="1351">
        <f t="shared" si="29"/>
        <v>0</v>
      </c>
      <c r="AA265" s="326">
        <f t="shared" si="30"/>
        <v>0</v>
      </c>
      <c r="AB265" s="326">
        <f t="shared" si="31"/>
        <v>0</v>
      </c>
      <c r="AC265" s="326">
        <f t="shared" si="32"/>
        <v>0</v>
      </c>
      <c r="AD265" s="326">
        <f t="shared" si="33"/>
        <v>0</v>
      </c>
      <c r="AE265" s="326">
        <f t="shared" si="34"/>
        <v>0</v>
      </c>
      <c r="AF265" s="355"/>
      <c r="AG265" s="838"/>
      <c r="AH265" s="744"/>
      <c r="AI265" s="292"/>
      <c r="AK265" s="300"/>
      <c r="AS265" s="452"/>
    </row>
    <row r="266" spans="1:45" s="299" customFormat="1" ht="27.6">
      <c r="A266" s="353">
        <v>305</v>
      </c>
      <c r="B266" s="352">
        <v>100</v>
      </c>
      <c r="C266" s="352">
        <v>650</v>
      </c>
      <c r="D266" s="352">
        <v>600</v>
      </c>
      <c r="E266" s="357">
        <v>40</v>
      </c>
      <c r="F266" s="317"/>
      <c r="G266" s="342" t="s">
        <v>853</v>
      </c>
      <c r="H266" s="329"/>
      <c r="I266" s="326"/>
      <c r="J266" s="358"/>
      <c r="K266" s="358"/>
      <c r="L266" s="358"/>
      <c r="M266" s="358"/>
      <c r="N266" s="327"/>
      <c r="O266" s="328"/>
      <c r="P266" s="326">
        <v>0</v>
      </c>
      <c r="Q266" s="327"/>
      <c r="R266" s="329">
        <v>21194.66</v>
      </c>
      <c r="S266" s="326"/>
      <c r="T266" s="326"/>
      <c r="U266" s="326">
        <v>19875</v>
      </c>
      <c r="V266" s="326"/>
      <c r="W266" s="326"/>
      <c r="X266" s="326">
        <v>19875</v>
      </c>
      <c r="Y266" s="1350">
        <f t="shared" si="28"/>
        <v>21194.66</v>
      </c>
      <c r="Z266" s="1351">
        <f t="shared" si="29"/>
        <v>0</v>
      </c>
      <c r="AA266" s="326">
        <f t="shared" si="30"/>
        <v>0</v>
      </c>
      <c r="AB266" s="326">
        <f t="shared" si="31"/>
        <v>19875</v>
      </c>
      <c r="AC266" s="326">
        <f t="shared" si="32"/>
        <v>0</v>
      </c>
      <c r="AD266" s="326">
        <f t="shared" si="33"/>
        <v>0</v>
      </c>
      <c r="AE266" s="326">
        <f t="shared" si="34"/>
        <v>19875</v>
      </c>
      <c r="AF266" s="355"/>
      <c r="AG266" s="838"/>
      <c r="AH266" s="744"/>
      <c r="AI266" s="292"/>
      <c r="AK266" s="300"/>
      <c r="AS266" s="452"/>
    </row>
    <row r="267" spans="1:45" s="299" customFormat="1">
      <c r="A267" s="353">
        <v>305</v>
      </c>
      <c r="B267" s="352">
        <v>100</v>
      </c>
      <c r="C267" s="352">
        <v>650</v>
      </c>
      <c r="D267" s="352">
        <v>600</v>
      </c>
      <c r="E267" s="357">
        <v>45</v>
      </c>
      <c r="F267" s="317"/>
      <c r="G267" s="342" t="s">
        <v>854</v>
      </c>
      <c r="H267" s="329"/>
      <c r="I267" s="326"/>
      <c r="J267" s="358"/>
      <c r="K267" s="358"/>
      <c r="L267" s="358"/>
      <c r="M267" s="358"/>
      <c r="N267" s="327"/>
      <c r="O267" s="328"/>
      <c r="P267" s="326">
        <v>0</v>
      </c>
      <c r="Q267" s="327"/>
      <c r="R267" s="329">
        <v>30770.23</v>
      </c>
      <c r="S267" s="326"/>
      <c r="T267" s="326"/>
      <c r="U267" s="326">
        <v>37961</v>
      </c>
      <c r="V267" s="326"/>
      <c r="W267" s="326"/>
      <c r="X267" s="326">
        <v>37961</v>
      </c>
      <c r="Y267" s="1350">
        <f t="shared" si="28"/>
        <v>30770.23</v>
      </c>
      <c r="Z267" s="1351">
        <f t="shared" si="29"/>
        <v>0</v>
      </c>
      <c r="AA267" s="326">
        <f t="shared" si="30"/>
        <v>0</v>
      </c>
      <c r="AB267" s="326">
        <f t="shared" si="31"/>
        <v>37961</v>
      </c>
      <c r="AC267" s="326">
        <f t="shared" si="32"/>
        <v>0</v>
      </c>
      <c r="AD267" s="326">
        <f t="shared" si="33"/>
        <v>0</v>
      </c>
      <c r="AE267" s="326">
        <f t="shared" si="34"/>
        <v>37961</v>
      </c>
      <c r="AF267" s="355"/>
      <c r="AG267" s="838"/>
      <c r="AH267" s="744"/>
      <c r="AI267" s="292"/>
      <c r="AK267" s="300"/>
      <c r="AS267" s="452"/>
    </row>
    <row r="268" spans="1:45" s="299" customFormat="1" ht="41.4">
      <c r="A268" s="353">
        <v>305</v>
      </c>
      <c r="B268" s="352">
        <v>100</v>
      </c>
      <c r="C268" s="352">
        <v>650</v>
      </c>
      <c r="D268" s="352">
        <v>600</v>
      </c>
      <c r="E268" s="357">
        <v>50</v>
      </c>
      <c r="F268" s="317"/>
      <c r="G268" s="342" t="s">
        <v>844</v>
      </c>
      <c r="H268" s="329"/>
      <c r="I268" s="326"/>
      <c r="J268" s="358"/>
      <c r="K268" s="358"/>
      <c r="L268" s="358"/>
      <c r="M268" s="358"/>
      <c r="N268" s="327"/>
      <c r="O268" s="328"/>
      <c r="P268" s="326">
        <v>0</v>
      </c>
      <c r="Q268" s="327"/>
      <c r="R268" s="329"/>
      <c r="S268" s="326"/>
      <c r="T268" s="326"/>
      <c r="U268" s="326"/>
      <c r="V268" s="326"/>
      <c r="W268" s="326"/>
      <c r="X268" s="326"/>
      <c r="Y268" s="1350">
        <f t="shared" si="28"/>
        <v>0</v>
      </c>
      <c r="Z268" s="1351">
        <f t="shared" si="29"/>
        <v>0</v>
      </c>
      <c r="AA268" s="326">
        <f t="shared" si="30"/>
        <v>0</v>
      </c>
      <c r="AB268" s="326">
        <f t="shared" si="31"/>
        <v>0</v>
      </c>
      <c r="AC268" s="326">
        <f t="shared" si="32"/>
        <v>0</v>
      </c>
      <c r="AD268" s="326">
        <f t="shared" si="33"/>
        <v>0</v>
      </c>
      <c r="AE268" s="326">
        <f t="shared" si="34"/>
        <v>0</v>
      </c>
      <c r="AF268" s="355"/>
      <c r="AG268" s="838"/>
      <c r="AH268" s="744"/>
      <c r="AI268" s="292"/>
      <c r="AK268" s="300"/>
      <c r="AS268" s="452"/>
    </row>
    <row r="269" spans="1:45" s="299" customFormat="1" ht="41.4">
      <c r="A269" s="353">
        <v>305</v>
      </c>
      <c r="B269" s="352">
        <v>100</v>
      </c>
      <c r="C269" s="352">
        <v>650</v>
      </c>
      <c r="D269" s="352">
        <v>600</v>
      </c>
      <c r="E269" s="357">
        <v>90</v>
      </c>
      <c r="F269" s="317"/>
      <c r="G269" s="342" t="s">
        <v>841</v>
      </c>
      <c r="H269" s="329"/>
      <c r="I269" s="326"/>
      <c r="J269" s="358"/>
      <c r="K269" s="358"/>
      <c r="L269" s="358"/>
      <c r="M269" s="358"/>
      <c r="N269" s="327"/>
      <c r="O269" s="328"/>
      <c r="P269" s="326">
        <v>0</v>
      </c>
      <c r="Q269" s="327"/>
      <c r="R269" s="329"/>
      <c r="S269" s="326"/>
      <c r="T269" s="326"/>
      <c r="U269" s="326"/>
      <c r="V269" s="326"/>
      <c r="W269" s="326"/>
      <c r="X269" s="326"/>
      <c r="Y269" s="1350">
        <f t="shared" si="28"/>
        <v>0</v>
      </c>
      <c r="Z269" s="1351">
        <f t="shared" si="29"/>
        <v>0</v>
      </c>
      <c r="AA269" s="326">
        <f t="shared" si="30"/>
        <v>0</v>
      </c>
      <c r="AB269" s="326">
        <f t="shared" si="31"/>
        <v>0</v>
      </c>
      <c r="AC269" s="326">
        <f t="shared" si="32"/>
        <v>0</v>
      </c>
      <c r="AD269" s="326">
        <f t="shared" si="33"/>
        <v>0</v>
      </c>
      <c r="AE269" s="326">
        <f t="shared" si="34"/>
        <v>0</v>
      </c>
      <c r="AF269" s="355"/>
      <c r="AG269" s="838"/>
      <c r="AH269" s="744"/>
      <c r="AI269" s="292"/>
      <c r="AK269" s="300"/>
      <c r="AS269" s="452"/>
    </row>
    <row r="270" spans="1:45" s="299" customFormat="1" ht="55.2">
      <c r="A270" s="353">
        <v>305</v>
      </c>
      <c r="B270" s="352">
        <v>100</v>
      </c>
      <c r="C270" s="352">
        <v>650</v>
      </c>
      <c r="D270" s="352">
        <v>700</v>
      </c>
      <c r="E270" s="352"/>
      <c r="F270" s="352"/>
      <c r="G270" s="323" t="s">
        <v>855</v>
      </c>
      <c r="H270" s="334"/>
      <c r="I270" s="331"/>
      <c r="J270" s="359"/>
      <c r="K270" s="359"/>
      <c r="L270" s="359"/>
      <c r="M270" s="359"/>
      <c r="N270" s="332"/>
      <c r="O270" s="333"/>
      <c r="P270" s="331">
        <v>0</v>
      </c>
      <c r="Q270" s="332"/>
      <c r="R270" s="334"/>
      <c r="S270" s="331"/>
      <c r="T270" s="331"/>
      <c r="U270" s="331"/>
      <c r="V270" s="331"/>
      <c r="W270" s="331"/>
      <c r="X270" s="331"/>
      <c r="Y270" s="1352">
        <f t="shared" si="28"/>
        <v>0</v>
      </c>
      <c r="Z270" s="1353">
        <f t="shared" si="29"/>
        <v>0</v>
      </c>
      <c r="AA270" s="331">
        <f t="shared" si="30"/>
        <v>0</v>
      </c>
      <c r="AB270" s="331">
        <f t="shared" si="31"/>
        <v>0</v>
      </c>
      <c r="AC270" s="331">
        <f t="shared" si="32"/>
        <v>0</v>
      </c>
      <c r="AD270" s="331">
        <f t="shared" si="33"/>
        <v>0</v>
      </c>
      <c r="AE270" s="331">
        <f t="shared" si="34"/>
        <v>0</v>
      </c>
      <c r="AF270" s="355" t="s">
        <v>856</v>
      </c>
      <c r="AG270" s="838"/>
      <c r="AH270" s="744"/>
      <c r="AI270" s="292"/>
      <c r="AK270" s="300"/>
      <c r="AS270" s="452"/>
    </row>
    <row r="271" spans="1:45" s="299" customFormat="1" ht="41.4">
      <c r="A271" s="353">
        <v>305</v>
      </c>
      <c r="B271" s="352">
        <v>100</v>
      </c>
      <c r="C271" s="352">
        <v>650</v>
      </c>
      <c r="D271" s="352">
        <v>700</v>
      </c>
      <c r="E271" s="357">
        <v>5</v>
      </c>
      <c r="F271" s="357"/>
      <c r="G271" s="342" t="s">
        <v>846</v>
      </c>
      <c r="H271" s="329"/>
      <c r="I271" s="326"/>
      <c r="J271" s="358"/>
      <c r="K271" s="358"/>
      <c r="L271" s="358"/>
      <c r="M271" s="358"/>
      <c r="N271" s="327"/>
      <c r="O271" s="328"/>
      <c r="P271" s="326">
        <v>0</v>
      </c>
      <c r="Q271" s="327"/>
      <c r="R271" s="329"/>
      <c r="S271" s="326"/>
      <c r="T271" s="326"/>
      <c r="U271" s="326"/>
      <c r="V271" s="326"/>
      <c r="W271" s="326"/>
      <c r="X271" s="326"/>
      <c r="Y271" s="1350">
        <f t="shared" si="28"/>
        <v>0</v>
      </c>
      <c r="Z271" s="1351">
        <f t="shared" si="29"/>
        <v>0</v>
      </c>
      <c r="AA271" s="326">
        <f t="shared" si="30"/>
        <v>0</v>
      </c>
      <c r="AB271" s="326">
        <f t="shared" si="31"/>
        <v>0</v>
      </c>
      <c r="AC271" s="326">
        <f t="shared" si="32"/>
        <v>0</v>
      </c>
      <c r="AD271" s="326">
        <f t="shared" si="33"/>
        <v>0</v>
      </c>
      <c r="AE271" s="326">
        <f t="shared" si="34"/>
        <v>0</v>
      </c>
      <c r="AF271" s="424"/>
      <c r="AG271" s="838"/>
      <c r="AH271" s="744"/>
      <c r="AI271" s="292"/>
      <c r="AK271" s="300"/>
      <c r="AS271" s="452"/>
    </row>
    <row r="272" spans="1:45" s="299" customFormat="1" ht="27.6">
      <c r="A272" s="353">
        <v>305</v>
      </c>
      <c r="B272" s="352">
        <v>100</v>
      </c>
      <c r="C272" s="352">
        <v>650</v>
      </c>
      <c r="D272" s="352">
        <v>700</v>
      </c>
      <c r="E272" s="357">
        <v>10</v>
      </c>
      <c r="F272" s="357"/>
      <c r="G272" s="342" t="s">
        <v>847</v>
      </c>
      <c r="H272" s="329"/>
      <c r="I272" s="326"/>
      <c r="J272" s="358"/>
      <c r="K272" s="358"/>
      <c r="L272" s="358"/>
      <c r="M272" s="358"/>
      <c r="N272" s="327"/>
      <c r="O272" s="328"/>
      <c r="P272" s="326">
        <v>0</v>
      </c>
      <c r="Q272" s="327"/>
      <c r="R272" s="329"/>
      <c r="S272" s="326"/>
      <c r="T272" s="326"/>
      <c r="U272" s="326"/>
      <c r="V272" s="326"/>
      <c r="W272" s="326"/>
      <c r="X272" s="326"/>
      <c r="Y272" s="1350">
        <f t="shared" si="28"/>
        <v>0</v>
      </c>
      <c r="Z272" s="1351">
        <f t="shared" si="29"/>
        <v>0</v>
      </c>
      <c r="AA272" s="326">
        <f t="shared" si="30"/>
        <v>0</v>
      </c>
      <c r="AB272" s="326">
        <f t="shared" si="31"/>
        <v>0</v>
      </c>
      <c r="AC272" s="326">
        <f t="shared" si="32"/>
        <v>0</v>
      </c>
      <c r="AD272" s="326">
        <f t="shared" si="33"/>
        <v>0</v>
      </c>
      <c r="AE272" s="326">
        <f t="shared" si="34"/>
        <v>0</v>
      </c>
      <c r="AF272" s="424"/>
      <c r="AG272" s="838"/>
      <c r="AH272" s="744"/>
      <c r="AI272" s="292"/>
      <c r="AK272" s="300"/>
      <c r="AS272" s="452"/>
    </row>
    <row r="273" spans="1:45" s="299" customFormat="1" ht="41.4">
      <c r="A273" s="353">
        <v>305</v>
      </c>
      <c r="B273" s="352">
        <v>100</v>
      </c>
      <c r="C273" s="352">
        <v>650</v>
      </c>
      <c r="D273" s="352">
        <v>700</v>
      </c>
      <c r="E273" s="357">
        <v>15</v>
      </c>
      <c r="F273" s="357"/>
      <c r="G273" s="342" t="s">
        <v>848</v>
      </c>
      <c r="H273" s="329"/>
      <c r="I273" s="326"/>
      <c r="J273" s="358"/>
      <c r="K273" s="358"/>
      <c r="L273" s="358"/>
      <c r="M273" s="358"/>
      <c r="N273" s="327"/>
      <c r="O273" s="328"/>
      <c r="P273" s="326">
        <v>0</v>
      </c>
      <c r="Q273" s="327"/>
      <c r="R273" s="329"/>
      <c r="S273" s="326"/>
      <c r="T273" s="326"/>
      <c r="U273" s="326"/>
      <c r="V273" s="326"/>
      <c r="W273" s="326"/>
      <c r="X273" s="326"/>
      <c r="Y273" s="1350">
        <f t="shared" si="28"/>
        <v>0</v>
      </c>
      <c r="Z273" s="1351">
        <f t="shared" si="29"/>
        <v>0</v>
      </c>
      <c r="AA273" s="326">
        <f t="shared" si="30"/>
        <v>0</v>
      </c>
      <c r="AB273" s="326">
        <f t="shared" si="31"/>
        <v>0</v>
      </c>
      <c r="AC273" s="326">
        <f t="shared" si="32"/>
        <v>0</v>
      </c>
      <c r="AD273" s="326">
        <f t="shared" si="33"/>
        <v>0</v>
      </c>
      <c r="AE273" s="326">
        <f t="shared" si="34"/>
        <v>0</v>
      </c>
      <c r="AF273" s="424"/>
      <c r="AG273" s="838"/>
      <c r="AH273" s="744"/>
      <c r="AI273" s="292"/>
      <c r="AK273" s="300"/>
      <c r="AS273" s="452"/>
    </row>
    <row r="274" spans="1:45" s="299" customFormat="1" ht="41.4">
      <c r="A274" s="353">
        <v>305</v>
      </c>
      <c r="B274" s="352">
        <v>100</v>
      </c>
      <c r="C274" s="352">
        <v>650</v>
      </c>
      <c r="D274" s="352">
        <v>700</v>
      </c>
      <c r="E274" s="357">
        <v>20</v>
      </c>
      <c r="F274" s="357"/>
      <c r="G274" s="342" t="s">
        <v>849</v>
      </c>
      <c r="H274" s="329"/>
      <c r="I274" s="326"/>
      <c r="J274" s="358"/>
      <c r="K274" s="358"/>
      <c r="L274" s="358"/>
      <c r="M274" s="358"/>
      <c r="N274" s="327"/>
      <c r="O274" s="328"/>
      <c r="P274" s="326">
        <v>0</v>
      </c>
      <c r="Q274" s="327"/>
      <c r="R274" s="329"/>
      <c r="S274" s="326"/>
      <c r="T274" s="326"/>
      <c r="U274" s="326"/>
      <c r="V274" s="326"/>
      <c r="W274" s="326"/>
      <c r="X274" s="326"/>
      <c r="Y274" s="1350">
        <f t="shared" si="28"/>
        <v>0</v>
      </c>
      <c r="Z274" s="1351">
        <f t="shared" si="29"/>
        <v>0</v>
      </c>
      <c r="AA274" s="326">
        <f t="shared" si="30"/>
        <v>0</v>
      </c>
      <c r="AB274" s="326">
        <f t="shared" si="31"/>
        <v>0</v>
      </c>
      <c r="AC274" s="326">
        <f t="shared" si="32"/>
        <v>0</v>
      </c>
      <c r="AD274" s="326">
        <f t="shared" si="33"/>
        <v>0</v>
      </c>
      <c r="AE274" s="326">
        <f t="shared" si="34"/>
        <v>0</v>
      </c>
      <c r="AF274" s="424"/>
      <c r="AG274" s="838"/>
      <c r="AH274" s="744"/>
      <c r="AI274" s="292"/>
      <c r="AK274" s="300"/>
      <c r="AS274" s="452"/>
    </row>
    <row r="275" spans="1:45" s="299" customFormat="1" ht="41.4">
      <c r="A275" s="353">
        <v>305</v>
      </c>
      <c r="B275" s="352">
        <v>100</v>
      </c>
      <c r="C275" s="352">
        <v>650</v>
      </c>
      <c r="D275" s="352">
        <v>700</v>
      </c>
      <c r="E275" s="357">
        <v>25</v>
      </c>
      <c r="F275" s="357"/>
      <c r="G275" s="342" t="s">
        <v>850</v>
      </c>
      <c r="H275" s="329"/>
      <c r="I275" s="326"/>
      <c r="J275" s="358"/>
      <c r="K275" s="358"/>
      <c r="L275" s="358"/>
      <c r="M275" s="358"/>
      <c r="N275" s="327"/>
      <c r="O275" s="328"/>
      <c r="P275" s="326">
        <v>0</v>
      </c>
      <c r="Q275" s="327"/>
      <c r="R275" s="329"/>
      <c r="S275" s="326"/>
      <c r="T275" s="326"/>
      <c r="U275" s="326"/>
      <c r="V275" s="326"/>
      <c r="W275" s="326"/>
      <c r="X275" s="326"/>
      <c r="Y275" s="1350">
        <f t="shared" si="28"/>
        <v>0</v>
      </c>
      <c r="Z275" s="1351">
        <f t="shared" si="29"/>
        <v>0</v>
      </c>
      <c r="AA275" s="326">
        <f t="shared" si="30"/>
        <v>0</v>
      </c>
      <c r="AB275" s="326">
        <f t="shared" si="31"/>
        <v>0</v>
      </c>
      <c r="AC275" s="326">
        <f t="shared" si="32"/>
        <v>0</v>
      </c>
      <c r="AD275" s="326">
        <f t="shared" si="33"/>
        <v>0</v>
      </c>
      <c r="AE275" s="326">
        <f t="shared" si="34"/>
        <v>0</v>
      </c>
      <c r="AF275" s="424"/>
      <c r="AG275" s="838"/>
      <c r="AH275" s="744"/>
      <c r="AI275" s="292"/>
      <c r="AK275" s="300"/>
      <c r="AS275" s="452"/>
    </row>
    <row r="276" spans="1:45" s="299" customFormat="1" ht="27.6">
      <c r="A276" s="353">
        <v>305</v>
      </c>
      <c r="B276" s="352">
        <v>100</v>
      </c>
      <c r="C276" s="352">
        <v>650</v>
      </c>
      <c r="D276" s="352">
        <v>700</v>
      </c>
      <c r="E276" s="357">
        <v>30</v>
      </c>
      <c r="F276" s="357"/>
      <c r="G276" s="342" t="s">
        <v>851</v>
      </c>
      <c r="H276" s="329"/>
      <c r="I276" s="326"/>
      <c r="J276" s="358"/>
      <c r="K276" s="358"/>
      <c r="L276" s="358"/>
      <c r="M276" s="358"/>
      <c r="N276" s="327"/>
      <c r="O276" s="328"/>
      <c r="P276" s="326">
        <v>0</v>
      </c>
      <c r="Q276" s="327"/>
      <c r="R276" s="329"/>
      <c r="S276" s="326"/>
      <c r="T276" s="326"/>
      <c r="U276" s="326"/>
      <c r="V276" s="326"/>
      <c r="W276" s="326"/>
      <c r="X276" s="326"/>
      <c r="Y276" s="1350">
        <f t="shared" si="28"/>
        <v>0</v>
      </c>
      <c r="Z276" s="1351">
        <f t="shared" si="29"/>
        <v>0</v>
      </c>
      <c r="AA276" s="326">
        <f t="shared" si="30"/>
        <v>0</v>
      </c>
      <c r="AB276" s="326">
        <f t="shared" si="31"/>
        <v>0</v>
      </c>
      <c r="AC276" s="326">
        <f t="shared" si="32"/>
        <v>0</v>
      </c>
      <c r="AD276" s="326">
        <f t="shared" si="33"/>
        <v>0</v>
      </c>
      <c r="AE276" s="326">
        <f t="shared" si="34"/>
        <v>0</v>
      </c>
      <c r="AF276" s="424"/>
      <c r="AG276" s="838"/>
      <c r="AH276" s="744"/>
      <c r="AI276" s="292"/>
      <c r="AK276" s="300"/>
      <c r="AS276" s="452"/>
    </row>
    <row r="277" spans="1:45" s="299" customFormat="1" ht="41.4">
      <c r="A277" s="353">
        <v>305</v>
      </c>
      <c r="B277" s="352">
        <v>100</v>
      </c>
      <c r="C277" s="352">
        <v>650</v>
      </c>
      <c r="D277" s="352">
        <v>700</v>
      </c>
      <c r="E277" s="357">
        <v>35</v>
      </c>
      <c r="F277" s="357"/>
      <c r="G277" s="342" t="s">
        <v>852</v>
      </c>
      <c r="H277" s="329"/>
      <c r="I277" s="326"/>
      <c r="J277" s="358"/>
      <c r="K277" s="358"/>
      <c r="L277" s="358"/>
      <c r="M277" s="358"/>
      <c r="N277" s="327"/>
      <c r="O277" s="328"/>
      <c r="P277" s="326">
        <v>0</v>
      </c>
      <c r="Q277" s="327"/>
      <c r="R277" s="329"/>
      <c r="S277" s="326"/>
      <c r="T277" s="326"/>
      <c r="U277" s="326"/>
      <c r="V277" s="326"/>
      <c r="W277" s="326"/>
      <c r="X277" s="326"/>
      <c r="Y277" s="1350">
        <f t="shared" si="28"/>
        <v>0</v>
      </c>
      <c r="Z277" s="1351">
        <f t="shared" si="29"/>
        <v>0</v>
      </c>
      <c r="AA277" s="326">
        <f t="shared" si="30"/>
        <v>0</v>
      </c>
      <c r="AB277" s="326">
        <f t="shared" si="31"/>
        <v>0</v>
      </c>
      <c r="AC277" s="326">
        <f t="shared" si="32"/>
        <v>0</v>
      </c>
      <c r="AD277" s="326">
        <f t="shared" si="33"/>
        <v>0</v>
      </c>
      <c r="AE277" s="326">
        <f t="shared" si="34"/>
        <v>0</v>
      </c>
      <c r="AF277" s="424"/>
      <c r="AG277" s="838"/>
      <c r="AH277" s="744"/>
      <c r="AI277" s="292"/>
      <c r="AK277" s="300"/>
      <c r="AS277" s="452"/>
    </row>
    <row r="278" spans="1:45" s="299" customFormat="1" ht="41.4">
      <c r="A278" s="353">
        <v>305</v>
      </c>
      <c r="B278" s="352">
        <v>100</v>
      </c>
      <c r="C278" s="352">
        <v>650</v>
      </c>
      <c r="D278" s="352">
        <v>700</v>
      </c>
      <c r="E278" s="357">
        <v>40</v>
      </c>
      <c r="F278" s="357"/>
      <c r="G278" s="342" t="s">
        <v>844</v>
      </c>
      <c r="H278" s="329"/>
      <c r="I278" s="326"/>
      <c r="J278" s="358"/>
      <c r="K278" s="358"/>
      <c r="L278" s="358"/>
      <c r="M278" s="358"/>
      <c r="N278" s="327"/>
      <c r="O278" s="328"/>
      <c r="P278" s="326">
        <v>0</v>
      </c>
      <c r="Q278" s="327"/>
      <c r="R278" s="329"/>
      <c r="S278" s="326"/>
      <c r="T278" s="326"/>
      <c r="U278" s="326"/>
      <c r="V278" s="326"/>
      <c r="W278" s="326"/>
      <c r="X278" s="326"/>
      <c r="Y278" s="1350">
        <f t="shared" si="28"/>
        <v>0</v>
      </c>
      <c r="Z278" s="1351">
        <f t="shared" si="29"/>
        <v>0</v>
      </c>
      <c r="AA278" s="326">
        <f t="shared" si="30"/>
        <v>0</v>
      </c>
      <c r="AB278" s="326">
        <f t="shared" si="31"/>
        <v>0</v>
      </c>
      <c r="AC278" s="326">
        <f t="shared" si="32"/>
        <v>0</v>
      </c>
      <c r="AD278" s="326">
        <f t="shared" si="33"/>
        <v>0</v>
      </c>
      <c r="AE278" s="326">
        <f t="shared" si="34"/>
        <v>0</v>
      </c>
      <c r="AF278" s="424"/>
      <c r="AG278" s="838"/>
      <c r="AH278" s="744"/>
      <c r="AI278" s="292"/>
      <c r="AK278" s="300"/>
      <c r="AS278" s="452"/>
    </row>
    <row r="279" spans="1:45" s="299" customFormat="1" ht="41.4">
      <c r="A279" s="353">
        <v>305</v>
      </c>
      <c r="B279" s="352">
        <v>100</v>
      </c>
      <c r="C279" s="352">
        <v>650</v>
      </c>
      <c r="D279" s="352">
        <v>700</v>
      </c>
      <c r="E279" s="357">
        <v>90</v>
      </c>
      <c r="F279" s="357"/>
      <c r="G279" s="342" t="s">
        <v>841</v>
      </c>
      <c r="H279" s="329"/>
      <c r="I279" s="326"/>
      <c r="J279" s="358"/>
      <c r="K279" s="358"/>
      <c r="L279" s="358"/>
      <c r="M279" s="358"/>
      <c r="N279" s="327"/>
      <c r="O279" s="328"/>
      <c r="P279" s="326">
        <v>0</v>
      </c>
      <c r="Q279" s="327"/>
      <c r="R279" s="329"/>
      <c r="S279" s="326"/>
      <c r="T279" s="326"/>
      <c r="U279" s="326"/>
      <c r="V279" s="326"/>
      <c r="W279" s="326"/>
      <c r="X279" s="326"/>
      <c r="Y279" s="1350">
        <f t="shared" si="28"/>
        <v>0</v>
      </c>
      <c r="Z279" s="1351">
        <f t="shared" si="29"/>
        <v>0</v>
      </c>
      <c r="AA279" s="326">
        <f t="shared" si="30"/>
        <v>0</v>
      </c>
      <c r="AB279" s="326">
        <f t="shared" si="31"/>
        <v>0</v>
      </c>
      <c r="AC279" s="326">
        <f t="shared" si="32"/>
        <v>0</v>
      </c>
      <c r="AD279" s="326">
        <f t="shared" si="33"/>
        <v>0</v>
      </c>
      <c r="AE279" s="326">
        <f t="shared" si="34"/>
        <v>0</v>
      </c>
      <c r="AF279" s="424"/>
      <c r="AG279" s="838"/>
      <c r="AH279" s="744"/>
      <c r="AI279" s="292"/>
      <c r="AK279" s="300"/>
      <c r="AS279" s="452"/>
    </row>
    <row r="280" spans="1:45" s="299" customFormat="1" ht="27.6">
      <c r="A280" s="353">
        <v>305</v>
      </c>
      <c r="B280" s="352">
        <v>100</v>
      </c>
      <c r="C280" s="352">
        <v>700</v>
      </c>
      <c r="D280" s="352"/>
      <c r="E280" s="352"/>
      <c r="F280" s="352"/>
      <c r="G280" s="323" t="s">
        <v>857</v>
      </c>
      <c r="H280" s="334"/>
      <c r="I280" s="331"/>
      <c r="J280" s="359"/>
      <c r="K280" s="359"/>
      <c r="L280" s="359"/>
      <c r="M280" s="359"/>
      <c r="N280" s="332"/>
      <c r="O280" s="333"/>
      <c r="P280" s="331">
        <v>0</v>
      </c>
      <c r="Q280" s="332"/>
      <c r="R280" s="334"/>
      <c r="S280" s="331"/>
      <c r="T280" s="331"/>
      <c r="U280" s="331"/>
      <c r="V280" s="331"/>
      <c r="W280" s="331"/>
      <c r="X280" s="331"/>
      <c r="Y280" s="1352">
        <f t="shared" si="28"/>
        <v>0</v>
      </c>
      <c r="Z280" s="1353">
        <f t="shared" si="29"/>
        <v>0</v>
      </c>
      <c r="AA280" s="331">
        <f t="shared" si="30"/>
        <v>0</v>
      </c>
      <c r="AB280" s="331">
        <f t="shared" si="31"/>
        <v>0</v>
      </c>
      <c r="AC280" s="331">
        <f t="shared" si="32"/>
        <v>0</v>
      </c>
      <c r="AD280" s="331">
        <f t="shared" si="33"/>
        <v>0</v>
      </c>
      <c r="AE280" s="331">
        <f t="shared" si="34"/>
        <v>0</v>
      </c>
      <c r="AF280" s="355" t="s">
        <v>858</v>
      </c>
      <c r="AG280" s="838"/>
      <c r="AH280" s="744"/>
      <c r="AI280" s="292"/>
      <c r="AK280" s="300"/>
      <c r="AS280" s="452"/>
    </row>
    <row r="281" spans="1:45" s="299" customFormat="1" ht="27.6">
      <c r="A281" s="353">
        <v>305</v>
      </c>
      <c r="B281" s="352">
        <v>100</v>
      </c>
      <c r="C281" s="352">
        <v>700</v>
      </c>
      <c r="D281" s="357">
        <v>100</v>
      </c>
      <c r="E281" s="357"/>
      <c r="F281" s="352"/>
      <c r="G281" s="342" t="s">
        <v>859</v>
      </c>
      <c r="H281" s="329"/>
      <c r="I281" s="326"/>
      <c r="J281" s="358"/>
      <c r="K281" s="358"/>
      <c r="L281" s="358"/>
      <c r="M281" s="358"/>
      <c r="N281" s="327"/>
      <c r="O281" s="328"/>
      <c r="P281" s="326">
        <v>0</v>
      </c>
      <c r="Q281" s="327"/>
      <c r="R281" s="329"/>
      <c r="S281" s="326"/>
      <c r="T281" s="326"/>
      <c r="U281" s="326"/>
      <c r="V281" s="326"/>
      <c r="W281" s="326"/>
      <c r="X281" s="326"/>
      <c r="Y281" s="1350">
        <f t="shared" si="28"/>
        <v>0</v>
      </c>
      <c r="Z281" s="1351">
        <f t="shared" si="29"/>
        <v>0</v>
      </c>
      <c r="AA281" s="326">
        <f t="shared" si="30"/>
        <v>0</v>
      </c>
      <c r="AB281" s="326">
        <f t="shared" si="31"/>
        <v>0</v>
      </c>
      <c r="AC281" s="326">
        <f t="shared" si="32"/>
        <v>0</v>
      </c>
      <c r="AD281" s="326">
        <f t="shared" si="33"/>
        <v>0</v>
      </c>
      <c r="AE281" s="326">
        <f t="shared" si="34"/>
        <v>0</v>
      </c>
      <c r="AF281" s="355" t="s">
        <v>860</v>
      </c>
      <c r="AG281" s="838"/>
      <c r="AH281" s="744"/>
      <c r="AI281" s="292"/>
      <c r="AK281" s="300"/>
      <c r="AS281" s="452"/>
    </row>
    <row r="282" spans="1:45" s="299" customFormat="1">
      <c r="A282" s="353">
        <v>305</v>
      </c>
      <c r="B282" s="352">
        <v>100</v>
      </c>
      <c r="C282" s="352">
        <v>700</v>
      </c>
      <c r="D282" s="357">
        <v>200</v>
      </c>
      <c r="E282" s="357"/>
      <c r="F282" s="352"/>
      <c r="G282" s="342" t="s">
        <v>861</v>
      </c>
      <c r="H282" s="329"/>
      <c r="I282" s="326"/>
      <c r="J282" s="358"/>
      <c r="K282" s="358"/>
      <c r="L282" s="358"/>
      <c r="M282" s="358"/>
      <c r="N282" s="327"/>
      <c r="O282" s="328"/>
      <c r="P282" s="326">
        <v>0</v>
      </c>
      <c r="Q282" s="327"/>
      <c r="R282" s="329"/>
      <c r="S282" s="326"/>
      <c r="T282" s="326"/>
      <c r="U282" s="326"/>
      <c r="V282" s="326"/>
      <c r="W282" s="326"/>
      <c r="X282" s="326"/>
      <c r="Y282" s="1350">
        <f t="shared" si="28"/>
        <v>0</v>
      </c>
      <c r="Z282" s="1351">
        <f t="shared" si="29"/>
        <v>0</v>
      </c>
      <c r="AA282" s="326">
        <f t="shared" si="30"/>
        <v>0</v>
      </c>
      <c r="AB282" s="326">
        <f t="shared" si="31"/>
        <v>0</v>
      </c>
      <c r="AC282" s="326">
        <f t="shared" si="32"/>
        <v>0</v>
      </c>
      <c r="AD282" s="326">
        <f t="shared" si="33"/>
        <v>0</v>
      </c>
      <c r="AE282" s="326">
        <f t="shared" si="34"/>
        <v>0</v>
      </c>
      <c r="AF282" s="355" t="s">
        <v>862</v>
      </c>
      <c r="AG282" s="838"/>
      <c r="AH282" s="744"/>
      <c r="AI282" s="292"/>
      <c r="AK282" s="300"/>
      <c r="AS282" s="452"/>
    </row>
    <row r="283" spans="1:45" s="299" customFormat="1" ht="27.6">
      <c r="A283" s="353">
        <v>305</v>
      </c>
      <c r="B283" s="352">
        <v>100</v>
      </c>
      <c r="C283" s="352">
        <v>700</v>
      </c>
      <c r="D283" s="357">
        <v>300</v>
      </c>
      <c r="E283" s="357"/>
      <c r="F283" s="352"/>
      <c r="G283" s="342" t="s">
        <v>863</v>
      </c>
      <c r="H283" s="329"/>
      <c r="I283" s="326"/>
      <c r="J283" s="358"/>
      <c r="K283" s="358"/>
      <c r="L283" s="358"/>
      <c r="M283" s="358"/>
      <c r="N283" s="327"/>
      <c r="O283" s="328"/>
      <c r="P283" s="326">
        <v>0</v>
      </c>
      <c r="Q283" s="327"/>
      <c r="R283" s="329"/>
      <c r="S283" s="326"/>
      <c r="T283" s="326"/>
      <c r="U283" s="326"/>
      <c r="V283" s="326"/>
      <c r="W283" s="326"/>
      <c r="X283" s="326"/>
      <c r="Y283" s="1350">
        <f t="shared" si="28"/>
        <v>0</v>
      </c>
      <c r="Z283" s="1351">
        <f t="shared" si="29"/>
        <v>0</v>
      </c>
      <c r="AA283" s="326">
        <f t="shared" si="30"/>
        <v>0</v>
      </c>
      <c r="AB283" s="326">
        <f t="shared" si="31"/>
        <v>0</v>
      </c>
      <c r="AC283" s="326">
        <f t="shared" si="32"/>
        <v>0</v>
      </c>
      <c r="AD283" s="326">
        <f t="shared" si="33"/>
        <v>0</v>
      </c>
      <c r="AE283" s="326">
        <f t="shared" si="34"/>
        <v>0</v>
      </c>
      <c r="AF283" s="355" t="s">
        <v>864</v>
      </c>
      <c r="AG283" s="838"/>
      <c r="AH283" s="744"/>
      <c r="AI283" s="292"/>
      <c r="AK283" s="300"/>
      <c r="AS283" s="452"/>
    </row>
    <row r="284" spans="1:45" s="299" customFormat="1">
      <c r="A284" s="353">
        <v>305</v>
      </c>
      <c r="B284" s="352">
        <v>100</v>
      </c>
      <c r="C284" s="352">
        <v>700</v>
      </c>
      <c r="D284" s="357">
        <v>400</v>
      </c>
      <c r="E284" s="357"/>
      <c r="F284" s="352"/>
      <c r="G284" s="342" t="s">
        <v>865</v>
      </c>
      <c r="H284" s="329"/>
      <c r="I284" s="326"/>
      <c r="J284" s="358"/>
      <c r="K284" s="358"/>
      <c r="L284" s="358"/>
      <c r="M284" s="358"/>
      <c r="N284" s="327"/>
      <c r="O284" s="328"/>
      <c r="P284" s="326">
        <v>0</v>
      </c>
      <c r="Q284" s="327"/>
      <c r="R284" s="329"/>
      <c r="S284" s="326"/>
      <c r="T284" s="326"/>
      <c r="U284" s="326"/>
      <c r="V284" s="326"/>
      <c r="W284" s="326"/>
      <c r="X284" s="326"/>
      <c r="Y284" s="1350">
        <f t="shared" si="28"/>
        <v>0</v>
      </c>
      <c r="Z284" s="1351">
        <f t="shared" si="29"/>
        <v>0</v>
      </c>
      <c r="AA284" s="326">
        <f t="shared" si="30"/>
        <v>0</v>
      </c>
      <c r="AB284" s="326">
        <f t="shared" si="31"/>
        <v>0</v>
      </c>
      <c r="AC284" s="326">
        <f t="shared" si="32"/>
        <v>0</v>
      </c>
      <c r="AD284" s="326">
        <f t="shared" si="33"/>
        <v>0</v>
      </c>
      <c r="AE284" s="326">
        <f t="shared" si="34"/>
        <v>0</v>
      </c>
      <c r="AF284" s="355" t="s">
        <v>866</v>
      </c>
      <c r="AG284" s="838"/>
      <c r="AH284" s="744"/>
      <c r="AI284" s="292"/>
      <c r="AK284" s="300"/>
      <c r="AS284" s="452"/>
    </row>
    <row r="285" spans="1:45" s="299" customFormat="1">
      <c r="A285" s="353">
        <v>305</v>
      </c>
      <c r="B285" s="352">
        <v>100</v>
      </c>
      <c r="C285" s="352">
        <v>700</v>
      </c>
      <c r="D285" s="352">
        <v>500</v>
      </c>
      <c r="E285" s="352"/>
      <c r="F285" s="352"/>
      <c r="G285" s="403" t="s">
        <v>867</v>
      </c>
      <c r="H285" s="334"/>
      <c r="I285" s="331"/>
      <c r="J285" s="359"/>
      <c r="K285" s="359"/>
      <c r="L285" s="359"/>
      <c r="M285" s="359"/>
      <c r="N285" s="332"/>
      <c r="O285" s="333"/>
      <c r="P285" s="331">
        <v>0</v>
      </c>
      <c r="Q285" s="332"/>
      <c r="R285" s="334"/>
      <c r="S285" s="331"/>
      <c r="T285" s="331"/>
      <c r="U285" s="331"/>
      <c r="V285" s="331"/>
      <c r="W285" s="331"/>
      <c r="X285" s="331"/>
      <c r="Y285" s="1352">
        <f t="shared" si="28"/>
        <v>0</v>
      </c>
      <c r="Z285" s="1353">
        <f t="shared" si="29"/>
        <v>0</v>
      </c>
      <c r="AA285" s="331">
        <f t="shared" si="30"/>
        <v>0</v>
      </c>
      <c r="AB285" s="331">
        <f t="shared" si="31"/>
        <v>0</v>
      </c>
      <c r="AC285" s="331">
        <f t="shared" si="32"/>
        <v>0</v>
      </c>
      <c r="AD285" s="331">
        <f t="shared" si="33"/>
        <v>0</v>
      </c>
      <c r="AE285" s="331">
        <f t="shared" si="34"/>
        <v>0</v>
      </c>
      <c r="AF285" s="442" t="s">
        <v>868</v>
      </c>
      <c r="AG285" s="838"/>
      <c r="AH285" s="744"/>
      <c r="AI285" s="292"/>
      <c r="AK285" s="300"/>
      <c r="AS285" s="452"/>
    </row>
    <row r="286" spans="1:45" s="299" customFormat="1">
      <c r="A286" s="353">
        <v>305</v>
      </c>
      <c r="B286" s="352">
        <v>100</v>
      </c>
      <c r="C286" s="352">
        <v>700</v>
      </c>
      <c r="D286" s="352">
        <v>500</v>
      </c>
      <c r="E286" s="357">
        <v>5</v>
      </c>
      <c r="F286" s="317"/>
      <c r="G286" s="342" t="s">
        <v>869</v>
      </c>
      <c r="H286" s="329"/>
      <c r="I286" s="326"/>
      <c r="J286" s="358"/>
      <c r="K286" s="358"/>
      <c r="L286" s="358"/>
      <c r="M286" s="358"/>
      <c r="N286" s="327"/>
      <c r="O286" s="328"/>
      <c r="P286" s="326">
        <v>0</v>
      </c>
      <c r="Q286" s="327"/>
      <c r="R286" s="329"/>
      <c r="S286" s="326"/>
      <c r="T286" s="326"/>
      <c r="U286" s="326"/>
      <c r="V286" s="326"/>
      <c r="W286" s="326"/>
      <c r="X286" s="326"/>
      <c r="Y286" s="1350">
        <f t="shared" si="28"/>
        <v>0</v>
      </c>
      <c r="Z286" s="1351">
        <f t="shared" si="29"/>
        <v>0</v>
      </c>
      <c r="AA286" s="326">
        <f t="shared" si="30"/>
        <v>0</v>
      </c>
      <c r="AB286" s="326">
        <f t="shared" si="31"/>
        <v>0</v>
      </c>
      <c r="AC286" s="326">
        <f t="shared" si="32"/>
        <v>0</v>
      </c>
      <c r="AD286" s="326">
        <f t="shared" si="33"/>
        <v>0</v>
      </c>
      <c r="AE286" s="326">
        <f t="shared" si="34"/>
        <v>0</v>
      </c>
      <c r="AF286" s="355"/>
      <c r="AG286" s="838"/>
      <c r="AH286" s="744"/>
      <c r="AI286" s="292"/>
      <c r="AK286" s="300"/>
      <c r="AS286" s="452"/>
    </row>
    <row r="287" spans="1:45" s="299" customFormat="1" ht="27.6">
      <c r="A287" s="353">
        <v>305</v>
      </c>
      <c r="B287" s="352">
        <v>100</v>
      </c>
      <c r="C287" s="352">
        <v>700</v>
      </c>
      <c r="D287" s="352">
        <v>500</v>
      </c>
      <c r="E287" s="357">
        <v>10</v>
      </c>
      <c r="F287" s="317"/>
      <c r="G287" s="342" t="s">
        <v>870</v>
      </c>
      <c r="H287" s="329"/>
      <c r="I287" s="326"/>
      <c r="J287" s="358"/>
      <c r="K287" s="358"/>
      <c r="L287" s="358"/>
      <c r="M287" s="358"/>
      <c r="N287" s="327"/>
      <c r="O287" s="328"/>
      <c r="P287" s="326">
        <v>0</v>
      </c>
      <c r="Q287" s="327"/>
      <c r="R287" s="329"/>
      <c r="S287" s="326"/>
      <c r="T287" s="326"/>
      <c r="U287" s="326"/>
      <c r="V287" s="326"/>
      <c r="W287" s="326"/>
      <c r="X287" s="326"/>
      <c r="Y287" s="1350">
        <f t="shared" si="28"/>
        <v>0</v>
      </c>
      <c r="Z287" s="1351">
        <f t="shared" si="29"/>
        <v>0</v>
      </c>
      <c r="AA287" s="326">
        <f t="shared" si="30"/>
        <v>0</v>
      </c>
      <c r="AB287" s="326">
        <f t="shared" si="31"/>
        <v>0</v>
      </c>
      <c r="AC287" s="326">
        <f t="shared" si="32"/>
        <v>0</v>
      </c>
      <c r="AD287" s="326">
        <f t="shared" si="33"/>
        <v>0</v>
      </c>
      <c r="AE287" s="326">
        <f t="shared" si="34"/>
        <v>0</v>
      </c>
      <c r="AF287" s="355"/>
      <c r="AG287" s="838"/>
      <c r="AH287" s="744"/>
      <c r="AI287" s="292"/>
      <c r="AK287" s="300"/>
      <c r="AS287" s="452"/>
    </row>
    <row r="288" spans="1:45" s="299" customFormat="1">
      <c r="A288" s="353">
        <v>305</v>
      </c>
      <c r="B288" s="352">
        <v>100</v>
      </c>
      <c r="C288" s="352">
        <v>700</v>
      </c>
      <c r="D288" s="352">
        <v>500</v>
      </c>
      <c r="E288" s="357">
        <v>15</v>
      </c>
      <c r="F288" s="317"/>
      <c r="G288" s="342" t="s">
        <v>871</v>
      </c>
      <c r="H288" s="329"/>
      <c r="I288" s="326"/>
      <c r="J288" s="358"/>
      <c r="K288" s="358"/>
      <c r="L288" s="358"/>
      <c r="M288" s="358"/>
      <c r="N288" s="327"/>
      <c r="O288" s="328"/>
      <c r="P288" s="326">
        <v>0</v>
      </c>
      <c r="Q288" s="327"/>
      <c r="R288" s="329"/>
      <c r="S288" s="326"/>
      <c r="T288" s="326"/>
      <c r="U288" s="326"/>
      <c r="V288" s="326"/>
      <c r="W288" s="326"/>
      <c r="X288" s="326"/>
      <c r="Y288" s="1350">
        <f t="shared" si="28"/>
        <v>0</v>
      </c>
      <c r="Z288" s="1351">
        <f t="shared" si="29"/>
        <v>0</v>
      </c>
      <c r="AA288" s="326">
        <f t="shared" si="30"/>
        <v>0</v>
      </c>
      <c r="AB288" s="326">
        <f t="shared" si="31"/>
        <v>0</v>
      </c>
      <c r="AC288" s="326">
        <f t="shared" si="32"/>
        <v>0</v>
      </c>
      <c r="AD288" s="326">
        <f t="shared" si="33"/>
        <v>0</v>
      </c>
      <c r="AE288" s="326">
        <f t="shared" si="34"/>
        <v>0</v>
      </c>
      <c r="AF288" s="355"/>
      <c r="AG288" s="838"/>
      <c r="AH288" s="744"/>
      <c r="AI288" s="292"/>
      <c r="AK288" s="300"/>
      <c r="AS288" s="452"/>
    </row>
    <row r="289" spans="1:45" s="299" customFormat="1" ht="27.6">
      <c r="A289" s="353">
        <v>305</v>
      </c>
      <c r="B289" s="352">
        <v>100</v>
      </c>
      <c r="C289" s="352">
        <v>700</v>
      </c>
      <c r="D289" s="352">
        <v>500</v>
      </c>
      <c r="E289" s="357">
        <v>20</v>
      </c>
      <c r="F289" s="352"/>
      <c r="G289" s="342" t="s">
        <v>872</v>
      </c>
      <c r="H289" s="329"/>
      <c r="I289" s="326"/>
      <c r="J289" s="358"/>
      <c r="K289" s="358"/>
      <c r="L289" s="358"/>
      <c r="M289" s="358"/>
      <c r="N289" s="327"/>
      <c r="O289" s="328"/>
      <c r="P289" s="326">
        <v>0</v>
      </c>
      <c r="Q289" s="327"/>
      <c r="R289" s="329"/>
      <c r="S289" s="326"/>
      <c r="T289" s="326"/>
      <c r="U289" s="326"/>
      <c r="V289" s="326"/>
      <c r="W289" s="326"/>
      <c r="X289" s="326"/>
      <c r="Y289" s="1350">
        <f t="shared" si="28"/>
        <v>0</v>
      </c>
      <c r="Z289" s="1351">
        <f t="shared" si="29"/>
        <v>0</v>
      </c>
      <c r="AA289" s="326">
        <f t="shared" si="30"/>
        <v>0</v>
      </c>
      <c r="AB289" s="326">
        <f t="shared" si="31"/>
        <v>0</v>
      </c>
      <c r="AC289" s="326">
        <f t="shared" si="32"/>
        <v>0</v>
      </c>
      <c r="AD289" s="326">
        <f t="shared" si="33"/>
        <v>0</v>
      </c>
      <c r="AE289" s="326">
        <f t="shared" si="34"/>
        <v>0</v>
      </c>
      <c r="AF289" s="355"/>
      <c r="AG289" s="838"/>
      <c r="AH289" s="744"/>
      <c r="AI289" s="292"/>
      <c r="AK289" s="300"/>
      <c r="AS289" s="452"/>
    </row>
    <row r="290" spans="1:45" s="299" customFormat="1">
      <c r="A290" s="353">
        <v>305</v>
      </c>
      <c r="B290" s="352">
        <v>100</v>
      </c>
      <c r="C290" s="352">
        <v>700</v>
      </c>
      <c r="D290" s="352">
        <v>500</v>
      </c>
      <c r="E290" s="357">
        <v>25</v>
      </c>
      <c r="F290" s="317"/>
      <c r="G290" s="342" t="s">
        <v>873</v>
      </c>
      <c r="H290" s="329"/>
      <c r="I290" s="326"/>
      <c r="J290" s="358"/>
      <c r="K290" s="358"/>
      <c r="L290" s="358"/>
      <c r="M290" s="358"/>
      <c r="N290" s="327"/>
      <c r="O290" s="328"/>
      <c r="P290" s="326">
        <v>0</v>
      </c>
      <c r="Q290" s="327"/>
      <c r="R290" s="329"/>
      <c r="S290" s="326"/>
      <c r="T290" s="326"/>
      <c r="U290" s="326"/>
      <c r="V290" s="326"/>
      <c r="W290" s="326"/>
      <c r="X290" s="326"/>
      <c r="Y290" s="1350">
        <f t="shared" si="28"/>
        <v>0</v>
      </c>
      <c r="Z290" s="1351">
        <f t="shared" si="29"/>
        <v>0</v>
      </c>
      <c r="AA290" s="326">
        <f t="shared" si="30"/>
        <v>0</v>
      </c>
      <c r="AB290" s="326">
        <f t="shared" si="31"/>
        <v>0</v>
      </c>
      <c r="AC290" s="326">
        <f t="shared" si="32"/>
        <v>0</v>
      </c>
      <c r="AD290" s="326">
        <f t="shared" si="33"/>
        <v>0</v>
      </c>
      <c r="AE290" s="326">
        <f t="shared" si="34"/>
        <v>0</v>
      </c>
      <c r="AF290" s="355"/>
      <c r="AG290" s="838"/>
      <c r="AH290" s="744"/>
      <c r="AI290" s="292"/>
      <c r="AK290" s="300"/>
      <c r="AS290" s="452"/>
    </row>
    <row r="291" spans="1:45" s="299" customFormat="1" ht="27.6">
      <c r="A291" s="353">
        <v>305</v>
      </c>
      <c r="B291" s="352">
        <v>100</v>
      </c>
      <c r="C291" s="352">
        <v>700</v>
      </c>
      <c r="D291" s="352">
        <v>500</v>
      </c>
      <c r="E291" s="357">
        <v>30</v>
      </c>
      <c r="F291" s="317"/>
      <c r="G291" s="342" t="s">
        <v>874</v>
      </c>
      <c r="H291" s="329"/>
      <c r="I291" s="326"/>
      <c r="J291" s="358"/>
      <c r="K291" s="358"/>
      <c r="L291" s="358"/>
      <c r="M291" s="358"/>
      <c r="N291" s="327"/>
      <c r="O291" s="328"/>
      <c r="P291" s="326">
        <v>0</v>
      </c>
      <c r="Q291" s="327"/>
      <c r="R291" s="329"/>
      <c r="S291" s="326"/>
      <c r="T291" s="326"/>
      <c r="U291" s="326"/>
      <c r="V291" s="326"/>
      <c r="W291" s="326"/>
      <c r="X291" s="326"/>
      <c r="Y291" s="1350">
        <f t="shared" si="28"/>
        <v>0</v>
      </c>
      <c r="Z291" s="1351">
        <f t="shared" si="29"/>
        <v>0</v>
      </c>
      <c r="AA291" s="326">
        <f t="shared" si="30"/>
        <v>0</v>
      </c>
      <c r="AB291" s="326">
        <f t="shared" si="31"/>
        <v>0</v>
      </c>
      <c r="AC291" s="326">
        <f t="shared" si="32"/>
        <v>0</v>
      </c>
      <c r="AD291" s="326">
        <f t="shared" si="33"/>
        <v>0</v>
      </c>
      <c r="AE291" s="326">
        <f t="shared" si="34"/>
        <v>0</v>
      </c>
      <c r="AF291" s="355"/>
      <c r="AG291" s="838"/>
      <c r="AH291" s="744"/>
      <c r="AI291" s="292"/>
      <c r="AK291" s="300"/>
      <c r="AS291" s="452"/>
    </row>
    <row r="292" spans="1:45" s="299" customFormat="1">
      <c r="A292" s="353">
        <v>305</v>
      </c>
      <c r="B292" s="352">
        <v>100</v>
      </c>
      <c r="C292" s="352">
        <v>700</v>
      </c>
      <c r="D292" s="352">
        <v>500</v>
      </c>
      <c r="E292" s="357">
        <v>35</v>
      </c>
      <c r="F292" s="317"/>
      <c r="G292" s="342" t="s">
        <v>875</v>
      </c>
      <c r="H292" s="329"/>
      <c r="I292" s="326"/>
      <c r="J292" s="358"/>
      <c r="K292" s="358"/>
      <c r="L292" s="358"/>
      <c r="M292" s="358"/>
      <c r="N292" s="327"/>
      <c r="O292" s="328">
        <v>1474562.9</v>
      </c>
      <c r="P292" s="326">
        <v>1639748</v>
      </c>
      <c r="Q292" s="358">
        <v>1042532</v>
      </c>
      <c r="R292" s="329"/>
      <c r="S292" s="326"/>
      <c r="T292" s="326"/>
      <c r="U292" s="326"/>
      <c r="V292" s="326"/>
      <c r="W292" s="326"/>
      <c r="X292" s="326"/>
      <c r="Y292" s="1350">
        <f t="shared" si="28"/>
        <v>1474562.9</v>
      </c>
      <c r="Z292" s="1351">
        <f t="shared" si="29"/>
        <v>0</v>
      </c>
      <c r="AA292" s="326">
        <f t="shared" si="30"/>
        <v>0</v>
      </c>
      <c r="AB292" s="326">
        <f t="shared" si="31"/>
        <v>1639748</v>
      </c>
      <c r="AC292" s="326">
        <f t="shared" si="32"/>
        <v>0</v>
      </c>
      <c r="AD292" s="326">
        <f t="shared" si="33"/>
        <v>0</v>
      </c>
      <c r="AE292" s="326">
        <f t="shared" si="34"/>
        <v>1042532</v>
      </c>
      <c r="AF292" s="355"/>
      <c r="AG292" s="838"/>
      <c r="AH292" s="744"/>
      <c r="AI292" s="292"/>
      <c r="AK292" s="300"/>
      <c r="AS292" s="452"/>
    </row>
    <row r="293" spans="1:45" s="299" customFormat="1">
      <c r="A293" s="353">
        <v>305</v>
      </c>
      <c r="B293" s="352">
        <v>100</v>
      </c>
      <c r="C293" s="352">
        <v>700</v>
      </c>
      <c r="D293" s="352">
        <v>500</v>
      </c>
      <c r="E293" s="357">
        <v>40</v>
      </c>
      <c r="F293" s="317"/>
      <c r="G293" s="342" t="s">
        <v>876</v>
      </c>
      <c r="H293" s="329"/>
      <c r="I293" s="326"/>
      <c r="J293" s="358"/>
      <c r="K293" s="358"/>
      <c r="L293" s="358"/>
      <c r="M293" s="358"/>
      <c r="N293" s="327"/>
      <c r="O293" s="328"/>
      <c r="P293" s="326">
        <v>0</v>
      </c>
      <c r="Q293" s="327"/>
      <c r="R293" s="329"/>
      <c r="S293" s="326"/>
      <c r="T293" s="326"/>
      <c r="U293" s="326"/>
      <c r="V293" s="326"/>
      <c r="W293" s="326"/>
      <c r="X293" s="326">
        <v>0</v>
      </c>
      <c r="Y293" s="1350">
        <f t="shared" si="28"/>
        <v>0</v>
      </c>
      <c r="Z293" s="1351">
        <f t="shared" si="29"/>
        <v>0</v>
      </c>
      <c r="AA293" s="326">
        <f t="shared" si="30"/>
        <v>0</v>
      </c>
      <c r="AB293" s="326">
        <f t="shared" si="31"/>
        <v>0</v>
      </c>
      <c r="AC293" s="326">
        <f t="shared" si="32"/>
        <v>0</v>
      </c>
      <c r="AD293" s="326">
        <f t="shared" si="33"/>
        <v>0</v>
      </c>
      <c r="AE293" s="326">
        <f t="shared" si="34"/>
        <v>0</v>
      </c>
      <c r="AF293" s="355"/>
      <c r="AG293" s="838"/>
      <c r="AH293" s="744"/>
      <c r="AI293" s="292"/>
      <c r="AK293" s="300"/>
      <c r="AS293" s="452"/>
    </row>
    <row r="294" spans="1:45" s="299" customFormat="1" ht="27.6">
      <c r="A294" s="353">
        <v>305</v>
      </c>
      <c r="B294" s="352">
        <v>100</v>
      </c>
      <c r="C294" s="352">
        <v>700</v>
      </c>
      <c r="D294" s="352">
        <v>500</v>
      </c>
      <c r="E294" s="357">
        <v>45</v>
      </c>
      <c r="F294" s="317"/>
      <c r="G294" s="342" t="s">
        <v>877</v>
      </c>
      <c r="H294" s="329"/>
      <c r="I294" s="326"/>
      <c r="J294" s="358"/>
      <c r="K294" s="358"/>
      <c r="L294" s="358"/>
      <c r="M294" s="358"/>
      <c r="N294" s="327"/>
      <c r="O294" s="328"/>
      <c r="P294" s="326">
        <v>0</v>
      </c>
      <c r="Q294" s="327"/>
      <c r="R294" s="329"/>
      <c r="S294" s="326"/>
      <c r="T294" s="326"/>
      <c r="U294" s="326"/>
      <c r="V294" s="326"/>
      <c r="W294" s="326"/>
      <c r="X294" s="326"/>
      <c r="Y294" s="1350">
        <f t="shared" si="28"/>
        <v>0</v>
      </c>
      <c r="Z294" s="1351">
        <f t="shared" si="29"/>
        <v>0</v>
      </c>
      <c r="AA294" s="326">
        <f t="shared" si="30"/>
        <v>0</v>
      </c>
      <c r="AB294" s="326">
        <f t="shared" si="31"/>
        <v>0</v>
      </c>
      <c r="AC294" s="326">
        <f t="shared" si="32"/>
        <v>0</v>
      </c>
      <c r="AD294" s="326">
        <f t="shared" si="33"/>
        <v>0</v>
      </c>
      <c r="AE294" s="326">
        <f t="shared" si="34"/>
        <v>0</v>
      </c>
      <c r="AF294" s="355"/>
      <c r="AG294" s="838"/>
      <c r="AH294" s="744"/>
      <c r="AI294" s="292"/>
      <c r="AK294" s="300"/>
      <c r="AS294" s="452"/>
    </row>
    <row r="295" spans="1:45" s="299" customFormat="1">
      <c r="A295" s="353">
        <v>305</v>
      </c>
      <c r="B295" s="352">
        <v>100</v>
      </c>
      <c r="C295" s="352">
        <v>700</v>
      </c>
      <c r="D295" s="352">
        <v>500</v>
      </c>
      <c r="E295" s="357">
        <v>90</v>
      </c>
      <c r="F295" s="352"/>
      <c r="G295" s="342" t="s">
        <v>867</v>
      </c>
      <c r="H295" s="329"/>
      <c r="I295" s="326"/>
      <c r="J295" s="358"/>
      <c r="K295" s="358"/>
      <c r="L295" s="358"/>
      <c r="M295" s="358"/>
      <c r="N295" s="327"/>
      <c r="O295" s="328"/>
      <c r="P295" s="326">
        <v>0</v>
      </c>
      <c r="Q295" s="327"/>
      <c r="R295" s="329">
        <v>24000</v>
      </c>
      <c r="S295" s="326"/>
      <c r="T295" s="326"/>
      <c r="U295" s="326">
        <v>24000</v>
      </c>
      <c r="V295" s="326"/>
      <c r="W295" s="326"/>
      <c r="X295" s="326">
        <v>30000</v>
      </c>
      <c r="Y295" s="1350">
        <f t="shared" si="28"/>
        <v>24000</v>
      </c>
      <c r="Z295" s="1351">
        <f t="shared" si="29"/>
        <v>0</v>
      </c>
      <c r="AA295" s="326">
        <f t="shared" si="30"/>
        <v>0</v>
      </c>
      <c r="AB295" s="326">
        <f t="shared" si="31"/>
        <v>24000</v>
      </c>
      <c r="AC295" s="326">
        <f t="shared" si="32"/>
        <v>0</v>
      </c>
      <c r="AD295" s="326">
        <f t="shared" si="33"/>
        <v>0</v>
      </c>
      <c r="AE295" s="326">
        <f t="shared" si="34"/>
        <v>30000</v>
      </c>
      <c r="AF295" s="355"/>
      <c r="AG295" s="838"/>
      <c r="AH295" s="744"/>
      <c r="AI295" s="292"/>
      <c r="AK295" s="300"/>
      <c r="AS295" s="452"/>
    </row>
    <row r="296" spans="1:45" s="299" customFormat="1" ht="41.4">
      <c r="A296" s="353">
        <v>305</v>
      </c>
      <c r="B296" s="352">
        <v>100</v>
      </c>
      <c r="C296" s="352">
        <v>700</v>
      </c>
      <c r="D296" s="352">
        <v>600</v>
      </c>
      <c r="E296" s="352"/>
      <c r="F296" s="352"/>
      <c r="G296" s="323" t="s">
        <v>878</v>
      </c>
      <c r="H296" s="440"/>
      <c r="I296" s="438"/>
      <c r="J296" s="441"/>
      <c r="K296" s="441"/>
      <c r="L296" s="441"/>
      <c r="M296" s="441"/>
      <c r="N296" s="439"/>
      <c r="O296" s="800"/>
      <c r="P296" s="438">
        <v>0</v>
      </c>
      <c r="Q296" s="439"/>
      <c r="R296" s="440"/>
      <c r="S296" s="438"/>
      <c r="T296" s="438"/>
      <c r="U296" s="438"/>
      <c r="V296" s="438"/>
      <c r="W296" s="438"/>
      <c r="X296" s="438"/>
      <c r="Y296" s="1360">
        <f t="shared" si="28"/>
        <v>0</v>
      </c>
      <c r="Z296" s="1361">
        <f t="shared" si="29"/>
        <v>0</v>
      </c>
      <c r="AA296" s="438">
        <f t="shared" si="30"/>
        <v>0</v>
      </c>
      <c r="AB296" s="438">
        <f t="shared" si="31"/>
        <v>0</v>
      </c>
      <c r="AC296" s="438">
        <f t="shared" si="32"/>
        <v>0</v>
      </c>
      <c r="AD296" s="438">
        <f t="shared" si="33"/>
        <v>0</v>
      </c>
      <c r="AE296" s="438">
        <f t="shared" si="34"/>
        <v>0</v>
      </c>
      <c r="AF296" s="355" t="s">
        <v>879</v>
      </c>
      <c r="AG296" s="838"/>
      <c r="AH296" s="744"/>
      <c r="AI296" s="292"/>
      <c r="AK296" s="300"/>
      <c r="AS296" s="452"/>
    </row>
    <row r="297" spans="1:45" s="299" customFormat="1" ht="27.6">
      <c r="A297" s="353">
        <v>305</v>
      </c>
      <c r="B297" s="352">
        <v>100</v>
      </c>
      <c r="C297" s="352">
        <v>700</v>
      </c>
      <c r="D297" s="352">
        <v>600</v>
      </c>
      <c r="E297" s="357">
        <v>10</v>
      </c>
      <c r="F297" s="357"/>
      <c r="G297" s="342" t="s">
        <v>880</v>
      </c>
      <c r="H297" s="329"/>
      <c r="I297" s="326"/>
      <c r="J297" s="358"/>
      <c r="K297" s="358"/>
      <c r="L297" s="358"/>
      <c r="M297" s="358"/>
      <c r="N297" s="327"/>
      <c r="O297" s="328"/>
      <c r="P297" s="326">
        <v>0</v>
      </c>
      <c r="Q297" s="327"/>
      <c r="R297" s="329"/>
      <c r="S297" s="326"/>
      <c r="T297" s="326"/>
      <c r="U297" s="326"/>
      <c r="V297" s="326"/>
      <c r="W297" s="326"/>
      <c r="X297" s="326"/>
      <c r="Y297" s="1350">
        <f t="shared" si="28"/>
        <v>0</v>
      </c>
      <c r="Z297" s="1351">
        <f t="shared" si="29"/>
        <v>0</v>
      </c>
      <c r="AA297" s="326">
        <f t="shared" si="30"/>
        <v>0</v>
      </c>
      <c r="AB297" s="326">
        <f t="shared" si="31"/>
        <v>0</v>
      </c>
      <c r="AC297" s="326">
        <f t="shared" si="32"/>
        <v>0</v>
      </c>
      <c r="AD297" s="326">
        <f t="shared" si="33"/>
        <v>0</v>
      </c>
      <c r="AE297" s="326">
        <f t="shared" si="34"/>
        <v>0</v>
      </c>
      <c r="AF297" s="424"/>
      <c r="AG297" s="838"/>
      <c r="AH297" s="744"/>
      <c r="AI297" s="292"/>
      <c r="AK297" s="300"/>
      <c r="AS297" s="452"/>
    </row>
    <row r="298" spans="1:45" s="433" customFormat="1" ht="41.4">
      <c r="A298" s="353">
        <v>305</v>
      </c>
      <c r="B298" s="352">
        <v>100</v>
      </c>
      <c r="C298" s="352">
        <v>700</v>
      </c>
      <c r="D298" s="352">
        <v>600</v>
      </c>
      <c r="E298" s="357">
        <v>90</v>
      </c>
      <c r="F298" s="357"/>
      <c r="G298" s="342" t="s">
        <v>881</v>
      </c>
      <c r="H298" s="329"/>
      <c r="I298" s="326"/>
      <c r="J298" s="358"/>
      <c r="K298" s="358"/>
      <c r="L298" s="358"/>
      <c r="M298" s="358"/>
      <c r="N298" s="327"/>
      <c r="O298" s="328"/>
      <c r="P298" s="326">
        <v>0</v>
      </c>
      <c r="Q298" s="327"/>
      <c r="R298" s="529">
        <f>1099447.93-53</f>
        <v>1099394.93</v>
      </c>
      <c r="S298" s="437"/>
      <c r="T298" s="437"/>
      <c r="U298" s="437">
        <v>1020671</v>
      </c>
      <c r="V298" s="437"/>
      <c r="W298" s="437"/>
      <c r="X298" s="437">
        <v>1020671</v>
      </c>
      <c r="Y298" s="1350">
        <f t="shared" si="28"/>
        <v>1099394.93</v>
      </c>
      <c r="Z298" s="1362">
        <f t="shared" si="29"/>
        <v>0</v>
      </c>
      <c r="AA298" s="437">
        <f t="shared" si="30"/>
        <v>0</v>
      </c>
      <c r="AB298" s="437">
        <f t="shared" si="31"/>
        <v>1020671</v>
      </c>
      <c r="AC298" s="437">
        <f t="shared" si="32"/>
        <v>0</v>
      </c>
      <c r="AD298" s="437">
        <f t="shared" si="33"/>
        <v>0</v>
      </c>
      <c r="AE298" s="437">
        <f t="shared" si="34"/>
        <v>1020671</v>
      </c>
      <c r="AF298" s="424"/>
      <c r="AG298" s="838"/>
      <c r="AH298" s="745"/>
      <c r="AI298" s="435"/>
      <c r="AK298" s="434"/>
      <c r="AS298" s="1402"/>
    </row>
    <row r="299" spans="1:45" s="299" customFormat="1" ht="27.6">
      <c r="A299" s="353">
        <v>305</v>
      </c>
      <c r="B299" s="352">
        <v>100</v>
      </c>
      <c r="C299" s="352">
        <v>700</v>
      </c>
      <c r="D299" s="352">
        <v>700</v>
      </c>
      <c r="E299" s="357"/>
      <c r="F299" s="357"/>
      <c r="G299" s="315" t="s">
        <v>882</v>
      </c>
      <c r="H299" s="401"/>
      <c r="I299" s="395"/>
      <c r="J299" s="402"/>
      <c r="K299" s="402"/>
      <c r="L299" s="402"/>
      <c r="M299" s="402"/>
      <c r="N299" s="396"/>
      <c r="O299" s="798"/>
      <c r="P299" s="395">
        <v>0</v>
      </c>
      <c r="Q299" s="396"/>
      <c r="R299" s="401"/>
      <c r="S299" s="395"/>
      <c r="T299" s="395"/>
      <c r="U299" s="395"/>
      <c r="V299" s="395"/>
      <c r="W299" s="395"/>
      <c r="X299" s="395"/>
      <c r="Y299" s="1354">
        <f t="shared" si="28"/>
        <v>0</v>
      </c>
      <c r="Z299" s="1355">
        <f t="shared" si="29"/>
        <v>0</v>
      </c>
      <c r="AA299" s="395">
        <f t="shared" si="30"/>
        <v>0</v>
      </c>
      <c r="AB299" s="395">
        <f t="shared" si="31"/>
        <v>0</v>
      </c>
      <c r="AC299" s="395">
        <f t="shared" si="32"/>
        <v>0</v>
      </c>
      <c r="AD299" s="395">
        <f t="shared" si="33"/>
        <v>0</v>
      </c>
      <c r="AE299" s="395">
        <f t="shared" si="34"/>
        <v>0</v>
      </c>
      <c r="AF299" s="424" t="s">
        <v>883</v>
      </c>
      <c r="AG299" s="838"/>
      <c r="AH299" s="744"/>
      <c r="AI299" s="292"/>
      <c r="AK299" s="300"/>
      <c r="AS299" s="452"/>
    </row>
    <row r="300" spans="1:45" s="299" customFormat="1" ht="41.4">
      <c r="A300" s="353">
        <v>305</v>
      </c>
      <c r="B300" s="352">
        <v>100</v>
      </c>
      <c r="C300" s="352">
        <v>750</v>
      </c>
      <c r="D300" s="352"/>
      <c r="E300" s="352"/>
      <c r="F300" s="352"/>
      <c r="G300" s="323" t="s">
        <v>884</v>
      </c>
      <c r="H300" s="334"/>
      <c r="I300" s="331"/>
      <c r="J300" s="359"/>
      <c r="K300" s="359"/>
      <c r="L300" s="359"/>
      <c r="M300" s="359"/>
      <c r="N300" s="332"/>
      <c r="O300" s="333"/>
      <c r="P300" s="331">
        <v>0</v>
      </c>
      <c r="Q300" s="332"/>
      <c r="R300" s="334"/>
      <c r="S300" s="331"/>
      <c r="T300" s="331"/>
      <c r="U300" s="331"/>
      <c r="V300" s="331"/>
      <c r="W300" s="331"/>
      <c r="X300" s="331"/>
      <c r="Y300" s="1352">
        <f t="shared" si="28"/>
        <v>0</v>
      </c>
      <c r="Z300" s="1353">
        <f t="shared" si="29"/>
        <v>0</v>
      </c>
      <c r="AA300" s="331">
        <f t="shared" si="30"/>
        <v>0</v>
      </c>
      <c r="AB300" s="331">
        <f t="shared" si="31"/>
        <v>0</v>
      </c>
      <c r="AC300" s="331">
        <f t="shared" si="32"/>
        <v>0</v>
      </c>
      <c r="AD300" s="331">
        <f t="shared" si="33"/>
        <v>0</v>
      </c>
      <c r="AE300" s="331">
        <f t="shared" si="34"/>
        <v>0</v>
      </c>
      <c r="AF300" s="424" t="s">
        <v>885</v>
      </c>
      <c r="AG300" s="838"/>
      <c r="AH300" s="744"/>
      <c r="AI300" s="292"/>
      <c r="AK300" s="300"/>
      <c r="AS300" s="452"/>
    </row>
    <row r="301" spans="1:45" s="299" customFormat="1" ht="41.4">
      <c r="A301" s="353">
        <v>305</v>
      </c>
      <c r="B301" s="352">
        <v>100</v>
      </c>
      <c r="C301" s="352">
        <v>750</v>
      </c>
      <c r="D301" s="352">
        <v>100</v>
      </c>
      <c r="E301" s="357"/>
      <c r="F301" s="357"/>
      <c r="G301" s="342" t="s">
        <v>886</v>
      </c>
      <c r="H301" s="329"/>
      <c r="I301" s="326"/>
      <c r="J301" s="358"/>
      <c r="K301" s="358"/>
      <c r="L301" s="358"/>
      <c r="M301" s="358"/>
      <c r="N301" s="327"/>
      <c r="O301" s="328"/>
      <c r="P301" s="326">
        <v>0</v>
      </c>
      <c r="Q301" s="327"/>
      <c r="R301" s="529">
        <f>105900.6-2262</f>
        <v>103638.6</v>
      </c>
      <c r="S301" s="326"/>
      <c r="T301" s="326"/>
      <c r="U301" s="326">
        <v>110000</v>
      </c>
      <c r="V301" s="326"/>
      <c r="W301" s="326"/>
      <c r="X301" s="326">
        <v>110000</v>
      </c>
      <c r="Y301" s="1350">
        <f t="shared" si="28"/>
        <v>103638.6</v>
      </c>
      <c r="Z301" s="1351">
        <f t="shared" si="29"/>
        <v>0</v>
      </c>
      <c r="AA301" s="326">
        <f t="shared" si="30"/>
        <v>0</v>
      </c>
      <c r="AB301" s="326">
        <f t="shared" si="31"/>
        <v>110000</v>
      </c>
      <c r="AC301" s="326">
        <f t="shared" si="32"/>
        <v>0</v>
      </c>
      <c r="AD301" s="326">
        <f t="shared" si="33"/>
        <v>0</v>
      </c>
      <c r="AE301" s="326">
        <f t="shared" si="34"/>
        <v>110000</v>
      </c>
      <c r="AF301" s="424" t="s">
        <v>887</v>
      </c>
      <c r="AG301" s="838"/>
      <c r="AH301" s="744"/>
      <c r="AI301" s="292"/>
      <c r="AK301" s="300"/>
      <c r="AS301" s="452"/>
    </row>
    <row r="302" spans="1:45" s="299" customFormat="1" ht="27.6">
      <c r="A302" s="353">
        <v>305</v>
      </c>
      <c r="B302" s="352">
        <v>100</v>
      </c>
      <c r="C302" s="352">
        <v>750</v>
      </c>
      <c r="D302" s="352">
        <v>200</v>
      </c>
      <c r="E302" s="357"/>
      <c r="F302" s="352"/>
      <c r="G302" s="342" t="s">
        <v>888</v>
      </c>
      <c r="H302" s="329"/>
      <c r="I302" s="326"/>
      <c r="J302" s="358"/>
      <c r="K302" s="358"/>
      <c r="L302" s="358"/>
      <c r="M302" s="358"/>
      <c r="N302" s="327"/>
      <c r="O302" s="328"/>
      <c r="P302" s="326">
        <v>0</v>
      </c>
      <c r="Q302" s="327"/>
      <c r="R302" s="329">
        <v>3405.47</v>
      </c>
      <c r="S302" s="326"/>
      <c r="T302" s="326"/>
      <c r="U302" s="326">
        <v>10000</v>
      </c>
      <c r="V302" s="326"/>
      <c r="W302" s="326"/>
      <c r="X302" s="326">
        <v>15000</v>
      </c>
      <c r="Y302" s="1350">
        <f t="shared" si="28"/>
        <v>3405.47</v>
      </c>
      <c r="Z302" s="1351">
        <f t="shared" si="29"/>
        <v>0</v>
      </c>
      <c r="AA302" s="326">
        <f t="shared" si="30"/>
        <v>0</v>
      </c>
      <c r="AB302" s="326">
        <f t="shared" si="31"/>
        <v>10000</v>
      </c>
      <c r="AC302" s="326">
        <f t="shared" si="32"/>
        <v>0</v>
      </c>
      <c r="AD302" s="326">
        <f t="shared" si="33"/>
        <v>0</v>
      </c>
      <c r="AE302" s="326">
        <f t="shared" si="34"/>
        <v>15000</v>
      </c>
      <c r="AF302" s="355" t="s">
        <v>889</v>
      </c>
      <c r="AG302" s="838"/>
      <c r="AH302" s="744"/>
      <c r="AI302" s="292"/>
      <c r="AK302" s="300"/>
      <c r="AS302" s="452"/>
    </row>
    <row r="303" spans="1:45" s="299" customFormat="1" ht="48.75" customHeight="1">
      <c r="A303" s="353">
        <v>305</v>
      </c>
      <c r="B303" s="352">
        <v>100</v>
      </c>
      <c r="C303" s="352">
        <v>750</v>
      </c>
      <c r="D303" s="352">
        <v>300</v>
      </c>
      <c r="E303" s="352"/>
      <c r="F303" s="352"/>
      <c r="G303" s="323" t="s">
        <v>890</v>
      </c>
      <c r="H303" s="334"/>
      <c r="I303" s="331"/>
      <c r="J303" s="359"/>
      <c r="K303" s="359"/>
      <c r="L303" s="359"/>
      <c r="M303" s="359"/>
      <c r="N303" s="332"/>
      <c r="O303" s="333"/>
      <c r="P303" s="331">
        <v>0</v>
      </c>
      <c r="Q303" s="332"/>
      <c r="R303" s="334"/>
      <c r="S303" s="331"/>
      <c r="T303" s="331"/>
      <c r="U303" s="331"/>
      <c r="V303" s="331"/>
      <c r="W303" s="331"/>
      <c r="X303" s="331"/>
      <c r="Y303" s="1352">
        <f t="shared" si="28"/>
        <v>0</v>
      </c>
      <c r="Z303" s="1353">
        <f t="shared" si="29"/>
        <v>0</v>
      </c>
      <c r="AA303" s="331">
        <f t="shared" si="30"/>
        <v>0</v>
      </c>
      <c r="AB303" s="331">
        <f t="shared" si="31"/>
        <v>0</v>
      </c>
      <c r="AC303" s="331">
        <f t="shared" si="32"/>
        <v>0</v>
      </c>
      <c r="AD303" s="331">
        <f t="shared" si="33"/>
        <v>0</v>
      </c>
      <c r="AE303" s="331">
        <f t="shared" si="34"/>
        <v>0</v>
      </c>
      <c r="AF303" s="355" t="s">
        <v>891</v>
      </c>
      <c r="AG303" s="838"/>
      <c r="AH303" s="744"/>
      <c r="AI303" s="292"/>
      <c r="AK303" s="300"/>
      <c r="AS303" s="452"/>
    </row>
    <row r="304" spans="1:45" s="299" customFormat="1" ht="41.4">
      <c r="A304" s="353">
        <v>305</v>
      </c>
      <c r="B304" s="352">
        <v>100</v>
      </c>
      <c r="C304" s="352">
        <v>750</v>
      </c>
      <c r="D304" s="352">
        <v>300</v>
      </c>
      <c r="E304" s="357">
        <v>10</v>
      </c>
      <c r="F304" s="352"/>
      <c r="G304" s="342" t="s">
        <v>892</v>
      </c>
      <c r="H304" s="329"/>
      <c r="I304" s="326"/>
      <c r="J304" s="358"/>
      <c r="K304" s="358"/>
      <c r="L304" s="358"/>
      <c r="M304" s="358"/>
      <c r="N304" s="327"/>
      <c r="O304" s="328"/>
      <c r="P304" s="326">
        <v>0</v>
      </c>
      <c r="Q304" s="327"/>
      <c r="R304" s="329">
        <v>13250.67</v>
      </c>
      <c r="S304" s="326">
        <v>13250.67</v>
      </c>
      <c r="T304" s="326"/>
      <c r="U304" s="326"/>
      <c r="V304" s="326"/>
      <c r="W304" s="326"/>
      <c r="X304" s="326"/>
      <c r="Y304" s="1350">
        <f t="shared" si="28"/>
        <v>13250.67</v>
      </c>
      <c r="Z304" s="1351">
        <f t="shared" si="29"/>
        <v>13250.67</v>
      </c>
      <c r="AA304" s="326">
        <f t="shared" si="30"/>
        <v>0</v>
      </c>
      <c r="AB304" s="326">
        <f t="shared" si="31"/>
        <v>0</v>
      </c>
      <c r="AC304" s="326">
        <f t="shared" si="32"/>
        <v>0</v>
      </c>
      <c r="AD304" s="326">
        <f t="shared" si="33"/>
        <v>0</v>
      </c>
      <c r="AE304" s="326">
        <f t="shared" si="34"/>
        <v>0</v>
      </c>
      <c r="AF304" s="355" t="s">
        <v>893</v>
      </c>
      <c r="AG304" s="838"/>
      <c r="AH304" s="744"/>
      <c r="AI304" s="292"/>
      <c r="AK304" s="300"/>
      <c r="AS304" s="452"/>
    </row>
    <row r="305" spans="1:45" s="299" customFormat="1" ht="27.6">
      <c r="A305" s="353">
        <v>305</v>
      </c>
      <c r="B305" s="352">
        <v>100</v>
      </c>
      <c r="C305" s="352">
        <v>750</v>
      </c>
      <c r="D305" s="352">
        <v>300</v>
      </c>
      <c r="E305" s="352">
        <v>20</v>
      </c>
      <c r="F305" s="352"/>
      <c r="G305" s="323" t="s">
        <v>894</v>
      </c>
      <c r="H305" s="334"/>
      <c r="I305" s="331"/>
      <c r="J305" s="359"/>
      <c r="K305" s="359"/>
      <c r="L305" s="359"/>
      <c r="M305" s="359"/>
      <c r="N305" s="332"/>
      <c r="O305" s="333"/>
      <c r="P305" s="331">
        <v>0</v>
      </c>
      <c r="Q305" s="332"/>
      <c r="R305" s="334"/>
      <c r="S305" s="331"/>
      <c r="T305" s="331"/>
      <c r="U305" s="331"/>
      <c r="V305" s="331"/>
      <c r="W305" s="331"/>
      <c r="X305" s="331"/>
      <c r="Y305" s="1352">
        <f t="shared" si="28"/>
        <v>0</v>
      </c>
      <c r="Z305" s="1353">
        <f t="shared" si="29"/>
        <v>0</v>
      </c>
      <c r="AA305" s="331">
        <f t="shared" si="30"/>
        <v>0</v>
      </c>
      <c r="AB305" s="331">
        <f t="shared" si="31"/>
        <v>0</v>
      </c>
      <c r="AC305" s="331">
        <f t="shared" si="32"/>
        <v>0</v>
      </c>
      <c r="AD305" s="331">
        <f t="shared" si="33"/>
        <v>0</v>
      </c>
      <c r="AE305" s="331">
        <f t="shared" si="34"/>
        <v>0</v>
      </c>
      <c r="AF305" s="355" t="s">
        <v>895</v>
      </c>
      <c r="AG305" s="838"/>
      <c r="AH305" s="744"/>
      <c r="AI305" s="292"/>
      <c r="AK305" s="300"/>
      <c r="AS305" s="452"/>
    </row>
    <row r="306" spans="1:45" s="299" customFormat="1" ht="41.4">
      <c r="A306" s="353">
        <v>305</v>
      </c>
      <c r="B306" s="352">
        <v>100</v>
      </c>
      <c r="C306" s="352">
        <v>750</v>
      </c>
      <c r="D306" s="352">
        <v>300</v>
      </c>
      <c r="E306" s="352">
        <v>20</v>
      </c>
      <c r="F306" s="357">
        <v>5</v>
      </c>
      <c r="G306" s="342" t="s">
        <v>896</v>
      </c>
      <c r="H306" s="329"/>
      <c r="I306" s="326"/>
      <c r="J306" s="358"/>
      <c r="K306" s="358"/>
      <c r="L306" s="358"/>
      <c r="M306" s="358"/>
      <c r="N306" s="327"/>
      <c r="O306" s="328"/>
      <c r="P306" s="326">
        <v>0</v>
      </c>
      <c r="Q306" s="327"/>
      <c r="R306" s="329">
        <v>6455</v>
      </c>
      <c r="S306" s="326">
        <v>6455</v>
      </c>
      <c r="T306" s="326"/>
      <c r="U306" s="326"/>
      <c r="V306" s="326"/>
      <c r="W306" s="326"/>
      <c r="X306" s="326"/>
      <c r="Y306" s="1350">
        <f t="shared" si="28"/>
        <v>6455</v>
      </c>
      <c r="Z306" s="1351">
        <f t="shared" si="29"/>
        <v>6455</v>
      </c>
      <c r="AA306" s="326">
        <f t="shared" si="30"/>
        <v>0</v>
      </c>
      <c r="AB306" s="326">
        <f t="shared" si="31"/>
        <v>0</v>
      </c>
      <c r="AC306" s="326">
        <f t="shared" si="32"/>
        <v>0</v>
      </c>
      <c r="AD306" s="326">
        <f t="shared" si="33"/>
        <v>0</v>
      </c>
      <c r="AE306" s="326">
        <f t="shared" si="34"/>
        <v>0</v>
      </c>
      <c r="AF306" s="355"/>
      <c r="AG306" s="838"/>
      <c r="AH306" s="744"/>
      <c r="AI306" s="292"/>
      <c r="AK306" s="300"/>
      <c r="AS306" s="452"/>
    </row>
    <row r="307" spans="1:45" s="299" customFormat="1" ht="27.6">
      <c r="A307" s="353">
        <v>305</v>
      </c>
      <c r="B307" s="352">
        <v>100</v>
      </c>
      <c r="C307" s="352">
        <v>750</v>
      </c>
      <c r="D307" s="352">
        <v>300</v>
      </c>
      <c r="E307" s="352">
        <v>20</v>
      </c>
      <c r="F307" s="357">
        <v>10</v>
      </c>
      <c r="G307" s="342" t="s">
        <v>897</v>
      </c>
      <c r="H307" s="329"/>
      <c r="I307" s="326"/>
      <c r="J307" s="358"/>
      <c r="K307" s="358"/>
      <c r="L307" s="358"/>
      <c r="M307" s="358"/>
      <c r="N307" s="327"/>
      <c r="O307" s="328"/>
      <c r="P307" s="326">
        <v>0</v>
      </c>
      <c r="Q307" s="327"/>
      <c r="R307" s="329">
        <v>90461.54</v>
      </c>
      <c r="S307" s="326"/>
      <c r="T307" s="326"/>
      <c r="U307" s="326">
        <v>90000</v>
      </c>
      <c r="V307" s="326"/>
      <c r="W307" s="326"/>
      <c r="X307" s="326">
        <v>100000</v>
      </c>
      <c r="Y307" s="1350">
        <f t="shared" si="28"/>
        <v>90461.54</v>
      </c>
      <c r="Z307" s="1351">
        <f t="shared" si="29"/>
        <v>0</v>
      </c>
      <c r="AA307" s="326">
        <f t="shared" si="30"/>
        <v>0</v>
      </c>
      <c r="AB307" s="326">
        <f t="shared" si="31"/>
        <v>90000</v>
      </c>
      <c r="AC307" s="326">
        <f t="shared" si="32"/>
        <v>0</v>
      </c>
      <c r="AD307" s="326">
        <f t="shared" si="33"/>
        <v>0</v>
      </c>
      <c r="AE307" s="326">
        <f t="shared" si="34"/>
        <v>100000</v>
      </c>
      <c r="AF307" s="355"/>
      <c r="AG307" s="838"/>
      <c r="AH307" s="744"/>
      <c r="AI307" s="292"/>
      <c r="AK307" s="300"/>
      <c r="AS307" s="452"/>
    </row>
    <row r="308" spans="1:45" s="299" customFormat="1" ht="27.6">
      <c r="A308" s="353">
        <v>305</v>
      </c>
      <c r="B308" s="352">
        <v>100</v>
      </c>
      <c r="C308" s="352">
        <v>750</v>
      </c>
      <c r="D308" s="352">
        <v>300</v>
      </c>
      <c r="E308" s="352">
        <v>20</v>
      </c>
      <c r="F308" s="357">
        <v>15</v>
      </c>
      <c r="G308" s="342" t="s">
        <v>898</v>
      </c>
      <c r="H308" s="329"/>
      <c r="I308" s="326"/>
      <c r="J308" s="358"/>
      <c r="K308" s="358"/>
      <c r="L308" s="358"/>
      <c r="M308" s="358"/>
      <c r="N308" s="327"/>
      <c r="O308" s="328"/>
      <c r="P308" s="326">
        <v>0</v>
      </c>
      <c r="Q308" s="327"/>
      <c r="R308" s="329"/>
      <c r="S308" s="326"/>
      <c r="T308" s="326"/>
      <c r="U308" s="326"/>
      <c r="V308" s="326"/>
      <c r="W308" s="326"/>
      <c r="X308" s="326"/>
      <c r="Y308" s="1350">
        <f t="shared" si="28"/>
        <v>0</v>
      </c>
      <c r="Z308" s="1351">
        <f t="shared" si="29"/>
        <v>0</v>
      </c>
      <c r="AA308" s="326">
        <f t="shared" si="30"/>
        <v>0</v>
      </c>
      <c r="AB308" s="326">
        <f t="shared" si="31"/>
        <v>0</v>
      </c>
      <c r="AC308" s="326">
        <f t="shared" si="32"/>
        <v>0</v>
      </c>
      <c r="AD308" s="326">
        <f t="shared" si="33"/>
        <v>0</v>
      </c>
      <c r="AE308" s="326">
        <f t="shared" si="34"/>
        <v>0</v>
      </c>
      <c r="AF308" s="355"/>
      <c r="AG308" s="838"/>
      <c r="AH308" s="744"/>
      <c r="AI308" s="292"/>
      <c r="AK308" s="300"/>
      <c r="AS308" s="452"/>
    </row>
    <row r="309" spans="1:45" s="299" customFormat="1" ht="41.4">
      <c r="A309" s="353">
        <v>305</v>
      </c>
      <c r="B309" s="352">
        <v>100</v>
      </c>
      <c r="C309" s="352">
        <v>750</v>
      </c>
      <c r="D309" s="352">
        <v>300</v>
      </c>
      <c r="E309" s="352">
        <v>30</v>
      </c>
      <c r="F309" s="352"/>
      <c r="G309" s="323" t="s">
        <v>899</v>
      </c>
      <c r="H309" s="334"/>
      <c r="I309" s="331"/>
      <c r="J309" s="359"/>
      <c r="K309" s="359"/>
      <c r="L309" s="359"/>
      <c r="M309" s="359"/>
      <c r="N309" s="332"/>
      <c r="O309" s="333"/>
      <c r="P309" s="331">
        <v>0</v>
      </c>
      <c r="Q309" s="332"/>
      <c r="R309" s="334"/>
      <c r="S309" s="331"/>
      <c r="T309" s="331"/>
      <c r="U309" s="331"/>
      <c r="V309" s="331"/>
      <c r="W309" s="331"/>
      <c r="X309" s="331"/>
      <c r="Y309" s="1352">
        <f t="shared" si="28"/>
        <v>0</v>
      </c>
      <c r="Z309" s="1353">
        <f t="shared" si="29"/>
        <v>0</v>
      </c>
      <c r="AA309" s="331">
        <f t="shared" si="30"/>
        <v>0</v>
      </c>
      <c r="AB309" s="331">
        <f t="shared" si="31"/>
        <v>0</v>
      </c>
      <c r="AC309" s="331">
        <f t="shared" si="32"/>
        <v>0</v>
      </c>
      <c r="AD309" s="331">
        <f t="shared" si="33"/>
        <v>0</v>
      </c>
      <c r="AE309" s="331">
        <f t="shared" si="34"/>
        <v>0</v>
      </c>
      <c r="AF309" s="355" t="s">
        <v>900</v>
      </c>
      <c r="AG309" s="838"/>
      <c r="AH309" s="744"/>
      <c r="AI309" s="292"/>
      <c r="AK309" s="300"/>
      <c r="AS309" s="452"/>
    </row>
    <row r="310" spans="1:45" s="299" customFormat="1" ht="27.6">
      <c r="A310" s="353">
        <v>305</v>
      </c>
      <c r="B310" s="352">
        <v>100</v>
      </c>
      <c r="C310" s="352">
        <v>750</v>
      </c>
      <c r="D310" s="352">
        <v>300</v>
      </c>
      <c r="E310" s="352">
        <v>30</v>
      </c>
      <c r="F310" s="357">
        <v>5</v>
      </c>
      <c r="G310" s="342" t="s">
        <v>901</v>
      </c>
      <c r="H310" s="329"/>
      <c r="I310" s="326"/>
      <c r="J310" s="358"/>
      <c r="K310" s="358"/>
      <c r="L310" s="358"/>
      <c r="M310" s="358"/>
      <c r="N310" s="327"/>
      <c r="O310" s="328"/>
      <c r="P310" s="326">
        <v>0</v>
      </c>
      <c r="Q310" s="327"/>
      <c r="R310" s="329">
        <v>14400.02</v>
      </c>
      <c r="S310" s="326"/>
      <c r="T310" s="326"/>
      <c r="U310" s="326">
        <v>14400</v>
      </c>
      <c r="V310" s="326"/>
      <c r="W310" s="326"/>
      <c r="X310" s="326"/>
      <c r="Y310" s="1350">
        <f t="shared" si="28"/>
        <v>14400.02</v>
      </c>
      <c r="Z310" s="1351">
        <f t="shared" si="29"/>
        <v>0</v>
      </c>
      <c r="AA310" s="326">
        <f t="shared" si="30"/>
        <v>0</v>
      </c>
      <c r="AB310" s="326">
        <f t="shared" si="31"/>
        <v>14400</v>
      </c>
      <c r="AC310" s="326">
        <f t="shared" si="32"/>
        <v>0</v>
      </c>
      <c r="AD310" s="326">
        <f t="shared" si="33"/>
        <v>0</v>
      </c>
      <c r="AE310" s="326">
        <f t="shared" si="34"/>
        <v>0</v>
      </c>
      <c r="AF310" s="355"/>
      <c r="AG310" s="838"/>
      <c r="AH310" s="744"/>
      <c r="AI310" s="292"/>
      <c r="AK310" s="300"/>
      <c r="AS310" s="452"/>
    </row>
    <row r="311" spans="1:45" s="299" customFormat="1">
      <c r="A311" s="353">
        <v>305</v>
      </c>
      <c r="B311" s="352">
        <v>100</v>
      </c>
      <c r="C311" s="352">
        <v>750</v>
      </c>
      <c r="D311" s="352">
        <v>300</v>
      </c>
      <c r="E311" s="352">
        <v>30</v>
      </c>
      <c r="F311" s="357">
        <v>10</v>
      </c>
      <c r="G311" s="342" t="s">
        <v>902</v>
      </c>
      <c r="H311" s="329"/>
      <c r="I311" s="326"/>
      <c r="J311" s="358"/>
      <c r="K311" s="358"/>
      <c r="L311" s="358"/>
      <c r="M311" s="358"/>
      <c r="N311" s="327"/>
      <c r="O311" s="328">
        <v>65256</v>
      </c>
      <c r="P311" s="326">
        <v>0</v>
      </c>
      <c r="Q311" s="327"/>
      <c r="R311" s="329">
        <v>75501.8</v>
      </c>
      <c r="S311" s="326">
        <v>75501.8</v>
      </c>
      <c r="T311" s="326"/>
      <c r="U311" s="326">
        <v>133722.29999999999</v>
      </c>
      <c r="V311" s="326">
        <v>77104.22</v>
      </c>
      <c r="W311" s="326"/>
      <c r="X311" s="326">
        <v>33000</v>
      </c>
      <c r="Y311" s="1350">
        <f t="shared" si="28"/>
        <v>140757.79999999999</v>
      </c>
      <c r="Z311" s="1351">
        <f t="shared" si="29"/>
        <v>75501.8</v>
      </c>
      <c r="AA311" s="326">
        <f t="shared" si="30"/>
        <v>0</v>
      </c>
      <c r="AB311" s="326">
        <f t="shared" si="31"/>
        <v>133722.29999999999</v>
      </c>
      <c r="AC311" s="326">
        <f t="shared" si="32"/>
        <v>77104.22</v>
      </c>
      <c r="AD311" s="326">
        <f t="shared" si="33"/>
        <v>0</v>
      </c>
      <c r="AE311" s="326">
        <f t="shared" si="34"/>
        <v>33000</v>
      </c>
      <c r="AF311" s="355"/>
      <c r="AG311" s="838"/>
      <c r="AH311" s="744"/>
      <c r="AI311" s="292"/>
      <c r="AK311" s="300"/>
      <c r="AS311" s="452"/>
    </row>
    <row r="312" spans="1:45" s="299" customFormat="1">
      <c r="A312" s="353">
        <v>305</v>
      </c>
      <c r="B312" s="352">
        <v>100</v>
      </c>
      <c r="C312" s="352">
        <v>750</v>
      </c>
      <c r="D312" s="352">
        <v>300</v>
      </c>
      <c r="E312" s="352">
        <v>30</v>
      </c>
      <c r="F312" s="357">
        <v>15</v>
      </c>
      <c r="G312" s="342" t="s">
        <v>903</v>
      </c>
      <c r="H312" s="329"/>
      <c r="I312" s="326"/>
      <c r="J312" s="358"/>
      <c r="K312" s="358"/>
      <c r="L312" s="358"/>
      <c r="M312" s="358"/>
      <c r="N312" s="327"/>
      <c r="O312" s="328">
        <v>467722.57</v>
      </c>
      <c r="P312" s="326">
        <v>356850</v>
      </c>
      <c r="Q312" s="358">
        <v>388875</v>
      </c>
      <c r="R312" s="329"/>
      <c r="S312" s="326"/>
      <c r="T312" s="326"/>
      <c r="U312" s="326"/>
      <c r="V312" s="326"/>
      <c r="W312" s="326"/>
      <c r="X312" s="326"/>
      <c r="Y312" s="1350">
        <f t="shared" si="28"/>
        <v>467722.57</v>
      </c>
      <c r="Z312" s="1351">
        <f t="shared" si="29"/>
        <v>0</v>
      </c>
      <c r="AA312" s="326">
        <f t="shared" si="30"/>
        <v>0</v>
      </c>
      <c r="AB312" s="326">
        <f t="shared" si="31"/>
        <v>356850</v>
      </c>
      <c r="AC312" s="326">
        <f t="shared" si="32"/>
        <v>0</v>
      </c>
      <c r="AD312" s="326">
        <f t="shared" si="33"/>
        <v>0</v>
      </c>
      <c r="AE312" s="326">
        <f t="shared" si="34"/>
        <v>388875</v>
      </c>
      <c r="AF312" s="355"/>
      <c r="AG312" s="838"/>
      <c r="AH312" s="744"/>
      <c r="AI312" s="292"/>
      <c r="AK312" s="300"/>
      <c r="AS312" s="452"/>
    </row>
    <row r="313" spans="1:45" s="299" customFormat="1" ht="27.6">
      <c r="A313" s="353">
        <v>305</v>
      </c>
      <c r="B313" s="352">
        <v>100</v>
      </c>
      <c r="C313" s="352">
        <v>750</v>
      </c>
      <c r="D313" s="352">
        <v>300</v>
      </c>
      <c r="E313" s="352">
        <v>30</v>
      </c>
      <c r="F313" s="357">
        <v>20</v>
      </c>
      <c r="G313" s="342" t="s">
        <v>904</v>
      </c>
      <c r="H313" s="329"/>
      <c r="I313" s="326"/>
      <c r="J313" s="358"/>
      <c r="K313" s="358"/>
      <c r="L313" s="358"/>
      <c r="M313" s="358"/>
      <c r="N313" s="327"/>
      <c r="O313" s="328">
        <v>295930.14</v>
      </c>
      <c r="P313" s="326">
        <v>489520.3884</v>
      </c>
      <c r="Q313" s="358">
        <v>564454</v>
      </c>
      <c r="R313" s="329"/>
      <c r="S313" s="326"/>
      <c r="T313" s="326"/>
      <c r="U313" s="326"/>
      <c r="V313" s="326"/>
      <c r="W313" s="326"/>
      <c r="X313" s="326"/>
      <c r="Y313" s="1350">
        <f t="shared" si="28"/>
        <v>295930.14</v>
      </c>
      <c r="Z313" s="1351">
        <f t="shared" si="29"/>
        <v>0</v>
      </c>
      <c r="AA313" s="326">
        <f t="shared" si="30"/>
        <v>0</v>
      </c>
      <c r="AB313" s="326">
        <f t="shared" si="31"/>
        <v>489520.3884</v>
      </c>
      <c r="AC313" s="326">
        <f t="shared" si="32"/>
        <v>0</v>
      </c>
      <c r="AD313" s="326">
        <f t="shared" si="33"/>
        <v>0</v>
      </c>
      <c r="AE313" s="326">
        <f t="shared" si="34"/>
        <v>564454</v>
      </c>
      <c r="AF313" s="355"/>
      <c r="AG313" s="838"/>
      <c r="AH313" s="744"/>
      <c r="AI313" s="292"/>
      <c r="AK313" s="300"/>
      <c r="AS313" s="452"/>
    </row>
    <row r="314" spans="1:45" s="299" customFormat="1" ht="27.6">
      <c r="A314" s="353">
        <v>305</v>
      </c>
      <c r="B314" s="352">
        <v>100</v>
      </c>
      <c r="C314" s="352">
        <v>750</v>
      </c>
      <c r="D314" s="352">
        <v>300</v>
      </c>
      <c r="E314" s="352">
        <v>40</v>
      </c>
      <c r="F314" s="352"/>
      <c r="G314" s="323" t="s">
        <v>905</v>
      </c>
      <c r="H314" s="334"/>
      <c r="I314" s="331"/>
      <c r="J314" s="359"/>
      <c r="K314" s="359"/>
      <c r="L314" s="359"/>
      <c r="M314" s="359"/>
      <c r="N314" s="332"/>
      <c r="O314" s="333"/>
      <c r="P314" s="331">
        <v>0</v>
      </c>
      <c r="Q314" s="332"/>
      <c r="R314" s="334"/>
      <c r="S314" s="331"/>
      <c r="T314" s="331"/>
      <c r="U314" s="331"/>
      <c r="V314" s="331"/>
      <c r="W314" s="331"/>
      <c r="X314" s="331"/>
      <c r="Y314" s="1352">
        <f t="shared" si="28"/>
        <v>0</v>
      </c>
      <c r="Z314" s="1353">
        <f t="shared" si="29"/>
        <v>0</v>
      </c>
      <c r="AA314" s="331">
        <f t="shared" si="30"/>
        <v>0</v>
      </c>
      <c r="AB314" s="331">
        <f t="shared" si="31"/>
        <v>0</v>
      </c>
      <c r="AC314" s="331">
        <f t="shared" si="32"/>
        <v>0</v>
      </c>
      <c r="AD314" s="331">
        <f t="shared" si="33"/>
        <v>0</v>
      </c>
      <c r="AE314" s="331">
        <f t="shared" si="34"/>
        <v>0</v>
      </c>
      <c r="AF314" s="355" t="s">
        <v>906</v>
      </c>
      <c r="AG314" s="838"/>
      <c r="AH314" s="744"/>
      <c r="AI314" s="292"/>
      <c r="AK314" s="300"/>
      <c r="AS314" s="452"/>
    </row>
    <row r="315" spans="1:45" s="299" customFormat="1" ht="27.6">
      <c r="A315" s="353">
        <v>305</v>
      </c>
      <c r="B315" s="352">
        <v>100</v>
      </c>
      <c r="C315" s="352">
        <v>750</v>
      </c>
      <c r="D315" s="352">
        <v>300</v>
      </c>
      <c r="E315" s="352">
        <v>40</v>
      </c>
      <c r="F315" s="357">
        <v>5</v>
      </c>
      <c r="G315" s="342" t="s">
        <v>907</v>
      </c>
      <c r="H315" s="329"/>
      <c r="I315" s="326"/>
      <c r="J315" s="358"/>
      <c r="K315" s="358"/>
      <c r="L315" s="358"/>
      <c r="M315" s="358"/>
      <c r="N315" s="327"/>
      <c r="O315" s="328"/>
      <c r="P315" s="326">
        <v>0</v>
      </c>
      <c r="Q315" s="327"/>
      <c r="R315" s="329">
        <v>552378.77</v>
      </c>
      <c r="S315" s="326"/>
      <c r="T315" s="326"/>
      <c r="U315" s="326">
        <v>494255</v>
      </c>
      <c r="V315" s="326"/>
      <c r="W315" s="326"/>
      <c r="X315" s="326">
        <v>425000</v>
      </c>
      <c r="Y315" s="1350">
        <f t="shared" si="28"/>
        <v>552378.77</v>
      </c>
      <c r="Z315" s="1351">
        <f t="shared" si="29"/>
        <v>0</v>
      </c>
      <c r="AA315" s="326">
        <f t="shared" si="30"/>
        <v>0</v>
      </c>
      <c r="AB315" s="326">
        <f t="shared" si="31"/>
        <v>494255</v>
      </c>
      <c r="AC315" s="326">
        <f t="shared" si="32"/>
        <v>0</v>
      </c>
      <c r="AD315" s="326">
        <f t="shared" si="33"/>
        <v>0</v>
      </c>
      <c r="AE315" s="326">
        <f t="shared" si="34"/>
        <v>425000</v>
      </c>
      <c r="AF315" s="355"/>
      <c r="AG315" s="838"/>
      <c r="AH315" s="744"/>
      <c r="AI315" s="292"/>
      <c r="AK315" s="300"/>
      <c r="AS315" s="452"/>
    </row>
    <row r="316" spans="1:45" s="299" customFormat="1">
      <c r="A316" s="353">
        <v>305</v>
      </c>
      <c r="B316" s="352">
        <v>100</v>
      </c>
      <c r="C316" s="352">
        <v>750</v>
      </c>
      <c r="D316" s="352">
        <v>300</v>
      </c>
      <c r="E316" s="352">
        <v>40</v>
      </c>
      <c r="F316" s="357">
        <v>10</v>
      </c>
      <c r="G316" s="342" t="s">
        <v>637</v>
      </c>
      <c r="H316" s="329"/>
      <c r="I316" s="326"/>
      <c r="J316" s="358"/>
      <c r="K316" s="358"/>
      <c r="L316" s="358"/>
      <c r="M316" s="358"/>
      <c r="N316" s="327"/>
      <c r="O316" s="328"/>
      <c r="P316" s="326">
        <v>0</v>
      </c>
      <c r="Q316" s="327"/>
      <c r="R316" s="329">
        <v>231909.95</v>
      </c>
      <c r="S316" s="326"/>
      <c r="T316" s="326"/>
      <c r="U316" s="326">
        <v>199932</v>
      </c>
      <c r="V316" s="326"/>
      <c r="W316" s="326"/>
      <c r="X316" s="326">
        <v>157000</v>
      </c>
      <c r="Y316" s="1350">
        <f t="shared" si="28"/>
        <v>231909.95</v>
      </c>
      <c r="Z316" s="1351">
        <f t="shared" si="29"/>
        <v>0</v>
      </c>
      <c r="AA316" s="326">
        <f t="shared" si="30"/>
        <v>0</v>
      </c>
      <c r="AB316" s="326">
        <f t="shared" si="31"/>
        <v>199932</v>
      </c>
      <c r="AC316" s="326">
        <f t="shared" si="32"/>
        <v>0</v>
      </c>
      <c r="AD316" s="326">
        <f t="shared" si="33"/>
        <v>0</v>
      </c>
      <c r="AE316" s="326">
        <f t="shared" si="34"/>
        <v>157000</v>
      </c>
      <c r="AF316" s="436"/>
      <c r="AG316" s="840"/>
      <c r="AH316" s="744"/>
      <c r="AI316" s="292"/>
      <c r="AK316" s="300"/>
      <c r="AS316" s="452"/>
    </row>
    <row r="317" spans="1:45" s="299" customFormat="1">
      <c r="A317" s="353">
        <v>305</v>
      </c>
      <c r="B317" s="352">
        <v>100</v>
      </c>
      <c r="C317" s="352">
        <v>750</v>
      </c>
      <c r="D317" s="352">
        <v>300</v>
      </c>
      <c r="E317" s="357">
        <v>50</v>
      </c>
      <c r="F317" s="352"/>
      <c r="G317" s="342" t="s">
        <v>908</v>
      </c>
      <c r="H317" s="329">
        <v>675533.79</v>
      </c>
      <c r="I317" s="326">
        <v>232089.76</v>
      </c>
      <c r="J317" s="358"/>
      <c r="K317" s="358">
        <v>751691.86</v>
      </c>
      <c r="L317" s="358">
        <v>232089.76</v>
      </c>
      <c r="M317" s="358"/>
      <c r="N317" s="327">
        <v>255529</v>
      </c>
      <c r="O317" s="328"/>
      <c r="P317" s="326">
        <v>0</v>
      </c>
      <c r="Q317" s="327"/>
      <c r="R317" s="329"/>
      <c r="S317" s="326"/>
      <c r="T317" s="326"/>
      <c r="U317" s="326"/>
      <c r="V317" s="326"/>
      <c r="W317" s="326"/>
      <c r="X317" s="326"/>
      <c r="Y317" s="1350">
        <f t="shared" si="28"/>
        <v>675533.79</v>
      </c>
      <c r="Z317" s="1351">
        <f t="shared" si="29"/>
        <v>232089.76</v>
      </c>
      <c r="AA317" s="326">
        <f t="shared" si="30"/>
        <v>0</v>
      </c>
      <c r="AB317" s="326">
        <f t="shared" si="31"/>
        <v>751691.86</v>
      </c>
      <c r="AC317" s="326">
        <f t="shared" si="32"/>
        <v>232089.76</v>
      </c>
      <c r="AD317" s="326">
        <f t="shared" si="33"/>
        <v>0</v>
      </c>
      <c r="AE317" s="326">
        <f t="shared" si="34"/>
        <v>255529</v>
      </c>
      <c r="AF317" s="355" t="s">
        <v>909</v>
      </c>
      <c r="AG317" s="838"/>
      <c r="AH317" s="744"/>
      <c r="AI317" s="292"/>
      <c r="AK317" s="300"/>
      <c r="AS317" s="452"/>
    </row>
    <row r="318" spans="1:45" s="299" customFormat="1" ht="27.6">
      <c r="A318" s="353">
        <v>305</v>
      </c>
      <c r="B318" s="352">
        <v>100</v>
      </c>
      <c r="C318" s="352">
        <v>750</v>
      </c>
      <c r="D318" s="352">
        <v>300</v>
      </c>
      <c r="E318" s="352">
        <v>60</v>
      </c>
      <c r="F318" s="352"/>
      <c r="G318" s="323" t="s">
        <v>910</v>
      </c>
      <c r="H318" s="334"/>
      <c r="I318" s="331"/>
      <c r="J318" s="359"/>
      <c r="K318" s="359"/>
      <c r="L318" s="359"/>
      <c r="M318" s="359"/>
      <c r="N318" s="332"/>
      <c r="O318" s="333"/>
      <c r="P318" s="331">
        <v>0</v>
      </c>
      <c r="Q318" s="332"/>
      <c r="R318" s="334"/>
      <c r="S318" s="331"/>
      <c r="T318" s="331"/>
      <c r="U318" s="331"/>
      <c r="V318" s="331"/>
      <c r="W318" s="331"/>
      <c r="X318" s="331"/>
      <c r="Y318" s="1352">
        <f t="shared" si="28"/>
        <v>0</v>
      </c>
      <c r="Z318" s="1353">
        <f t="shared" si="29"/>
        <v>0</v>
      </c>
      <c r="AA318" s="331">
        <f t="shared" si="30"/>
        <v>0</v>
      </c>
      <c r="AB318" s="331">
        <f t="shared" si="31"/>
        <v>0</v>
      </c>
      <c r="AC318" s="331">
        <f t="shared" si="32"/>
        <v>0</v>
      </c>
      <c r="AD318" s="331">
        <f t="shared" si="33"/>
        <v>0</v>
      </c>
      <c r="AE318" s="331">
        <f t="shared" si="34"/>
        <v>0</v>
      </c>
      <c r="AF318" s="355" t="s">
        <v>911</v>
      </c>
      <c r="AG318" s="838"/>
      <c r="AH318" s="744"/>
      <c r="AI318" s="292"/>
      <c r="AK318" s="300"/>
      <c r="AS318" s="452"/>
    </row>
    <row r="319" spans="1:45" s="299" customFormat="1" ht="27.6">
      <c r="A319" s="353">
        <v>305</v>
      </c>
      <c r="B319" s="352">
        <v>100</v>
      </c>
      <c r="C319" s="352">
        <v>750</v>
      </c>
      <c r="D319" s="352">
        <v>300</v>
      </c>
      <c r="E319" s="352">
        <v>60</v>
      </c>
      <c r="F319" s="357">
        <v>5</v>
      </c>
      <c r="G319" s="342" t="s">
        <v>912</v>
      </c>
      <c r="H319" s="329"/>
      <c r="I319" s="326"/>
      <c r="J319" s="358"/>
      <c r="K319" s="358"/>
      <c r="L319" s="358"/>
      <c r="M319" s="358"/>
      <c r="N319" s="327"/>
      <c r="O319" s="328"/>
      <c r="P319" s="326">
        <v>0</v>
      </c>
      <c r="Q319" s="327"/>
      <c r="R319" s="329"/>
      <c r="S319" s="326"/>
      <c r="T319" s="326"/>
      <c r="U319" s="326"/>
      <c r="V319" s="326"/>
      <c r="W319" s="326"/>
      <c r="X319" s="326"/>
      <c r="Y319" s="1350">
        <f t="shared" si="28"/>
        <v>0</v>
      </c>
      <c r="Z319" s="1351">
        <f t="shared" si="29"/>
        <v>0</v>
      </c>
      <c r="AA319" s="326">
        <f t="shared" si="30"/>
        <v>0</v>
      </c>
      <c r="AB319" s="326">
        <f t="shared" si="31"/>
        <v>0</v>
      </c>
      <c r="AC319" s="326">
        <f t="shared" si="32"/>
        <v>0</v>
      </c>
      <c r="AD319" s="326">
        <f t="shared" si="33"/>
        <v>0</v>
      </c>
      <c r="AE319" s="326">
        <f t="shared" si="34"/>
        <v>0</v>
      </c>
      <c r="AF319" s="355"/>
      <c r="AG319" s="838"/>
      <c r="AH319" s="744"/>
      <c r="AI319" s="292"/>
      <c r="AK319" s="300"/>
      <c r="AS319" s="452"/>
    </row>
    <row r="320" spans="1:45" s="299" customFormat="1">
      <c r="A320" s="736">
        <v>305</v>
      </c>
      <c r="B320" s="819">
        <v>100</v>
      </c>
      <c r="C320" s="819">
        <v>750</v>
      </c>
      <c r="D320" s="819">
        <v>300</v>
      </c>
      <c r="E320" s="819">
        <v>60</v>
      </c>
      <c r="F320" s="737">
        <v>10</v>
      </c>
      <c r="G320" s="820" t="s">
        <v>913</v>
      </c>
      <c r="H320" s="329"/>
      <c r="I320" s="326"/>
      <c r="J320" s="358"/>
      <c r="K320" s="358"/>
      <c r="L320" s="358"/>
      <c r="M320" s="358"/>
      <c r="N320" s="327"/>
      <c r="O320" s="328"/>
      <c r="P320" s="326">
        <v>0</v>
      </c>
      <c r="Q320" s="327"/>
      <c r="R320" s="329">
        <v>7373.86</v>
      </c>
      <c r="S320" s="326"/>
      <c r="T320" s="326"/>
      <c r="U320" s="326">
        <v>6827.11</v>
      </c>
      <c r="V320" s="326"/>
      <c r="W320" s="326"/>
      <c r="X320" s="326"/>
      <c r="Y320" s="1350">
        <f t="shared" si="28"/>
        <v>7373.86</v>
      </c>
      <c r="Z320" s="1351">
        <f t="shared" si="29"/>
        <v>0</v>
      </c>
      <c r="AA320" s="326">
        <f t="shared" si="30"/>
        <v>0</v>
      </c>
      <c r="AB320" s="326">
        <f t="shared" si="31"/>
        <v>6827.11</v>
      </c>
      <c r="AC320" s="326">
        <f t="shared" si="32"/>
        <v>0</v>
      </c>
      <c r="AD320" s="326">
        <f t="shared" si="33"/>
        <v>0</v>
      </c>
      <c r="AE320" s="326">
        <f t="shared" si="34"/>
        <v>0</v>
      </c>
      <c r="AF320" s="355"/>
      <c r="AG320" s="838"/>
      <c r="AH320" s="744"/>
      <c r="AI320" s="292"/>
      <c r="AK320" s="300"/>
      <c r="AS320" s="452"/>
    </row>
    <row r="321" spans="1:45" s="299" customFormat="1">
      <c r="A321" s="353">
        <v>305</v>
      </c>
      <c r="B321" s="352">
        <v>100</v>
      </c>
      <c r="C321" s="352">
        <v>750</v>
      </c>
      <c r="D321" s="352">
        <v>300</v>
      </c>
      <c r="E321" s="352">
        <v>60</v>
      </c>
      <c r="F321" s="357">
        <v>15</v>
      </c>
      <c r="G321" s="342" t="s">
        <v>914</v>
      </c>
      <c r="H321" s="329"/>
      <c r="I321" s="326"/>
      <c r="J321" s="358"/>
      <c r="K321" s="358"/>
      <c r="L321" s="358"/>
      <c r="M321" s="358"/>
      <c r="N321" s="327"/>
      <c r="O321" s="328">
        <v>412811.59</v>
      </c>
      <c r="P321" s="326">
        <v>311100</v>
      </c>
      <c r="Q321" s="358">
        <v>183000</v>
      </c>
      <c r="R321" s="329"/>
      <c r="S321" s="326"/>
      <c r="T321" s="326"/>
      <c r="U321" s="326"/>
      <c r="V321" s="326"/>
      <c r="W321" s="326"/>
      <c r="X321" s="326"/>
      <c r="Y321" s="1350">
        <f t="shared" si="28"/>
        <v>412811.59</v>
      </c>
      <c r="Z321" s="1351">
        <f t="shared" si="29"/>
        <v>0</v>
      </c>
      <c r="AA321" s="326">
        <f t="shared" si="30"/>
        <v>0</v>
      </c>
      <c r="AB321" s="326">
        <f t="shared" si="31"/>
        <v>311100</v>
      </c>
      <c r="AC321" s="326">
        <f t="shared" si="32"/>
        <v>0</v>
      </c>
      <c r="AD321" s="326">
        <f t="shared" si="33"/>
        <v>0</v>
      </c>
      <c r="AE321" s="326">
        <f t="shared" si="34"/>
        <v>183000</v>
      </c>
      <c r="AF321" s="355"/>
      <c r="AG321" s="838"/>
      <c r="AH321" s="744"/>
      <c r="AI321" s="292"/>
      <c r="AK321" s="300"/>
      <c r="AS321" s="452"/>
    </row>
    <row r="322" spans="1:45" s="299" customFormat="1">
      <c r="A322" s="353">
        <v>305</v>
      </c>
      <c r="B322" s="352">
        <v>100</v>
      </c>
      <c r="C322" s="352">
        <v>750</v>
      </c>
      <c r="D322" s="352">
        <v>300</v>
      </c>
      <c r="E322" s="352">
        <v>60</v>
      </c>
      <c r="F322" s="357">
        <v>20</v>
      </c>
      <c r="G322" s="342" t="s">
        <v>915</v>
      </c>
      <c r="H322" s="329"/>
      <c r="I322" s="326"/>
      <c r="J322" s="358"/>
      <c r="K322" s="358"/>
      <c r="L322" s="358"/>
      <c r="M322" s="358"/>
      <c r="N322" s="327"/>
      <c r="O322" s="328">
        <v>240133.79</v>
      </c>
      <c r="P322" s="326">
        <v>317505</v>
      </c>
      <c r="Q322" s="358">
        <v>269838</v>
      </c>
      <c r="R322" s="329"/>
      <c r="S322" s="326"/>
      <c r="T322" s="326"/>
      <c r="U322" s="326"/>
      <c r="V322" s="326"/>
      <c r="W322" s="326"/>
      <c r="X322" s="326"/>
      <c r="Y322" s="1350">
        <f t="shared" si="28"/>
        <v>240133.79</v>
      </c>
      <c r="Z322" s="1351">
        <f t="shared" si="29"/>
        <v>0</v>
      </c>
      <c r="AA322" s="326">
        <f t="shared" si="30"/>
        <v>0</v>
      </c>
      <c r="AB322" s="326">
        <f t="shared" si="31"/>
        <v>317505</v>
      </c>
      <c r="AC322" s="326">
        <f t="shared" si="32"/>
        <v>0</v>
      </c>
      <c r="AD322" s="326">
        <f t="shared" si="33"/>
        <v>0</v>
      </c>
      <c r="AE322" s="326">
        <f t="shared" si="34"/>
        <v>269838</v>
      </c>
      <c r="AF322" s="355"/>
      <c r="AG322" s="838"/>
      <c r="AH322" s="744"/>
      <c r="AI322" s="292"/>
      <c r="AK322" s="300"/>
      <c r="AS322" s="452"/>
    </row>
    <row r="323" spans="1:45" s="299" customFormat="1" ht="27.6">
      <c r="A323" s="353">
        <v>305</v>
      </c>
      <c r="B323" s="352">
        <v>100</v>
      </c>
      <c r="C323" s="352">
        <v>750</v>
      </c>
      <c r="D323" s="352">
        <v>300</v>
      </c>
      <c r="E323" s="352">
        <v>60</v>
      </c>
      <c r="F323" s="357">
        <v>25</v>
      </c>
      <c r="G323" s="342" t="s">
        <v>916</v>
      </c>
      <c r="H323" s="329"/>
      <c r="I323" s="326"/>
      <c r="J323" s="358"/>
      <c r="K323" s="358"/>
      <c r="L323" s="358"/>
      <c r="M323" s="358"/>
      <c r="N323" s="327"/>
      <c r="O323" s="328"/>
      <c r="P323" s="326">
        <v>0</v>
      </c>
      <c r="Q323" s="327"/>
      <c r="R323" s="329">
        <v>4222.3</v>
      </c>
      <c r="S323" s="326"/>
      <c r="T323" s="326"/>
      <c r="U323" s="326">
        <v>4222.3</v>
      </c>
      <c r="V323" s="326"/>
      <c r="W323" s="326"/>
      <c r="X323" s="326">
        <v>15000</v>
      </c>
      <c r="Y323" s="1350">
        <f t="shared" si="28"/>
        <v>4222.3</v>
      </c>
      <c r="Z323" s="1351">
        <f t="shared" si="29"/>
        <v>0</v>
      </c>
      <c r="AA323" s="326">
        <f t="shared" si="30"/>
        <v>0</v>
      </c>
      <c r="AB323" s="326">
        <f t="shared" si="31"/>
        <v>4222.3</v>
      </c>
      <c r="AC323" s="326">
        <f t="shared" si="32"/>
        <v>0</v>
      </c>
      <c r="AD323" s="326">
        <f t="shared" si="33"/>
        <v>0</v>
      </c>
      <c r="AE323" s="326">
        <f t="shared" si="34"/>
        <v>15000</v>
      </c>
      <c r="AF323" s="355"/>
      <c r="AG323" s="838"/>
      <c r="AH323" s="744"/>
      <c r="AI323" s="297"/>
      <c r="AJ323" s="742"/>
      <c r="AK323" s="300"/>
      <c r="AS323" s="452"/>
    </row>
    <row r="324" spans="1:45" s="299" customFormat="1">
      <c r="A324" s="353">
        <v>305</v>
      </c>
      <c r="B324" s="352">
        <v>100</v>
      </c>
      <c r="C324" s="352">
        <v>750</v>
      </c>
      <c r="D324" s="352">
        <v>300</v>
      </c>
      <c r="E324" s="352">
        <v>60</v>
      </c>
      <c r="F324" s="357">
        <v>30</v>
      </c>
      <c r="G324" s="342" t="s">
        <v>917</v>
      </c>
      <c r="H324" s="329"/>
      <c r="I324" s="326"/>
      <c r="J324" s="358"/>
      <c r="K324" s="358"/>
      <c r="L324" s="358"/>
      <c r="M324" s="358"/>
      <c r="N324" s="327"/>
      <c r="O324" s="328"/>
      <c r="P324" s="326">
        <v>0</v>
      </c>
      <c r="Q324" s="327"/>
      <c r="R324" s="329">
        <v>71583.55</v>
      </c>
      <c r="S324" s="326"/>
      <c r="T324" s="326"/>
      <c r="U324" s="326">
        <v>60000</v>
      </c>
      <c r="V324" s="326"/>
      <c r="W324" s="326"/>
      <c r="X324" s="326"/>
      <c r="Y324" s="1350">
        <f t="shared" si="28"/>
        <v>71583.55</v>
      </c>
      <c r="Z324" s="1351">
        <f t="shared" si="29"/>
        <v>0</v>
      </c>
      <c r="AA324" s="326">
        <f t="shared" si="30"/>
        <v>0</v>
      </c>
      <c r="AB324" s="326">
        <f t="shared" si="31"/>
        <v>60000</v>
      </c>
      <c r="AC324" s="326">
        <f t="shared" si="32"/>
        <v>0</v>
      </c>
      <c r="AD324" s="326">
        <f t="shared" si="33"/>
        <v>0</v>
      </c>
      <c r="AE324" s="326">
        <f t="shared" si="34"/>
        <v>0</v>
      </c>
      <c r="AF324" s="355"/>
      <c r="AG324" s="838"/>
      <c r="AH324" s="744"/>
      <c r="AI324" s="292"/>
      <c r="AK324" s="300"/>
      <c r="AS324" s="452"/>
    </row>
    <row r="325" spans="1:45" s="299" customFormat="1">
      <c r="A325" s="353">
        <v>305</v>
      </c>
      <c r="B325" s="352">
        <v>100</v>
      </c>
      <c r="C325" s="352">
        <v>750</v>
      </c>
      <c r="D325" s="352">
        <v>300</v>
      </c>
      <c r="E325" s="352">
        <v>60</v>
      </c>
      <c r="F325" s="357">
        <v>35</v>
      </c>
      <c r="G325" s="342" t="s">
        <v>918</v>
      </c>
      <c r="H325" s="329"/>
      <c r="I325" s="326"/>
      <c r="J325" s="358"/>
      <c r="K325" s="358"/>
      <c r="L325" s="358"/>
      <c r="M325" s="358"/>
      <c r="N325" s="327"/>
      <c r="O325" s="328"/>
      <c r="P325" s="326">
        <v>0</v>
      </c>
      <c r="Q325" s="327"/>
      <c r="R325" s="329"/>
      <c r="S325" s="326"/>
      <c r="T325" s="326"/>
      <c r="U325" s="326"/>
      <c r="V325" s="326"/>
      <c r="W325" s="326"/>
      <c r="X325" s="326"/>
      <c r="Y325" s="1350">
        <f t="shared" si="28"/>
        <v>0</v>
      </c>
      <c r="Z325" s="1351">
        <f t="shared" si="29"/>
        <v>0</v>
      </c>
      <c r="AA325" s="326">
        <f t="shared" si="30"/>
        <v>0</v>
      </c>
      <c r="AB325" s="326">
        <f t="shared" si="31"/>
        <v>0</v>
      </c>
      <c r="AC325" s="326">
        <f t="shared" si="32"/>
        <v>0</v>
      </c>
      <c r="AD325" s="326">
        <f t="shared" si="33"/>
        <v>0</v>
      </c>
      <c r="AE325" s="326">
        <f t="shared" si="34"/>
        <v>0</v>
      </c>
      <c r="AF325" s="355"/>
      <c r="AG325" s="838"/>
      <c r="AH325" s="744"/>
      <c r="AI325" s="292"/>
      <c r="AK325" s="300"/>
      <c r="AS325" s="452"/>
    </row>
    <row r="326" spans="1:45" s="299" customFormat="1" ht="27.6">
      <c r="A326" s="353">
        <v>305</v>
      </c>
      <c r="B326" s="352">
        <v>100</v>
      </c>
      <c r="C326" s="352">
        <v>750</v>
      </c>
      <c r="D326" s="352">
        <v>300</v>
      </c>
      <c r="E326" s="352">
        <v>60</v>
      </c>
      <c r="F326" s="357">
        <v>40</v>
      </c>
      <c r="G326" s="342" t="s">
        <v>919</v>
      </c>
      <c r="H326" s="329"/>
      <c r="I326" s="326"/>
      <c r="J326" s="358"/>
      <c r="K326" s="358"/>
      <c r="L326" s="358"/>
      <c r="M326" s="358"/>
      <c r="N326" s="327"/>
      <c r="O326" s="328"/>
      <c r="P326" s="326">
        <v>0</v>
      </c>
      <c r="Q326" s="327"/>
      <c r="R326" s="329"/>
      <c r="S326" s="326"/>
      <c r="T326" s="326"/>
      <c r="U326" s="326"/>
      <c r="V326" s="326"/>
      <c r="W326" s="326"/>
      <c r="X326" s="326"/>
      <c r="Y326" s="1350">
        <f t="shared" si="28"/>
        <v>0</v>
      </c>
      <c r="Z326" s="1351">
        <f t="shared" si="29"/>
        <v>0</v>
      </c>
      <c r="AA326" s="326">
        <f t="shared" si="30"/>
        <v>0</v>
      </c>
      <c r="AB326" s="326">
        <f t="shared" si="31"/>
        <v>0</v>
      </c>
      <c r="AC326" s="326">
        <f t="shared" si="32"/>
        <v>0</v>
      </c>
      <c r="AD326" s="326">
        <f t="shared" si="33"/>
        <v>0</v>
      </c>
      <c r="AE326" s="326">
        <f t="shared" si="34"/>
        <v>0</v>
      </c>
      <c r="AF326" s="355"/>
      <c r="AG326" s="838"/>
      <c r="AH326" s="744"/>
      <c r="AI326" s="292"/>
      <c r="AK326" s="300"/>
      <c r="AS326" s="452"/>
    </row>
    <row r="327" spans="1:45" s="299" customFormat="1" ht="41.4">
      <c r="A327" s="353">
        <v>305</v>
      </c>
      <c r="B327" s="352">
        <v>100</v>
      </c>
      <c r="C327" s="352">
        <v>750</v>
      </c>
      <c r="D327" s="352">
        <v>300</v>
      </c>
      <c r="E327" s="352">
        <v>60</v>
      </c>
      <c r="F327" s="357">
        <v>90</v>
      </c>
      <c r="G327" s="342" t="s">
        <v>920</v>
      </c>
      <c r="H327" s="329"/>
      <c r="I327" s="326"/>
      <c r="J327" s="358"/>
      <c r="K327" s="358"/>
      <c r="L327" s="358"/>
      <c r="M327" s="358"/>
      <c r="N327" s="327"/>
      <c r="O327" s="328"/>
      <c r="P327" s="326">
        <v>0</v>
      </c>
      <c r="Q327" s="327"/>
      <c r="R327" s="329">
        <v>19087.810000000001</v>
      </c>
      <c r="S327" s="326"/>
      <c r="T327" s="326"/>
      <c r="U327" s="326"/>
      <c r="V327" s="326"/>
      <c r="W327" s="326"/>
      <c r="X327" s="326"/>
      <c r="Y327" s="1350">
        <f t="shared" ref="Y327:Y390" si="35">+H327+O327+R327</f>
        <v>19087.810000000001</v>
      </c>
      <c r="Z327" s="1351">
        <f t="shared" ref="Z327:Z390" si="36">+I327+S327</f>
        <v>0</v>
      </c>
      <c r="AA327" s="326">
        <f t="shared" ref="AA327:AA390" si="37">+J327+T327</f>
        <v>0</v>
      </c>
      <c r="AB327" s="326">
        <f t="shared" ref="AB327:AB390" si="38">+K327+P327+U327</f>
        <v>0</v>
      </c>
      <c r="AC327" s="326">
        <f t="shared" ref="AC327:AC390" si="39">+L327+V327</f>
        <v>0</v>
      </c>
      <c r="AD327" s="326">
        <f t="shared" ref="AD327:AD390" si="40">+M327+W327</f>
        <v>0</v>
      </c>
      <c r="AE327" s="326">
        <f t="shared" ref="AE327:AE390" si="41">+N327+X327+Q327</f>
        <v>0</v>
      </c>
      <c r="AF327" s="355"/>
      <c r="AG327" s="838"/>
      <c r="AH327" s="744"/>
      <c r="AI327" s="292"/>
      <c r="AK327" s="300"/>
      <c r="AS327" s="452"/>
    </row>
    <row r="328" spans="1:45" s="299" customFormat="1" ht="27.6">
      <c r="A328" s="353">
        <v>305</v>
      </c>
      <c r="B328" s="352">
        <v>100</v>
      </c>
      <c r="C328" s="352">
        <v>750</v>
      </c>
      <c r="D328" s="352">
        <v>400</v>
      </c>
      <c r="E328" s="352"/>
      <c r="F328" s="352"/>
      <c r="G328" s="323" t="s">
        <v>921</v>
      </c>
      <c r="H328" s="334"/>
      <c r="I328" s="331"/>
      <c r="J328" s="359"/>
      <c r="K328" s="359"/>
      <c r="L328" s="359"/>
      <c r="M328" s="359"/>
      <c r="N328" s="332"/>
      <c r="O328" s="333"/>
      <c r="P328" s="331">
        <v>0</v>
      </c>
      <c r="Q328" s="332"/>
      <c r="R328" s="334"/>
      <c r="S328" s="331"/>
      <c r="T328" s="331"/>
      <c r="U328" s="331"/>
      <c r="V328" s="331"/>
      <c r="W328" s="331"/>
      <c r="X328" s="331"/>
      <c r="Y328" s="1352">
        <f t="shared" si="35"/>
        <v>0</v>
      </c>
      <c r="Z328" s="1353">
        <f t="shared" si="36"/>
        <v>0</v>
      </c>
      <c r="AA328" s="331">
        <f t="shared" si="37"/>
        <v>0</v>
      </c>
      <c r="AB328" s="331">
        <f t="shared" si="38"/>
        <v>0</v>
      </c>
      <c r="AC328" s="331">
        <f t="shared" si="39"/>
        <v>0</v>
      </c>
      <c r="AD328" s="331">
        <f t="shared" si="40"/>
        <v>0</v>
      </c>
      <c r="AE328" s="331">
        <f t="shared" si="41"/>
        <v>0</v>
      </c>
      <c r="AF328" s="424" t="s">
        <v>922</v>
      </c>
      <c r="AG328" s="838"/>
      <c r="AH328" s="744"/>
      <c r="AI328" s="292"/>
      <c r="AK328" s="300"/>
      <c r="AS328" s="452"/>
    </row>
    <row r="329" spans="1:45" s="299" customFormat="1" ht="55.2">
      <c r="A329" s="353">
        <v>305</v>
      </c>
      <c r="B329" s="352">
        <v>100</v>
      </c>
      <c r="C329" s="352">
        <v>750</v>
      </c>
      <c r="D329" s="352">
        <v>400</v>
      </c>
      <c r="E329" s="357">
        <v>10</v>
      </c>
      <c r="F329" s="357"/>
      <c r="G329" s="342" t="s">
        <v>923</v>
      </c>
      <c r="H329" s="329"/>
      <c r="I329" s="326"/>
      <c r="J329" s="358"/>
      <c r="K329" s="358"/>
      <c r="L329" s="358"/>
      <c r="M329" s="358"/>
      <c r="N329" s="327"/>
      <c r="O329" s="328"/>
      <c r="P329" s="326">
        <v>0</v>
      </c>
      <c r="Q329" s="327"/>
      <c r="R329" s="329">
        <v>3440.15</v>
      </c>
      <c r="S329" s="326"/>
      <c r="T329" s="326"/>
      <c r="U329" s="326"/>
      <c r="V329" s="326"/>
      <c r="W329" s="326"/>
      <c r="X329" s="326"/>
      <c r="Y329" s="1350">
        <f t="shared" si="35"/>
        <v>3440.15</v>
      </c>
      <c r="Z329" s="1351">
        <f t="shared" si="36"/>
        <v>0</v>
      </c>
      <c r="AA329" s="326">
        <f t="shared" si="37"/>
        <v>0</v>
      </c>
      <c r="AB329" s="326">
        <f t="shared" si="38"/>
        <v>0</v>
      </c>
      <c r="AC329" s="326">
        <f t="shared" si="39"/>
        <v>0</v>
      </c>
      <c r="AD329" s="326">
        <f t="shared" si="40"/>
        <v>0</v>
      </c>
      <c r="AE329" s="326">
        <f t="shared" si="41"/>
        <v>0</v>
      </c>
      <c r="AF329" s="424" t="s">
        <v>924</v>
      </c>
      <c r="AG329" s="838"/>
      <c r="AH329" s="744"/>
      <c r="AI329" s="292"/>
      <c r="AK329" s="300"/>
      <c r="AS329" s="452"/>
    </row>
    <row r="330" spans="1:45" s="299" customFormat="1" ht="55.2">
      <c r="A330" s="353">
        <v>305</v>
      </c>
      <c r="B330" s="352">
        <v>100</v>
      </c>
      <c r="C330" s="352">
        <v>750</v>
      </c>
      <c r="D330" s="352">
        <v>400</v>
      </c>
      <c r="E330" s="357">
        <v>20</v>
      </c>
      <c r="F330" s="352"/>
      <c r="G330" s="342" t="s">
        <v>925</v>
      </c>
      <c r="H330" s="329"/>
      <c r="I330" s="326"/>
      <c r="J330" s="358"/>
      <c r="K330" s="358"/>
      <c r="L330" s="358"/>
      <c r="M330" s="358"/>
      <c r="N330" s="327"/>
      <c r="O330" s="328"/>
      <c r="P330" s="326">
        <v>0</v>
      </c>
      <c r="Q330" s="327"/>
      <c r="R330" s="329"/>
      <c r="S330" s="326"/>
      <c r="T330" s="326"/>
      <c r="U330" s="326"/>
      <c r="V330" s="326"/>
      <c r="W330" s="326"/>
      <c r="X330" s="326"/>
      <c r="Y330" s="1350">
        <f t="shared" si="35"/>
        <v>0</v>
      </c>
      <c r="Z330" s="1351">
        <f t="shared" si="36"/>
        <v>0</v>
      </c>
      <c r="AA330" s="326">
        <f t="shared" si="37"/>
        <v>0</v>
      </c>
      <c r="AB330" s="326">
        <f t="shared" si="38"/>
        <v>0</v>
      </c>
      <c r="AC330" s="326">
        <f t="shared" si="39"/>
        <v>0</v>
      </c>
      <c r="AD330" s="326">
        <f t="shared" si="40"/>
        <v>0</v>
      </c>
      <c r="AE330" s="326">
        <f t="shared" si="41"/>
        <v>0</v>
      </c>
      <c r="AF330" s="355" t="s">
        <v>926</v>
      </c>
      <c r="AG330" s="838"/>
      <c r="AH330" s="744"/>
      <c r="AI330" s="292"/>
      <c r="AK330" s="300"/>
      <c r="AS330" s="452"/>
    </row>
    <row r="331" spans="1:45" s="299" customFormat="1" ht="55.2">
      <c r="A331" s="353">
        <v>305</v>
      </c>
      <c r="B331" s="352">
        <v>100</v>
      </c>
      <c r="C331" s="352">
        <v>750</v>
      </c>
      <c r="D331" s="352">
        <v>400</v>
      </c>
      <c r="E331" s="357">
        <v>30</v>
      </c>
      <c r="F331" s="352"/>
      <c r="G331" s="342" t="s">
        <v>927</v>
      </c>
      <c r="H331" s="329"/>
      <c r="I331" s="326"/>
      <c r="J331" s="358"/>
      <c r="K331" s="358"/>
      <c r="L331" s="358"/>
      <c r="M331" s="358"/>
      <c r="N331" s="327"/>
      <c r="O331" s="328"/>
      <c r="P331" s="326">
        <v>0</v>
      </c>
      <c r="Q331" s="327"/>
      <c r="R331" s="329"/>
      <c r="S331" s="326"/>
      <c r="T331" s="326"/>
      <c r="U331" s="326"/>
      <c r="V331" s="326"/>
      <c r="W331" s="326"/>
      <c r="X331" s="326"/>
      <c r="Y331" s="1350">
        <f t="shared" si="35"/>
        <v>0</v>
      </c>
      <c r="Z331" s="1351">
        <f t="shared" si="36"/>
        <v>0</v>
      </c>
      <c r="AA331" s="326">
        <f t="shared" si="37"/>
        <v>0</v>
      </c>
      <c r="AB331" s="326">
        <f t="shared" si="38"/>
        <v>0</v>
      </c>
      <c r="AC331" s="326">
        <f t="shared" si="39"/>
        <v>0</v>
      </c>
      <c r="AD331" s="326">
        <f t="shared" si="40"/>
        <v>0</v>
      </c>
      <c r="AE331" s="326">
        <f t="shared" si="41"/>
        <v>0</v>
      </c>
      <c r="AF331" s="355" t="s">
        <v>928</v>
      </c>
      <c r="AG331" s="838"/>
      <c r="AH331" s="744"/>
      <c r="AI331" s="292"/>
      <c r="AK331" s="300"/>
      <c r="AS331" s="452"/>
    </row>
    <row r="332" spans="1:45" s="299" customFormat="1" ht="27.6">
      <c r="A332" s="353">
        <v>305</v>
      </c>
      <c r="B332" s="352">
        <v>100</v>
      </c>
      <c r="C332" s="352">
        <v>800</v>
      </c>
      <c r="D332" s="352"/>
      <c r="E332" s="352"/>
      <c r="F332" s="352"/>
      <c r="G332" s="323" t="s">
        <v>929</v>
      </c>
      <c r="H332" s="334"/>
      <c r="I332" s="331"/>
      <c r="J332" s="359"/>
      <c r="K332" s="359"/>
      <c r="L332" s="359"/>
      <c r="M332" s="359"/>
      <c r="N332" s="332"/>
      <c r="O332" s="333"/>
      <c r="P332" s="331">
        <v>0</v>
      </c>
      <c r="Q332" s="332"/>
      <c r="R332" s="334"/>
      <c r="S332" s="331"/>
      <c r="T332" s="331"/>
      <c r="U332" s="331"/>
      <c r="V332" s="331"/>
      <c r="W332" s="331"/>
      <c r="X332" s="331"/>
      <c r="Y332" s="1352">
        <f t="shared" si="35"/>
        <v>0</v>
      </c>
      <c r="Z332" s="1353">
        <f t="shared" si="36"/>
        <v>0</v>
      </c>
      <c r="AA332" s="331">
        <f t="shared" si="37"/>
        <v>0</v>
      </c>
      <c r="AB332" s="331">
        <f t="shared" si="38"/>
        <v>0</v>
      </c>
      <c r="AC332" s="331">
        <f t="shared" si="39"/>
        <v>0</v>
      </c>
      <c r="AD332" s="331">
        <f t="shared" si="40"/>
        <v>0</v>
      </c>
      <c r="AE332" s="331">
        <f t="shared" si="41"/>
        <v>0</v>
      </c>
      <c r="AF332" s="424" t="s">
        <v>930</v>
      </c>
      <c r="AG332" s="838"/>
      <c r="AH332" s="744"/>
      <c r="AI332" s="292"/>
      <c r="AK332" s="300"/>
      <c r="AS332" s="452"/>
    </row>
    <row r="333" spans="1:45" s="299" customFormat="1" ht="55.2">
      <c r="A333" s="353">
        <v>305</v>
      </c>
      <c r="B333" s="352">
        <v>100</v>
      </c>
      <c r="C333" s="352">
        <v>800</v>
      </c>
      <c r="D333" s="352">
        <v>100</v>
      </c>
      <c r="E333" s="357"/>
      <c r="F333" s="357"/>
      <c r="G333" s="342" t="s">
        <v>931</v>
      </c>
      <c r="H333" s="329"/>
      <c r="I333" s="326"/>
      <c r="J333" s="358"/>
      <c r="K333" s="358"/>
      <c r="L333" s="358"/>
      <c r="M333" s="358"/>
      <c r="N333" s="327"/>
      <c r="O333" s="328"/>
      <c r="P333" s="326">
        <v>0</v>
      </c>
      <c r="Q333" s="327"/>
      <c r="R333" s="329"/>
      <c r="S333" s="326"/>
      <c r="T333" s="326"/>
      <c r="U333" s="326"/>
      <c r="V333" s="326"/>
      <c r="W333" s="326"/>
      <c r="X333" s="326"/>
      <c r="Y333" s="1350">
        <f t="shared" si="35"/>
        <v>0</v>
      </c>
      <c r="Z333" s="1351">
        <f t="shared" si="36"/>
        <v>0</v>
      </c>
      <c r="AA333" s="326">
        <f t="shared" si="37"/>
        <v>0</v>
      </c>
      <c r="AB333" s="326">
        <f t="shared" si="38"/>
        <v>0</v>
      </c>
      <c r="AC333" s="326">
        <f t="shared" si="39"/>
        <v>0</v>
      </c>
      <c r="AD333" s="326">
        <f t="shared" si="40"/>
        <v>0</v>
      </c>
      <c r="AE333" s="326">
        <f t="shared" si="41"/>
        <v>0</v>
      </c>
      <c r="AF333" s="424" t="s">
        <v>932</v>
      </c>
      <c r="AG333" s="838"/>
      <c r="AH333" s="744"/>
      <c r="AI333" s="292"/>
      <c r="AK333" s="300"/>
      <c r="AS333" s="452"/>
    </row>
    <row r="334" spans="1:45" s="299" customFormat="1" ht="41.4">
      <c r="A334" s="353">
        <v>305</v>
      </c>
      <c r="B334" s="352">
        <v>100</v>
      </c>
      <c r="C334" s="352">
        <v>800</v>
      </c>
      <c r="D334" s="357">
        <v>200</v>
      </c>
      <c r="E334" s="352"/>
      <c r="F334" s="352"/>
      <c r="G334" s="342" t="s">
        <v>933</v>
      </c>
      <c r="H334" s="329"/>
      <c r="I334" s="326"/>
      <c r="J334" s="358"/>
      <c r="K334" s="358"/>
      <c r="L334" s="358"/>
      <c r="M334" s="358"/>
      <c r="N334" s="327"/>
      <c r="O334" s="328"/>
      <c r="P334" s="326">
        <v>0</v>
      </c>
      <c r="Q334" s="358"/>
      <c r="R334" s="329"/>
      <c r="S334" s="326"/>
      <c r="T334" s="326"/>
      <c r="U334" s="326"/>
      <c r="V334" s="326"/>
      <c r="W334" s="326"/>
      <c r="X334" s="326"/>
      <c r="Y334" s="1350">
        <f t="shared" si="35"/>
        <v>0</v>
      </c>
      <c r="Z334" s="1351">
        <f t="shared" si="36"/>
        <v>0</v>
      </c>
      <c r="AA334" s="326">
        <f t="shared" si="37"/>
        <v>0</v>
      </c>
      <c r="AB334" s="326">
        <f t="shared" si="38"/>
        <v>0</v>
      </c>
      <c r="AC334" s="326">
        <f t="shared" si="39"/>
        <v>0</v>
      </c>
      <c r="AD334" s="326">
        <f t="shared" si="40"/>
        <v>0</v>
      </c>
      <c r="AE334" s="326">
        <f t="shared" si="41"/>
        <v>0</v>
      </c>
      <c r="AF334" s="355" t="s">
        <v>934</v>
      </c>
      <c r="AG334" s="838"/>
      <c r="AH334" s="744"/>
      <c r="AI334" s="292"/>
      <c r="AK334" s="300"/>
      <c r="AS334" s="452"/>
    </row>
    <row r="335" spans="1:45" s="299" customFormat="1" ht="41.4">
      <c r="A335" s="353">
        <v>305</v>
      </c>
      <c r="B335" s="352">
        <v>100</v>
      </c>
      <c r="C335" s="352">
        <v>800</v>
      </c>
      <c r="D335" s="357">
        <v>300</v>
      </c>
      <c r="E335" s="352"/>
      <c r="F335" s="352"/>
      <c r="G335" s="342" t="s">
        <v>935</v>
      </c>
      <c r="H335" s="329"/>
      <c r="I335" s="326"/>
      <c r="J335" s="358"/>
      <c r="K335" s="358"/>
      <c r="L335" s="358"/>
      <c r="M335" s="358"/>
      <c r="N335" s="327"/>
      <c r="O335" s="328"/>
      <c r="P335" s="326">
        <v>0</v>
      </c>
      <c r="Q335" s="327"/>
      <c r="R335" s="329"/>
      <c r="S335" s="326"/>
      <c r="T335" s="326"/>
      <c r="U335" s="326"/>
      <c r="V335" s="326"/>
      <c r="W335" s="326"/>
      <c r="X335" s="326"/>
      <c r="Y335" s="1350">
        <f t="shared" si="35"/>
        <v>0</v>
      </c>
      <c r="Z335" s="1351">
        <f t="shared" si="36"/>
        <v>0</v>
      </c>
      <c r="AA335" s="326">
        <f t="shared" si="37"/>
        <v>0</v>
      </c>
      <c r="AB335" s="326">
        <f t="shared" si="38"/>
        <v>0</v>
      </c>
      <c r="AC335" s="326">
        <f t="shared" si="39"/>
        <v>0</v>
      </c>
      <c r="AD335" s="326">
        <f t="shared" si="40"/>
        <v>0</v>
      </c>
      <c r="AE335" s="326">
        <f t="shared" si="41"/>
        <v>0</v>
      </c>
      <c r="AF335" s="355" t="s">
        <v>936</v>
      </c>
      <c r="AG335" s="838"/>
      <c r="AH335" s="744"/>
      <c r="AI335" s="292"/>
      <c r="AK335" s="300"/>
      <c r="AS335" s="452"/>
    </row>
    <row r="336" spans="1:45" s="299" customFormat="1">
      <c r="A336" s="353">
        <v>305</v>
      </c>
      <c r="B336" s="352">
        <v>100</v>
      </c>
      <c r="C336" s="352">
        <v>800</v>
      </c>
      <c r="D336" s="352">
        <v>400</v>
      </c>
      <c r="E336" s="352"/>
      <c r="F336" s="352"/>
      <c r="G336" s="323" t="s">
        <v>937</v>
      </c>
      <c r="H336" s="334"/>
      <c r="I336" s="331"/>
      <c r="J336" s="359"/>
      <c r="K336" s="359"/>
      <c r="L336" s="359"/>
      <c r="M336" s="359"/>
      <c r="N336" s="332"/>
      <c r="O336" s="333"/>
      <c r="P336" s="331">
        <v>0</v>
      </c>
      <c r="Q336" s="332"/>
      <c r="R336" s="334"/>
      <c r="S336" s="331"/>
      <c r="T336" s="331"/>
      <c r="U336" s="331"/>
      <c r="V336" s="331"/>
      <c r="W336" s="331"/>
      <c r="X336" s="331"/>
      <c r="Y336" s="1352">
        <f t="shared" si="35"/>
        <v>0</v>
      </c>
      <c r="Z336" s="1353">
        <f t="shared" si="36"/>
        <v>0</v>
      </c>
      <c r="AA336" s="331">
        <f t="shared" si="37"/>
        <v>0</v>
      </c>
      <c r="AB336" s="331">
        <f t="shared" si="38"/>
        <v>0</v>
      </c>
      <c r="AC336" s="331">
        <f t="shared" si="39"/>
        <v>0</v>
      </c>
      <c r="AD336" s="331">
        <f t="shared" si="40"/>
        <v>0</v>
      </c>
      <c r="AE336" s="331">
        <f t="shared" si="41"/>
        <v>0</v>
      </c>
      <c r="AF336" s="355" t="s">
        <v>938</v>
      </c>
      <c r="AG336" s="838"/>
      <c r="AH336" s="744"/>
      <c r="AI336" s="292"/>
      <c r="AK336" s="300"/>
      <c r="AS336" s="452"/>
    </row>
    <row r="337" spans="1:45" s="299" customFormat="1" ht="27.6">
      <c r="A337" s="353">
        <v>305</v>
      </c>
      <c r="B337" s="352">
        <v>100</v>
      </c>
      <c r="C337" s="352">
        <v>800</v>
      </c>
      <c r="D337" s="352">
        <v>400</v>
      </c>
      <c r="E337" s="357">
        <v>10</v>
      </c>
      <c r="F337" s="352"/>
      <c r="G337" s="342" t="s">
        <v>939</v>
      </c>
      <c r="H337" s="329"/>
      <c r="I337" s="326"/>
      <c r="J337" s="358"/>
      <c r="K337" s="358"/>
      <c r="L337" s="358"/>
      <c r="M337" s="358"/>
      <c r="N337" s="327"/>
      <c r="O337" s="328"/>
      <c r="P337" s="326">
        <v>0</v>
      </c>
      <c r="Q337" s="327"/>
      <c r="R337" s="329"/>
      <c r="S337" s="326"/>
      <c r="T337" s="326"/>
      <c r="U337" s="326"/>
      <c r="V337" s="326"/>
      <c r="W337" s="326"/>
      <c r="X337" s="326"/>
      <c r="Y337" s="1350">
        <f t="shared" si="35"/>
        <v>0</v>
      </c>
      <c r="Z337" s="1351">
        <f t="shared" si="36"/>
        <v>0</v>
      </c>
      <c r="AA337" s="326">
        <f t="shared" si="37"/>
        <v>0</v>
      </c>
      <c r="AB337" s="326">
        <f t="shared" si="38"/>
        <v>0</v>
      </c>
      <c r="AC337" s="326">
        <f t="shared" si="39"/>
        <v>0</v>
      </c>
      <c r="AD337" s="326">
        <f t="shared" si="40"/>
        <v>0</v>
      </c>
      <c r="AE337" s="326">
        <f t="shared" si="41"/>
        <v>0</v>
      </c>
      <c r="AF337" s="355"/>
      <c r="AG337" s="838"/>
      <c r="AH337" s="744"/>
      <c r="AI337" s="292"/>
      <c r="AK337" s="300"/>
      <c r="AS337" s="452"/>
    </row>
    <row r="338" spans="1:45" s="299" customFormat="1">
      <c r="A338" s="353">
        <v>305</v>
      </c>
      <c r="B338" s="352">
        <v>100</v>
      </c>
      <c r="C338" s="352">
        <v>800</v>
      </c>
      <c r="D338" s="352">
        <v>400</v>
      </c>
      <c r="E338" s="352">
        <v>90</v>
      </c>
      <c r="F338" s="352"/>
      <c r="G338" s="403" t="s">
        <v>937</v>
      </c>
      <c r="H338" s="329">
        <v>493718.02</v>
      </c>
      <c r="I338" s="326">
        <v>25890.84</v>
      </c>
      <c r="J338" s="358"/>
      <c r="K338" s="358">
        <v>359625.6</v>
      </c>
      <c r="L338" s="358">
        <v>31125.599999999999</v>
      </c>
      <c r="M338" s="358"/>
      <c r="N338" s="327">
        <v>586500</v>
      </c>
      <c r="O338" s="328"/>
      <c r="P338" s="326">
        <v>114400</v>
      </c>
      <c r="Q338" s="358">
        <f>101500+500</f>
        <v>102000</v>
      </c>
      <c r="R338" s="329"/>
      <c r="S338" s="326"/>
      <c r="T338" s="326"/>
      <c r="U338" s="326"/>
      <c r="V338" s="326"/>
      <c r="W338" s="326"/>
      <c r="X338" s="326"/>
      <c r="Y338" s="1350">
        <f t="shared" si="35"/>
        <v>493718.02</v>
      </c>
      <c r="Z338" s="1351">
        <f t="shared" si="36"/>
        <v>25890.84</v>
      </c>
      <c r="AA338" s="326">
        <f t="shared" si="37"/>
        <v>0</v>
      </c>
      <c r="AB338" s="326">
        <f t="shared" si="38"/>
        <v>474025.6</v>
      </c>
      <c r="AC338" s="326">
        <f t="shared" si="39"/>
        <v>31125.599999999999</v>
      </c>
      <c r="AD338" s="326">
        <f t="shared" si="40"/>
        <v>0</v>
      </c>
      <c r="AE338" s="326">
        <f t="shared" si="41"/>
        <v>688500</v>
      </c>
      <c r="AF338" s="355"/>
      <c r="AG338" s="838"/>
      <c r="AH338" s="744"/>
      <c r="AI338" s="292"/>
      <c r="AK338" s="300"/>
      <c r="AS338" s="452"/>
    </row>
    <row r="339" spans="1:45" s="433" customFormat="1" ht="27.6">
      <c r="A339" s="353">
        <v>305</v>
      </c>
      <c r="B339" s="352">
        <v>100</v>
      </c>
      <c r="C339" s="352">
        <v>800</v>
      </c>
      <c r="D339" s="357">
        <v>500</v>
      </c>
      <c r="E339" s="352"/>
      <c r="F339" s="352"/>
      <c r="G339" s="342" t="s">
        <v>940</v>
      </c>
      <c r="H339" s="329"/>
      <c r="I339" s="326"/>
      <c r="J339" s="358"/>
      <c r="K339" s="358"/>
      <c r="L339" s="358"/>
      <c r="M339" s="358"/>
      <c r="N339" s="327"/>
      <c r="O339" s="328"/>
      <c r="P339" s="326">
        <v>0</v>
      </c>
      <c r="Q339" s="327"/>
      <c r="R339" s="329"/>
      <c r="S339" s="326"/>
      <c r="T339" s="326"/>
      <c r="U339" s="326"/>
      <c r="V339" s="326"/>
      <c r="W339" s="326"/>
      <c r="X339" s="326"/>
      <c r="Y339" s="1350">
        <f t="shared" si="35"/>
        <v>0</v>
      </c>
      <c r="Z339" s="1351">
        <f t="shared" si="36"/>
        <v>0</v>
      </c>
      <c r="AA339" s="326">
        <f t="shared" si="37"/>
        <v>0</v>
      </c>
      <c r="AB339" s="326">
        <f t="shared" si="38"/>
        <v>0</v>
      </c>
      <c r="AC339" s="326">
        <f t="shared" si="39"/>
        <v>0</v>
      </c>
      <c r="AD339" s="326">
        <f t="shared" si="40"/>
        <v>0</v>
      </c>
      <c r="AE339" s="326">
        <f t="shared" si="41"/>
        <v>0</v>
      </c>
      <c r="AF339" s="355" t="s">
        <v>941</v>
      </c>
      <c r="AG339" s="838"/>
      <c r="AH339" s="745"/>
      <c r="AI339" s="435"/>
      <c r="AK339" s="434"/>
      <c r="AS339" s="1402"/>
    </row>
    <row r="340" spans="1:45" s="433" customFormat="1" ht="41.4">
      <c r="A340" s="353">
        <v>305</v>
      </c>
      <c r="B340" s="352">
        <v>100</v>
      </c>
      <c r="C340" s="352">
        <v>800</v>
      </c>
      <c r="D340" s="357">
        <v>600</v>
      </c>
      <c r="E340" s="352"/>
      <c r="F340" s="352"/>
      <c r="G340" s="342" t="s">
        <v>942</v>
      </c>
      <c r="H340" s="329"/>
      <c r="I340" s="326"/>
      <c r="J340" s="358"/>
      <c r="K340" s="358"/>
      <c r="L340" s="358"/>
      <c r="M340" s="358"/>
      <c r="N340" s="327"/>
      <c r="O340" s="328"/>
      <c r="P340" s="326">
        <v>0</v>
      </c>
      <c r="Q340" s="327"/>
      <c r="R340" s="329"/>
      <c r="S340" s="326"/>
      <c r="T340" s="326"/>
      <c r="U340" s="326"/>
      <c r="V340" s="326"/>
      <c r="W340" s="326"/>
      <c r="X340" s="326"/>
      <c r="Y340" s="1350">
        <f t="shared" si="35"/>
        <v>0</v>
      </c>
      <c r="Z340" s="1351">
        <f t="shared" si="36"/>
        <v>0</v>
      </c>
      <c r="AA340" s="326">
        <f t="shared" si="37"/>
        <v>0</v>
      </c>
      <c r="AB340" s="326">
        <f t="shared" si="38"/>
        <v>0</v>
      </c>
      <c r="AC340" s="326">
        <f t="shared" si="39"/>
        <v>0</v>
      </c>
      <c r="AD340" s="326">
        <f t="shared" si="40"/>
        <v>0</v>
      </c>
      <c r="AE340" s="326">
        <f t="shared" si="41"/>
        <v>0</v>
      </c>
      <c r="AF340" s="355" t="s">
        <v>943</v>
      </c>
      <c r="AG340" s="838"/>
      <c r="AH340" s="745"/>
      <c r="AI340" s="435"/>
      <c r="AK340" s="434"/>
      <c r="AS340" s="1402"/>
    </row>
    <row r="341" spans="1:45" s="299" customFormat="1" ht="41.4">
      <c r="A341" s="353">
        <v>305</v>
      </c>
      <c r="B341" s="352">
        <v>100</v>
      </c>
      <c r="C341" s="352">
        <v>800</v>
      </c>
      <c r="D341" s="357">
        <v>700</v>
      </c>
      <c r="E341" s="352"/>
      <c r="F341" s="352"/>
      <c r="G341" s="342" t="s">
        <v>944</v>
      </c>
      <c r="H341" s="329"/>
      <c r="I341" s="326"/>
      <c r="J341" s="358"/>
      <c r="K341" s="358"/>
      <c r="L341" s="358"/>
      <c r="M341" s="358"/>
      <c r="N341" s="327"/>
      <c r="O341" s="328"/>
      <c r="P341" s="326">
        <v>0</v>
      </c>
      <c r="Q341" s="327"/>
      <c r="R341" s="329"/>
      <c r="S341" s="326"/>
      <c r="T341" s="326"/>
      <c r="U341" s="326"/>
      <c r="V341" s="326"/>
      <c r="W341" s="326"/>
      <c r="X341" s="326"/>
      <c r="Y341" s="1350">
        <f t="shared" si="35"/>
        <v>0</v>
      </c>
      <c r="Z341" s="1351">
        <f t="shared" si="36"/>
        <v>0</v>
      </c>
      <c r="AA341" s="326">
        <f t="shared" si="37"/>
        <v>0</v>
      </c>
      <c r="AB341" s="326">
        <f t="shared" si="38"/>
        <v>0</v>
      </c>
      <c r="AC341" s="326">
        <f t="shared" si="39"/>
        <v>0</v>
      </c>
      <c r="AD341" s="326">
        <f t="shared" si="40"/>
        <v>0</v>
      </c>
      <c r="AE341" s="326">
        <f t="shared" si="41"/>
        <v>0</v>
      </c>
      <c r="AF341" s="355" t="s">
        <v>945</v>
      </c>
      <c r="AG341" s="838"/>
      <c r="AH341" s="744"/>
      <c r="AI341" s="292"/>
      <c r="AK341" s="300"/>
      <c r="AS341" s="452"/>
    </row>
    <row r="342" spans="1:45" s="299" customFormat="1" ht="27.6">
      <c r="A342" s="353">
        <v>305</v>
      </c>
      <c r="B342" s="352">
        <v>100</v>
      </c>
      <c r="C342" s="357">
        <v>850</v>
      </c>
      <c r="D342" s="352"/>
      <c r="E342" s="352"/>
      <c r="F342" s="352"/>
      <c r="G342" s="342" t="s">
        <v>947</v>
      </c>
      <c r="H342" s="329"/>
      <c r="I342" s="326"/>
      <c r="J342" s="358"/>
      <c r="K342" s="358"/>
      <c r="L342" s="358"/>
      <c r="M342" s="358"/>
      <c r="N342" s="327"/>
      <c r="O342" s="328"/>
      <c r="P342" s="326">
        <v>0</v>
      </c>
      <c r="Q342" s="327"/>
      <c r="R342" s="329"/>
      <c r="S342" s="326"/>
      <c r="T342" s="326"/>
      <c r="U342" s="326"/>
      <c r="V342" s="326"/>
      <c r="W342" s="326"/>
      <c r="X342" s="326"/>
      <c r="Y342" s="1350">
        <f t="shared" si="35"/>
        <v>0</v>
      </c>
      <c r="Z342" s="1351">
        <f t="shared" si="36"/>
        <v>0</v>
      </c>
      <c r="AA342" s="326">
        <f t="shared" si="37"/>
        <v>0</v>
      </c>
      <c r="AB342" s="326">
        <f t="shared" si="38"/>
        <v>0</v>
      </c>
      <c r="AC342" s="326">
        <f t="shared" si="39"/>
        <v>0</v>
      </c>
      <c r="AD342" s="326">
        <f t="shared" si="40"/>
        <v>0</v>
      </c>
      <c r="AE342" s="326">
        <f t="shared" si="41"/>
        <v>0</v>
      </c>
      <c r="AF342" s="355" t="s">
        <v>946</v>
      </c>
      <c r="AG342" s="838"/>
      <c r="AH342" s="744"/>
      <c r="AI342" s="292"/>
      <c r="AK342" s="300"/>
      <c r="AS342" s="452"/>
    </row>
    <row r="343" spans="1:45" s="299" customFormat="1">
      <c r="A343" s="432">
        <v>305</v>
      </c>
      <c r="B343" s="431">
        <v>200</v>
      </c>
      <c r="C343" s="431"/>
      <c r="D343" s="431"/>
      <c r="E343" s="431"/>
      <c r="F343" s="431"/>
      <c r="G343" s="430" t="s">
        <v>56</v>
      </c>
      <c r="H343" s="334"/>
      <c r="I343" s="331"/>
      <c r="J343" s="359"/>
      <c r="K343" s="359"/>
      <c r="L343" s="359"/>
      <c r="M343" s="359"/>
      <c r="N343" s="332"/>
      <c r="O343" s="333"/>
      <c r="P343" s="331">
        <v>0</v>
      </c>
      <c r="Q343" s="332"/>
      <c r="R343" s="334"/>
      <c r="S343" s="331"/>
      <c r="T343" s="331"/>
      <c r="U343" s="331"/>
      <c r="V343" s="331"/>
      <c r="W343" s="331"/>
      <c r="X343" s="331"/>
      <c r="Y343" s="1352">
        <f t="shared" si="35"/>
        <v>0</v>
      </c>
      <c r="Z343" s="1353">
        <f t="shared" si="36"/>
        <v>0</v>
      </c>
      <c r="AA343" s="331">
        <f t="shared" si="37"/>
        <v>0</v>
      </c>
      <c r="AB343" s="331">
        <f t="shared" si="38"/>
        <v>0</v>
      </c>
      <c r="AC343" s="331">
        <f t="shared" si="39"/>
        <v>0</v>
      </c>
      <c r="AD343" s="331">
        <f t="shared" si="40"/>
        <v>0</v>
      </c>
      <c r="AE343" s="331">
        <f t="shared" si="41"/>
        <v>0</v>
      </c>
      <c r="AF343" s="355" t="s">
        <v>948</v>
      </c>
      <c r="AG343" s="838"/>
      <c r="AH343" s="744"/>
      <c r="AI343" s="292"/>
      <c r="AK343" s="300"/>
      <c r="AS343" s="452"/>
    </row>
    <row r="344" spans="1:45" s="299" customFormat="1">
      <c r="A344" s="353">
        <v>305</v>
      </c>
      <c r="B344" s="352">
        <v>200</v>
      </c>
      <c r="C344" s="352">
        <v>100</v>
      </c>
      <c r="D344" s="352"/>
      <c r="E344" s="352"/>
      <c r="F344" s="352"/>
      <c r="G344" s="323" t="s">
        <v>949</v>
      </c>
      <c r="H344" s="334"/>
      <c r="I344" s="331"/>
      <c r="J344" s="359"/>
      <c r="K344" s="359"/>
      <c r="L344" s="359"/>
      <c r="M344" s="359"/>
      <c r="N344" s="332"/>
      <c r="O344" s="333"/>
      <c r="P344" s="331">
        <v>0</v>
      </c>
      <c r="Q344" s="332"/>
      <c r="R344" s="334"/>
      <c r="S344" s="331"/>
      <c r="T344" s="331"/>
      <c r="U344" s="331"/>
      <c r="V344" s="331"/>
      <c r="W344" s="331"/>
      <c r="X344" s="331"/>
      <c r="Y344" s="1352">
        <f t="shared" si="35"/>
        <v>0</v>
      </c>
      <c r="Z344" s="1353">
        <f t="shared" si="36"/>
        <v>0</v>
      </c>
      <c r="AA344" s="331">
        <f t="shared" si="37"/>
        <v>0</v>
      </c>
      <c r="AB344" s="331">
        <f t="shared" si="38"/>
        <v>0</v>
      </c>
      <c r="AC344" s="331">
        <f t="shared" si="39"/>
        <v>0</v>
      </c>
      <c r="AD344" s="331">
        <f t="shared" si="40"/>
        <v>0</v>
      </c>
      <c r="AE344" s="331">
        <f t="shared" si="41"/>
        <v>0</v>
      </c>
      <c r="AF344" s="355" t="s">
        <v>950</v>
      </c>
      <c r="AG344" s="838"/>
      <c r="AH344" s="744"/>
      <c r="AI344" s="292"/>
      <c r="AK344" s="300"/>
      <c r="AS344" s="452"/>
    </row>
    <row r="345" spans="1:45" s="299" customFormat="1">
      <c r="A345" s="353">
        <v>305</v>
      </c>
      <c r="B345" s="352">
        <v>200</v>
      </c>
      <c r="C345" s="352">
        <v>100</v>
      </c>
      <c r="D345" s="357">
        <v>50</v>
      </c>
      <c r="E345" s="352"/>
      <c r="F345" s="352"/>
      <c r="G345" s="342" t="s">
        <v>951</v>
      </c>
      <c r="H345" s="329">
        <v>299645.63</v>
      </c>
      <c r="I345" s="326"/>
      <c r="J345" s="358"/>
      <c r="K345" s="358">
        <v>290000</v>
      </c>
      <c r="L345" s="358"/>
      <c r="M345" s="358"/>
      <c r="N345" s="327">
        <v>260000</v>
      </c>
      <c r="O345" s="328"/>
      <c r="P345" s="326">
        <v>0</v>
      </c>
      <c r="Q345" s="327"/>
      <c r="R345" s="329"/>
      <c r="S345" s="326"/>
      <c r="T345" s="326"/>
      <c r="U345" s="326"/>
      <c r="V345" s="326"/>
      <c r="W345" s="326"/>
      <c r="X345" s="326"/>
      <c r="Y345" s="1350">
        <f t="shared" si="35"/>
        <v>299645.63</v>
      </c>
      <c r="Z345" s="1351">
        <f t="shared" si="36"/>
        <v>0</v>
      </c>
      <c r="AA345" s="326">
        <f t="shared" si="37"/>
        <v>0</v>
      </c>
      <c r="AB345" s="326">
        <f t="shared" si="38"/>
        <v>290000</v>
      </c>
      <c r="AC345" s="326">
        <f t="shared" si="39"/>
        <v>0</v>
      </c>
      <c r="AD345" s="326">
        <f t="shared" si="40"/>
        <v>0</v>
      </c>
      <c r="AE345" s="326">
        <f t="shared" si="41"/>
        <v>260000</v>
      </c>
      <c r="AF345" s="355" t="s">
        <v>952</v>
      </c>
      <c r="AG345" s="838"/>
      <c r="AH345" s="744"/>
      <c r="AI345" s="371"/>
      <c r="AK345" s="300"/>
      <c r="AS345" s="452"/>
    </row>
    <row r="346" spans="1:45" s="299" customFormat="1">
      <c r="A346" s="353">
        <v>305</v>
      </c>
      <c r="B346" s="352">
        <v>200</v>
      </c>
      <c r="C346" s="352">
        <v>100</v>
      </c>
      <c r="D346" s="357">
        <v>100</v>
      </c>
      <c r="E346" s="352"/>
      <c r="F346" s="352"/>
      <c r="G346" s="342" t="s">
        <v>953</v>
      </c>
      <c r="H346" s="329">
        <v>1567601.47</v>
      </c>
      <c r="I346" s="326">
        <v>336090.04</v>
      </c>
      <c r="J346" s="358"/>
      <c r="K346" s="358">
        <v>1573003.7799999998</v>
      </c>
      <c r="L346" s="358">
        <v>336090.04</v>
      </c>
      <c r="M346" s="358"/>
      <c r="N346" s="327">
        <v>1050000</v>
      </c>
      <c r="O346" s="328"/>
      <c r="P346" s="326">
        <v>0</v>
      </c>
      <c r="Q346" s="327"/>
      <c r="R346" s="329"/>
      <c r="S346" s="326"/>
      <c r="T346" s="326"/>
      <c r="U346" s="326"/>
      <c r="V346" s="326"/>
      <c r="W346" s="326"/>
      <c r="X346" s="326"/>
      <c r="Y346" s="1350">
        <f t="shared" si="35"/>
        <v>1567601.47</v>
      </c>
      <c r="Z346" s="1351">
        <f t="shared" si="36"/>
        <v>336090.04</v>
      </c>
      <c r="AA346" s="326">
        <f t="shared" si="37"/>
        <v>0</v>
      </c>
      <c r="AB346" s="326">
        <f t="shared" si="38"/>
        <v>1573003.7799999998</v>
      </c>
      <c r="AC346" s="326">
        <f t="shared" si="39"/>
        <v>336090.04</v>
      </c>
      <c r="AD346" s="326">
        <f t="shared" si="40"/>
        <v>0</v>
      </c>
      <c r="AE346" s="326">
        <f t="shared" si="41"/>
        <v>1050000</v>
      </c>
      <c r="AF346" s="355" t="s">
        <v>954</v>
      </c>
      <c r="AG346" s="838"/>
      <c r="AH346" s="744"/>
      <c r="AI346" s="371"/>
      <c r="AJ346" s="429"/>
      <c r="AK346" s="300"/>
      <c r="AS346" s="452"/>
    </row>
    <row r="347" spans="1:45" s="299" customFormat="1">
      <c r="A347" s="353">
        <v>305</v>
      </c>
      <c r="B347" s="352">
        <v>200</v>
      </c>
      <c r="C347" s="352">
        <v>100</v>
      </c>
      <c r="D347" s="357">
        <v>150</v>
      </c>
      <c r="E347" s="352"/>
      <c r="F347" s="352"/>
      <c r="G347" s="342" t="s">
        <v>955</v>
      </c>
      <c r="H347" s="334"/>
      <c r="I347" s="331"/>
      <c r="J347" s="359"/>
      <c r="K347" s="359"/>
      <c r="L347" s="359"/>
      <c r="M347" s="359"/>
      <c r="N347" s="332"/>
      <c r="O347" s="333"/>
      <c r="P347" s="331">
        <v>0</v>
      </c>
      <c r="Q347" s="332"/>
      <c r="R347" s="334"/>
      <c r="S347" s="331"/>
      <c r="T347" s="331"/>
      <c r="U347" s="331"/>
      <c r="V347" s="331"/>
      <c r="W347" s="331"/>
      <c r="X347" s="331"/>
      <c r="Y347" s="1352">
        <f t="shared" si="35"/>
        <v>0</v>
      </c>
      <c r="Z347" s="1353">
        <f t="shared" si="36"/>
        <v>0</v>
      </c>
      <c r="AA347" s="331">
        <f t="shared" si="37"/>
        <v>0</v>
      </c>
      <c r="AB347" s="331">
        <f t="shared" si="38"/>
        <v>0</v>
      </c>
      <c r="AC347" s="331">
        <f t="shared" si="39"/>
        <v>0</v>
      </c>
      <c r="AD347" s="331">
        <f t="shared" si="40"/>
        <v>0</v>
      </c>
      <c r="AE347" s="331">
        <f t="shared" si="41"/>
        <v>0</v>
      </c>
      <c r="AF347" s="355" t="s">
        <v>956</v>
      </c>
      <c r="AG347" s="838"/>
      <c r="AH347" s="744"/>
      <c r="AI347" s="371"/>
      <c r="AK347" s="300"/>
      <c r="AS347" s="452"/>
    </row>
    <row r="348" spans="1:45" s="299" customFormat="1">
      <c r="A348" s="353">
        <v>305</v>
      </c>
      <c r="B348" s="352">
        <v>200</v>
      </c>
      <c r="C348" s="352">
        <v>100</v>
      </c>
      <c r="D348" s="357">
        <v>150</v>
      </c>
      <c r="E348" s="352">
        <v>10</v>
      </c>
      <c r="F348" s="352"/>
      <c r="G348" s="342" t="s">
        <v>957</v>
      </c>
      <c r="H348" s="329">
        <v>161330.23999999999</v>
      </c>
      <c r="I348" s="311">
        <v>27822.61</v>
      </c>
      <c r="J348" s="319"/>
      <c r="K348" s="319">
        <v>136764.62</v>
      </c>
      <c r="L348" s="319"/>
      <c r="M348" s="319"/>
      <c r="N348" s="327">
        <v>163686</v>
      </c>
      <c r="O348" s="328"/>
      <c r="P348" s="326">
        <v>0</v>
      </c>
      <c r="Q348" s="327"/>
      <c r="R348" s="329"/>
      <c r="S348" s="326"/>
      <c r="T348" s="326"/>
      <c r="U348" s="326"/>
      <c r="V348" s="326"/>
      <c r="W348" s="326"/>
      <c r="X348" s="326"/>
      <c r="Y348" s="1350">
        <f t="shared" si="35"/>
        <v>161330.23999999999</v>
      </c>
      <c r="Z348" s="1351">
        <f t="shared" si="36"/>
        <v>27822.61</v>
      </c>
      <c r="AA348" s="326">
        <f t="shared" si="37"/>
        <v>0</v>
      </c>
      <c r="AB348" s="326">
        <f t="shared" si="38"/>
        <v>136764.62</v>
      </c>
      <c r="AC348" s="326">
        <f t="shared" si="39"/>
        <v>0</v>
      </c>
      <c r="AD348" s="326">
        <f t="shared" si="40"/>
        <v>0</v>
      </c>
      <c r="AE348" s="326">
        <f t="shared" si="41"/>
        <v>163686</v>
      </c>
      <c r="AF348" s="355" t="s">
        <v>958</v>
      </c>
      <c r="AG348" s="838"/>
      <c r="AH348" s="744"/>
      <c r="AI348" s="371"/>
      <c r="AJ348" s="429"/>
      <c r="AK348" s="300"/>
      <c r="AS348" s="452"/>
    </row>
    <row r="349" spans="1:45" s="299" customFormat="1">
      <c r="A349" s="353">
        <v>305</v>
      </c>
      <c r="B349" s="352">
        <v>200</v>
      </c>
      <c r="C349" s="352">
        <v>100</v>
      </c>
      <c r="D349" s="357">
        <v>150</v>
      </c>
      <c r="E349" s="352">
        <v>20</v>
      </c>
      <c r="F349" s="352"/>
      <c r="G349" s="342" t="s">
        <v>959</v>
      </c>
      <c r="H349" s="329">
        <v>648725.57999999996</v>
      </c>
      <c r="I349" s="311"/>
      <c r="J349" s="319"/>
      <c r="K349" s="319">
        <v>645342.71</v>
      </c>
      <c r="L349" s="319"/>
      <c r="M349" s="319"/>
      <c r="N349" s="327">
        <v>616314</v>
      </c>
      <c r="O349" s="328"/>
      <c r="P349" s="326">
        <v>0</v>
      </c>
      <c r="Q349" s="327"/>
      <c r="R349" s="329"/>
      <c r="S349" s="326"/>
      <c r="T349" s="326"/>
      <c r="U349" s="326"/>
      <c r="V349" s="326"/>
      <c r="W349" s="326"/>
      <c r="X349" s="326"/>
      <c r="Y349" s="1350">
        <f t="shared" si="35"/>
        <v>648725.57999999996</v>
      </c>
      <c r="Z349" s="1351">
        <f t="shared" si="36"/>
        <v>0</v>
      </c>
      <c r="AA349" s="326">
        <f t="shared" si="37"/>
        <v>0</v>
      </c>
      <c r="AB349" s="326">
        <f t="shared" si="38"/>
        <v>645342.71</v>
      </c>
      <c r="AC349" s="326">
        <f t="shared" si="39"/>
        <v>0</v>
      </c>
      <c r="AD349" s="326">
        <f t="shared" si="40"/>
        <v>0</v>
      </c>
      <c r="AE349" s="326">
        <f t="shared" si="41"/>
        <v>616314</v>
      </c>
      <c r="AF349" s="355" t="s">
        <v>960</v>
      </c>
      <c r="AG349" s="838"/>
      <c r="AH349" s="744"/>
      <c r="AI349" s="292"/>
      <c r="AJ349" s="429"/>
      <c r="AK349" s="300"/>
      <c r="AS349" s="452"/>
    </row>
    <row r="350" spans="1:45" s="299" customFormat="1">
      <c r="A350" s="353">
        <v>305</v>
      </c>
      <c r="B350" s="352">
        <v>200</v>
      </c>
      <c r="C350" s="352">
        <v>100</v>
      </c>
      <c r="D350" s="357">
        <v>200</v>
      </c>
      <c r="E350" s="352"/>
      <c r="F350" s="352"/>
      <c r="G350" s="342" t="s">
        <v>961</v>
      </c>
      <c r="H350" s="329">
        <v>908515.96</v>
      </c>
      <c r="I350" s="326"/>
      <c r="J350" s="358"/>
      <c r="K350" s="358">
        <v>910000</v>
      </c>
      <c r="L350" s="358"/>
      <c r="M350" s="358"/>
      <c r="N350" s="327">
        <v>1190000</v>
      </c>
      <c r="O350" s="328"/>
      <c r="P350" s="326">
        <v>0</v>
      </c>
      <c r="Q350" s="327"/>
      <c r="R350" s="329"/>
      <c r="S350" s="326"/>
      <c r="T350" s="326"/>
      <c r="U350" s="326"/>
      <c r="V350" s="326"/>
      <c r="W350" s="326"/>
      <c r="X350" s="326"/>
      <c r="Y350" s="1350">
        <f t="shared" si="35"/>
        <v>908515.96</v>
      </c>
      <c r="Z350" s="1351">
        <f t="shared" si="36"/>
        <v>0</v>
      </c>
      <c r="AA350" s="326">
        <f t="shared" si="37"/>
        <v>0</v>
      </c>
      <c r="AB350" s="326">
        <f t="shared" si="38"/>
        <v>910000</v>
      </c>
      <c r="AC350" s="326">
        <f t="shared" si="39"/>
        <v>0</v>
      </c>
      <c r="AD350" s="326">
        <f t="shared" si="40"/>
        <v>0</v>
      </c>
      <c r="AE350" s="326">
        <f t="shared" si="41"/>
        <v>1190000</v>
      </c>
      <c r="AF350" s="355" t="s">
        <v>962</v>
      </c>
      <c r="AG350" s="838"/>
      <c r="AH350" s="744"/>
      <c r="AI350" s="292"/>
      <c r="AK350" s="300"/>
      <c r="AS350" s="452"/>
    </row>
    <row r="351" spans="1:45" s="299" customFormat="1">
      <c r="A351" s="353">
        <v>305</v>
      </c>
      <c r="B351" s="352">
        <v>200</v>
      </c>
      <c r="C351" s="352">
        <v>100</v>
      </c>
      <c r="D351" s="352">
        <v>250</v>
      </c>
      <c r="E351" s="352"/>
      <c r="F351" s="352"/>
      <c r="G351" s="323" t="s">
        <v>963</v>
      </c>
      <c r="H351" s="334"/>
      <c r="I351" s="331"/>
      <c r="J351" s="359"/>
      <c r="K351" s="359"/>
      <c r="L351" s="359"/>
      <c r="M351" s="359"/>
      <c r="N351" s="332"/>
      <c r="O351" s="333"/>
      <c r="P351" s="331">
        <v>0</v>
      </c>
      <c r="Q351" s="332"/>
      <c r="R351" s="334"/>
      <c r="S351" s="331"/>
      <c r="T351" s="331"/>
      <c r="U351" s="331"/>
      <c r="V351" s="331"/>
      <c r="W351" s="331"/>
      <c r="X351" s="331"/>
      <c r="Y351" s="1352">
        <f t="shared" si="35"/>
        <v>0</v>
      </c>
      <c r="Z351" s="1353">
        <f t="shared" si="36"/>
        <v>0</v>
      </c>
      <c r="AA351" s="331">
        <f t="shared" si="37"/>
        <v>0</v>
      </c>
      <c r="AB351" s="331">
        <f t="shared" si="38"/>
        <v>0</v>
      </c>
      <c r="AC351" s="331">
        <f t="shared" si="39"/>
        <v>0</v>
      </c>
      <c r="AD351" s="331">
        <f t="shared" si="40"/>
        <v>0</v>
      </c>
      <c r="AE351" s="331">
        <f t="shared" si="41"/>
        <v>0</v>
      </c>
      <c r="AF351" s="355" t="s">
        <v>964</v>
      </c>
      <c r="AG351" s="838"/>
      <c r="AH351" s="744"/>
      <c r="AI351" s="292"/>
      <c r="AK351" s="300"/>
      <c r="AS351" s="452"/>
    </row>
    <row r="352" spans="1:45" s="299" customFormat="1" ht="27.6">
      <c r="A352" s="353">
        <v>305</v>
      </c>
      <c r="B352" s="352">
        <v>200</v>
      </c>
      <c r="C352" s="352">
        <v>100</v>
      </c>
      <c r="D352" s="352">
        <v>250</v>
      </c>
      <c r="E352" s="357">
        <v>10</v>
      </c>
      <c r="F352" s="357"/>
      <c r="G352" s="315" t="s">
        <v>965</v>
      </c>
      <c r="H352" s="314"/>
      <c r="I352" s="311"/>
      <c r="J352" s="319"/>
      <c r="K352" s="319"/>
      <c r="L352" s="319"/>
      <c r="M352" s="319"/>
      <c r="N352" s="312"/>
      <c r="O352" s="313"/>
      <c r="P352" s="311">
        <v>0</v>
      </c>
      <c r="Q352" s="312"/>
      <c r="R352" s="314"/>
      <c r="S352" s="311"/>
      <c r="T352" s="311"/>
      <c r="U352" s="311"/>
      <c r="V352" s="311"/>
      <c r="W352" s="311"/>
      <c r="X352" s="311"/>
      <c r="Y352" s="1356">
        <f t="shared" si="35"/>
        <v>0</v>
      </c>
      <c r="Z352" s="1357">
        <f t="shared" si="36"/>
        <v>0</v>
      </c>
      <c r="AA352" s="311">
        <f t="shared" si="37"/>
        <v>0</v>
      </c>
      <c r="AB352" s="311">
        <f t="shared" si="38"/>
        <v>0</v>
      </c>
      <c r="AC352" s="311">
        <f t="shared" si="39"/>
        <v>0</v>
      </c>
      <c r="AD352" s="311">
        <f t="shared" si="40"/>
        <v>0</v>
      </c>
      <c r="AE352" s="311">
        <f t="shared" si="41"/>
        <v>0</v>
      </c>
      <c r="AF352" s="355"/>
      <c r="AG352" s="838"/>
      <c r="AH352" s="744"/>
      <c r="AI352" s="292"/>
      <c r="AK352" s="300"/>
      <c r="AS352" s="452"/>
    </row>
    <row r="353" spans="1:45" s="299" customFormat="1">
      <c r="A353" s="353">
        <v>305</v>
      </c>
      <c r="B353" s="352">
        <v>200</v>
      </c>
      <c r="C353" s="352">
        <v>100</v>
      </c>
      <c r="D353" s="352">
        <v>250</v>
      </c>
      <c r="E353" s="357">
        <v>20</v>
      </c>
      <c r="F353" s="357"/>
      <c r="G353" s="315" t="s">
        <v>966</v>
      </c>
      <c r="H353" s="314"/>
      <c r="I353" s="311"/>
      <c r="J353" s="319"/>
      <c r="K353" s="319"/>
      <c r="L353" s="319"/>
      <c r="M353" s="319"/>
      <c r="N353" s="312"/>
      <c r="O353" s="313"/>
      <c r="P353" s="311">
        <v>0</v>
      </c>
      <c r="Q353" s="312"/>
      <c r="R353" s="314"/>
      <c r="S353" s="311"/>
      <c r="T353" s="311"/>
      <c r="U353" s="311"/>
      <c r="V353" s="311"/>
      <c r="W353" s="311"/>
      <c r="X353" s="311"/>
      <c r="Y353" s="1356">
        <f t="shared" si="35"/>
        <v>0</v>
      </c>
      <c r="Z353" s="1357">
        <f t="shared" si="36"/>
        <v>0</v>
      </c>
      <c r="AA353" s="311">
        <f t="shared" si="37"/>
        <v>0</v>
      </c>
      <c r="AB353" s="311">
        <f t="shared" si="38"/>
        <v>0</v>
      </c>
      <c r="AC353" s="311">
        <f t="shared" si="39"/>
        <v>0</v>
      </c>
      <c r="AD353" s="311">
        <f t="shared" si="40"/>
        <v>0</v>
      </c>
      <c r="AE353" s="311">
        <f t="shared" si="41"/>
        <v>0</v>
      </c>
      <c r="AF353" s="355"/>
      <c r="AG353" s="838"/>
      <c r="AH353" s="744"/>
      <c r="AI353" s="292"/>
      <c r="AK353" s="300"/>
      <c r="AS353" s="452"/>
    </row>
    <row r="354" spans="1:45" s="299" customFormat="1" ht="27.6">
      <c r="A354" s="353">
        <v>305</v>
      </c>
      <c r="B354" s="352">
        <v>200</v>
      </c>
      <c r="C354" s="352">
        <v>100</v>
      </c>
      <c r="D354" s="352">
        <v>250</v>
      </c>
      <c r="E354" s="357">
        <v>90</v>
      </c>
      <c r="F354" s="357"/>
      <c r="G354" s="315" t="s">
        <v>967</v>
      </c>
      <c r="H354" s="314"/>
      <c r="I354" s="311"/>
      <c r="J354" s="319"/>
      <c r="K354" s="319"/>
      <c r="L354" s="319"/>
      <c r="M354" s="319"/>
      <c r="N354" s="312"/>
      <c r="O354" s="313"/>
      <c r="P354" s="311">
        <v>0</v>
      </c>
      <c r="Q354" s="312"/>
      <c r="R354" s="314"/>
      <c r="S354" s="311"/>
      <c r="T354" s="311"/>
      <c r="U354" s="311"/>
      <c r="V354" s="311"/>
      <c r="W354" s="311"/>
      <c r="X354" s="311"/>
      <c r="Y354" s="1356">
        <f t="shared" si="35"/>
        <v>0</v>
      </c>
      <c r="Z354" s="1357">
        <f t="shared" si="36"/>
        <v>0</v>
      </c>
      <c r="AA354" s="311">
        <f t="shared" si="37"/>
        <v>0</v>
      </c>
      <c r="AB354" s="311">
        <f t="shared" si="38"/>
        <v>0</v>
      </c>
      <c r="AC354" s="311">
        <f t="shared" si="39"/>
        <v>0</v>
      </c>
      <c r="AD354" s="311">
        <f t="shared" si="40"/>
        <v>0</v>
      </c>
      <c r="AE354" s="311">
        <f t="shared" si="41"/>
        <v>0</v>
      </c>
      <c r="AF354" s="355"/>
      <c r="AG354" s="838"/>
      <c r="AH354" s="744"/>
      <c r="AI354" s="292"/>
      <c r="AK354" s="300"/>
      <c r="AS354" s="452"/>
    </row>
    <row r="355" spans="1:45" s="299" customFormat="1">
      <c r="A355" s="353">
        <v>305</v>
      </c>
      <c r="B355" s="352">
        <v>200</v>
      </c>
      <c r="C355" s="352">
        <v>100</v>
      </c>
      <c r="D355" s="357">
        <v>300</v>
      </c>
      <c r="E355" s="357"/>
      <c r="F355" s="357"/>
      <c r="G355" s="315" t="s">
        <v>968</v>
      </c>
      <c r="H355" s="329">
        <v>275175.52</v>
      </c>
      <c r="I355" s="326">
        <v>2238.5500000000002</v>
      </c>
      <c r="J355" s="358"/>
      <c r="K355" s="358">
        <v>276097.93</v>
      </c>
      <c r="L355" s="358">
        <v>2238.5500000000002</v>
      </c>
      <c r="M355" s="358"/>
      <c r="N355" s="327">
        <v>250000</v>
      </c>
      <c r="O355" s="328"/>
      <c r="P355" s="326">
        <v>0</v>
      </c>
      <c r="Q355" s="327"/>
      <c r="R355" s="329"/>
      <c r="S355" s="326"/>
      <c r="T355" s="326"/>
      <c r="U355" s="326"/>
      <c r="V355" s="326"/>
      <c r="W355" s="326"/>
      <c r="X355" s="326"/>
      <c r="Y355" s="1350">
        <f t="shared" si="35"/>
        <v>275175.52</v>
      </c>
      <c r="Z355" s="1351">
        <f t="shared" si="36"/>
        <v>2238.5500000000002</v>
      </c>
      <c r="AA355" s="326">
        <f t="shared" si="37"/>
        <v>0</v>
      </c>
      <c r="AB355" s="326">
        <f t="shared" si="38"/>
        <v>276097.93</v>
      </c>
      <c r="AC355" s="326">
        <f t="shared" si="39"/>
        <v>2238.5500000000002</v>
      </c>
      <c r="AD355" s="326">
        <f t="shared" si="40"/>
        <v>0</v>
      </c>
      <c r="AE355" s="326">
        <f t="shared" si="41"/>
        <v>250000</v>
      </c>
      <c r="AF355" s="355" t="s">
        <v>969</v>
      </c>
      <c r="AG355" s="838"/>
      <c r="AH355" s="744"/>
      <c r="AI355" s="292"/>
      <c r="AK355" s="300"/>
      <c r="AS355" s="452"/>
    </row>
    <row r="356" spans="1:45" s="299" customFormat="1">
      <c r="A356" s="353">
        <v>305</v>
      </c>
      <c r="B356" s="352">
        <v>200</v>
      </c>
      <c r="C356" s="352">
        <v>100</v>
      </c>
      <c r="D356" s="357">
        <v>350</v>
      </c>
      <c r="E356" s="357"/>
      <c r="F356" s="357"/>
      <c r="G356" s="315" t="s">
        <v>970</v>
      </c>
      <c r="H356" s="329">
        <v>250034.45</v>
      </c>
      <c r="I356" s="326"/>
      <c r="J356" s="358"/>
      <c r="K356" s="358">
        <v>242351.85</v>
      </c>
      <c r="L356" s="358"/>
      <c r="M356" s="358"/>
      <c r="N356" s="327">
        <v>220000</v>
      </c>
      <c r="O356" s="328"/>
      <c r="P356" s="326">
        <v>0</v>
      </c>
      <c r="Q356" s="327"/>
      <c r="R356" s="329"/>
      <c r="S356" s="326"/>
      <c r="T356" s="326"/>
      <c r="U356" s="326"/>
      <c r="V356" s="326"/>
      <c r="W356" s="326"/>
      <c r="X356" s="326"/>
      <c r="Y356" s="1350">
        <f t="shared" si="35"/>
        <v>250034.45</v>
      </c>
      <c r="Z356" s="1351">
        <f t="shared" si="36"/>
        <v>0</v>
      </c>
      <c r="AA356" s="326">
        <f t="shared" si="37"/>
        <v>0</v>
      </c>
      <c r="AB356" s="326">
        <f t="shared" si="38"/>
        <v>242351.85</v>
      </c>
      <c r="AC356" s="326">
        <f t="shared" si="39"/>
        <v>0</v>
      </c>
      <c r="AD356" s="326">
        <f t="shared" si="40"/>
        <v>0</v>
      </c>
      <c r="AE356" s="326">
        <f t="shared" si="41"/>
        <v>220000</v>
      </c>
      <c r="AF356" s="355" t="s">
        <v>971</v>
      </c>
      <c r="AG356" s="838"/>
      <c r="AH356" s="744"/>
      <c r="AI356" s="292"/>
      <c r="AK356" s="300"/>
      <c r="AS356" s="452"/>
    </row>
    <row r="357" spans="1:45" s="299" customFormat="1">
      <c r="A357" s="353">
        <v>305</v>
      </c>
      <c r="B357" s="352">
        <v>200</v>
      </c>
      <c r="C357" s="352">
        <v>100</v>
      </c>
      <c r="D357" s="352">
        <v>400</v>
      </c>
      <c r="E357" s="352"/>
      <c r="F357" s="352"/>
      <c r="G357" s="323" t="s">
        <v>972</v>
      </c>
      <c r="H357" s="334"/>
      <c r="I357" s="331"/>
      <c r="J357" s="359"/>
      <c r="K357" s="359"/>
      <c r="L357" s="359"/>
      <c r="M357" s="359"/>
      <c r="N357" s="332"/>
      <c r="O357" s="333"/>
      <c r="P357" s="331">
        <v>0</v>
      </c>
      <c r="Q357" s="332"/>
      <c r="R357" s="334"/>
      <c r="S357" s="331"/>
      <c r="T357" s="331"/>
      <c r="U357" s="331"/>
      <c r="V357" s="331"/>
      <c r="W357" s="331"/>
      <c r="X357" s="331"/>
      <c r="Y357" s="1352">
        <f t="shared" si="35"/>
        <v>0</v>
      </c>
      <c r="Z357" s="1353">
        <f t="shared" si="36"/>
        <v>0</v>
      </c>
      <c r="AA357" s="331">
        <f t="shared" si="37"/>
        <v>0</v>
      </c>
      <c r="AB357" s="331">
        <f t="shared" si="38"/>
        <v>0</v>
      </c>
      <c r="AC357" s="331">
        <f t="shared" si="39"/>
        <v>0</v>
      </c>
      <c r="AD357" s="331">
        <f t="shared" si="40"/>
        <v>0</v>
      </c>
      <c r="AE357" s="331">
        <f t="shared" si="41"/>
        <v>0</v>
      </c>
      <c r="AF357" s="355" t="s">
        <v>973</v>
      </c>
      <c r="AG357" s="838"/>
      <c r="AH357" s="744"/>
      <c r="AI357" s="292"/>
      <c r="AK357" s="300"/>
      <c r="AS357" s="452"/>
    </row>
    <row r="358" spans="1:45" s="299" customFormat="1">
      <c r="A358" s="353">
        <v>305</v>
      </c>
      <c r="B358" s="352">
        <v>200</v>
      </c>
      <c r="C358" s="352">
        <v>100</v>
      </c>
      <c r="D358" s="352">
        <v>400</v>
      </c>
      <c r="E358" s="357">
        <v>10</v>
      </c>
      <c r="F358" s="357"/>
      <c r="G358" s="315" t="s">
        <v>974</v>
      </c>
      <c r="H358" s="329">
        <v>76761.06</v>
      </c>
      <c r="I358" s="311"/>
      <c r="J358" s="319"/>
      <c r="K358" s="319">
        <v>76761.06</v>
      </c>
      <c r="L358" s="319"/>
      <c r="M358" s="319"/>
      <c r="N358" s="312">
        <v>60000</v>
      </c>
      <c r="O358" s="313"/>
      <c r="P358" s="311">
        <v>0</v>
      </c>
      <c r="Q358" s="312"/>
      <c r="R358" s="314"/>
      <c r="S358" s="311"/>
      <c r="T358" s="311"/>
      <c r="U358" s="311"/>
      <c r="V358" s="311"/>
      <c r="W358" s="311"/>
      <c r="X358" s="311"/>
      <c r="Y358" s="1356">
        <f t="shared" si="35"/>
        <v>76761.06</v>
      </c>
      <c r="Z358" s="1357">
        <f t="shared" si="36"/>
        <v>0</v>
      </c>
      <c r="AA358" s="311">
        <f t="shared" si="37"/>
        <v>0</v>
      </c>
      <c r="AB358" s="311">
        <f t="shared" si="38"/>
        <v>76761.06</v>
      </c>
      <c r="AC358" s="311">
        <f t="shared" si="39"/>
        <v>0</v>
      </c>
      <c r="AD358" s="311">
        <f t="shared" si="40"/>
        <v>0</v>
      </c>
      <c r="AE358" s="311">
        <f t="shared" si="41"/>
        <v>60000</v>
      </c>
      <c r="AF358" s="355"/>
      <c r="AG358" s="838"/>
      <c r="AH358" s="744"/>
      <c r="AI358" s="292"/>
      <c r="AK358" s="300"/>
      <c r="AS358" s="452"/>
    </row>
    <row r="359" spans="1:45" s="299" customFormat="1">
      <c r="A359" s="353">
        <v>305</v>
      </c>
      <c r="B359" s="352">
        <v>200</v>
      </c>
      <c r="C359" s="352">
        <v>100</v>
      </c>
      <c r="D359" s="352">
        <v>400</v>
      </c>
      <c r="E359" s="357">
        <v>20</v>
      </c>
      <c r="F359" s="357"/>
      <c r="G359" s="315" t="s">
        <v>975</v>
      </c>
      <c r="H359" s="314">
        <v>7320</v>
      </c>
      <c r="I359" s="311"/>
      <c r="J359" s="319"/>
      <c r="K359" s="319">
        <v>7320</v>
      </c>
      <c r="L359" s="319"/>
      <c r="M359" s="319"/>
      <c r="N359" s="312"/>
      <c r="O359" s="313"/>
      <c r="P359" s="311">
        <v>0</v>
      </c>
      <c r="Q359" s="312"/>
      <c r="R359" s="314"/>
      <c r="S359" s="311"/>
      <c r="T359" s="311"/>
      <c r="U359" s="311"/>
      <c r="V359" s="311"/>
      <c r="W359" s="311"/>
      <c r="X359" s="311"/>
      <c r="Y359" s="1356">
        <f t="shared" si="35"/>
        <v>7320</v>
      </c>
      <c r="Z359" s="1357">
        <f t="shared" si="36"/>
        <v>0</v>
      </c>
      <c r="AA359" s="311">
        <f t="shared" si="37"/>
        <v>0</v>
      </c>
      <c r="AB359" s="311">
        <f t="shared" si="38"/>
        <v>7320</v>
      </c>
      <c r="AC359" s="311">
        <f t="shared" si="39"/>
        <v>0</v>
      </c>
      <c r="AD359" s="311">
        <f t="shared" si="40"/>
        <v>0</v>
      </c>
      <c r="AE359" s="311">
        <f t="shared" si="41"/>
        <v>0</v>
      </c>
      <c r="AF359" s="355"/>
      <c r="AG359" s="838"/>
      <c r="AH359" s="744"/>
      <c r="AI359" s="292"/>
      <c r="AK359" s="300"/>
      <c r="AS359" s="452"/>
    </row>
    <row r="360" spans="1:45" s="299" customFormat="1">
      <c r="A360" s="353">
        <v>305</v>
      </c>
      <c r="B360" s="352">
        <v>200</v>
      </c>
      <c r="C360" s="352">
        <v>100</v>
      </c>
      <c r="D360" s="357">
        <v>450</v>
      </c>
      <c r="E360" s="357"/>
      <c r="F360" s="357"/>
      <c r="G360" s="315" t="s">
        <v>976</v>
      </c>
      <c r="H360" s="314">
        <v>665001.76</v>
      </c>
      <c r="I360" s="326"/>
      <c r="J360" s="358"/>
      <c r="K360" s="358">
        <v>700000</v>
      </c>
      <c r="L360" s="358"/>
      <c r="M360" s="358"/>
      <c r="N360" s="327">
        <v>800000</v>
      </c>
      <c r="O360" s="328"/>
      <c r="P360" s="326">
        <v>0</v>
      </c>
      <c r="Q360" s="327"/>
      <c r="R360" s="329"/>
      <c r="S360" s="326"/>
      <c r="T360" s="326"/>
      <c r="U360" s="326"/>
      <c r="V360" s="326"/>
      <c r="W360" s="326"/>
      <c r="X360" s="326"/>
      <c r="Y360" s="1350">
        <f t="shared" si="35"/>
        <v>665001.76</v>
      </c>
      <c r="Z360" s="1351">
        <f t="shared" si="36"/>
        <v>0</v>
      </c>
      <c r="AA360" s="326">
        <f t="shared" si="37"/>
        <v>0</v>
      </c>
      <c r="AB360" s="326">
        <f t="shared" si="38"/>
        <v>700000</v>
      </c>
      <c r="AC360" s="326">
        <f t="shared" si="39"/>
        <v>0</v>
      </c>
      <c r="AD360" s="326">
        <f t="shared" si="40"/>
        <v>0</v>
      </c>
      <c r="AE360" s="326">
        <f t="shared" si="41"/>
        <v>800000</v>
      </c>
      <c r="AF360" s="355" t="s">
        <v>977</v>
      </c>
      <c r="AG360" s="838"/>
      <c r="AH360" s="744"/>
      <c r="AI360" s="292"/>
      <c r="AK360" s="300"/>
      <c r="AS360" s="452"/>
    </row>
    <row r="361" spans="1:45" s="299" customFormat="1">
      <c r="A361" s="353">
        <v>305</v>
      </c>
      <c r="B361" s="352">
        <v>200</v>
      </c>
      <c r="C361" s="352">
        <v>100</v>
      </c>
      <c r="D361" s="426">
        <v>500</v>
      </c>
      <c r="E361" s="426"/>
      <c r="F361" s="426"/>
      <c r="G361" s="428" t="s">
        <v>978</v>
      </c>
      <c r="H361" s="334"/>
      <c r="I361" s="331"/>
      <c r="J361" s="359"/>
      <c r="K361" s="359"/>
      <c r="L361" s="359"/>
      <c r="M361" s="359"/>
      <c r="N361" s="332"/>
      <c r="O361" s="333"/>
      <c r="P361" s="331">
        <v>0</v>
      </c>
      <c r="Q361" s="332"/>
      <c r="R361" s="334"/>
      <c r="S361" s="331"/>
      <c r="T361" s="331"/>
      <c r="U361" s="331"/>
      <c r="V361" s="331"/>
      <c r="W361" s="331"/>
      <c r="X361" s="331"/>
      <c r="Y361" s="1352">
        <f t="shared" si="35"/>
        <v>0</v>
      </c>
      <c r="Z361" s="1353">
        <f t="shared" si="36"/>
        <v>0</v>
      </c>
      <c r="AA361" s="331">
        <f t="shared" si="37"/>
        <v>0</v>
      </c>
      <c r="AB361" s="331">
        <f t="shared" si="38"/>
        <v>0</v>
      </c>
      <c r="AC361" s="331">
        <f t="shared" si="39"/>
        <v>0</v>
      </c>
      <c r="AD361" s="331">
        <f t="shared" si="40"/>
        <v>0</v>
      </c>
      <c r="AE361" s="331">
        <f t="shared" si="41"/>
        <v>0</v>
      </c>
      <c r="AF361" s="427" t="s">
        <v>979</v>
      </c>
      <c r="AG361" s="838"/>
      <c r="AH361" s="744"/>
      <c r="AI361" s="292"/>
      <c r="AK361" s="300"/>
      <c r="AS361" s="452"/>
    </row>
    <row r="362" spans="1:45" s="299" customFormat="1">
      <c r="A362" s="353">
        <v>305</v>
      </c>
      <c r="B362" s="352">
        <v>200</v>
      </c>
      <c r="C362" s="352">
        <v>100</v>
      </c>
      <c r="D362" s="426">
        <v>500</v>
      </c>
      <c r="E362" s="357">
        <v>10</v>
      </c>
      <c r="F362" s="357"/>
      <c r="G362" s="315" t="s">
        <v>980</v>
      </c>
      <c r="H362" s="314">
        <v>198575.34</v>
      </c>
      <c r="I362" s="311"/>
      <c r="J362" s="319"/>
      <c r="K362" s="319">
        <v>221329.82</v>
      </c>
      <c r="L362" s="319"/>
      <c r="M362" s="319"/>
      <c r="N362" s="312">
        <v>130000</v>
      </c>
      <c r="O362" s="313"/>
      <c r="P362" s="311">
        <v>0</v>
      </c>
      <c r="Q362" s="312"/>
      <c r="R362" s="314"/>
      <c r="S362" s="311"/>
      <c r="T362" s="311"/>
      <c r="U362" s="311"/>
      <c r="V362" s="311"/>
      <c r="W362" s="311"/>
      <c r="X362" s="311"/>
      <c r="Y362" s="1356">
        <f t="shared" si="35"/>
        <v>198575.34</v>
      </c>
      <c r="Z362" s="1357">
        <f t="shared" si="36"/>
        <v>0</v>
      </c>
      <c r="AA362" s="311">
        <f t="shared" si="37"/>
        <v>0</v>
      </c>
      <c r="AB362" s="311">
        <f t="shared" si="38"/>
        <v>221329.82</v>
      </c>
      <c r="AC362" s="311">
        <f t="shared" si="39"/>
        <v>0</v>
      </c>
      <c r="AD362" s="311">
        <f t="shared" si="40"/>
        <v>0</v>
      </c>
      <c r="AE362" s="311">
        <f t="shared" si="41"/>
        <v>130000</v>
      </c>
      <c r="AF362" s="355"/>
      <c r="AG362" s="838"/>
      <c r="AH362" s="744"/>
      <c r="AI362" s="292"/>
      <c r="AK362" s="300"/>
      <c r="AS362" s="452"/>
    </row>
    <row r="363" spans="1:45" s="299" customFormat="1">
      <c r="A363" s="353">
        <v>305</v>
      </c>
      <c r="B363" s="352">
        <v>200</v>
      </c>
      <c r="C363" s="352">
        <v>100</v>
      </c>
      <c r="D363" s="426">
        <v>500</v>
      </c>
      <c r="E363" s="357">
        <v>20</v>
      </c>
      <c r="F363" s="357"/>
      <c r="G363" s="315" t="s">
        <v>981</v>
      </c>
      <c r="H363" s="314">
        <v>566.33000000000004</v>
      </c>
      <c r="I363" s="311"/>
      <c r="J363" s="319"/>
      <c r="K363" s="319">
        <v>2000</v>
      </c>
      <c r="L363" s="319"/>
      <c r="M363" s="319"/>
      <c r="N363" s="312">
        <v>2000</v>
      </c>
      <c r="O363" s="313"/>
      <c r="P363" s="311">
        <v>0</v>
      </c>
      <c r="Q363" s="312"/>
      <c r="R363" s="314"/>
      <c r="S363" s="311"/>
      <c r="T363" s="311"/>
      <c r="U363" s="311"/>
      <c r="V363" s="311"/>
      <c r="W363" s="311"/>
      <c r="X363" s="311"/>
      <c r="Y363" s="1356">
        <f t="shared" si="35"/>
        <v>566.33000000000004</v>
      </c>
      <c r="Z363" s="1357">
        <f t="shared" si="36"/>
        <v>0</v>
      </c>
      <c r="AA363" s="311">
        <f t="shared" si="37"/>
        <v>0</v>
      </c>
      <c r="AB363" s="311">
        <f t="shared" si="38"/>
        <v>2000</v>
      </c>
      <c r="AC363" s="311">
        <f t="shared" si="39"/>
        <v>0</v>
      </c>
      <c r="AD363" s="311">
        <f t="shared" si="40"/>
        <v>0</v>
      </c>
      <c r="AE363" s="311">
        <f t="shared" si="41"/>
        <v>2000</v>
      </c>
      <c r="AF363" s="355"/>
      <c r="AG363" s="838"/>
      <c r="AH363" s="744"/>
      <c r="AI363" s="292"/>
      <c r="AK363" s="300"/>
      <c r="AS363" s="452"/>
    </row>
    <row r="364" spans="1:45" s="299" customFormat="1">
      <c r="A364" s="353">
        <v>305</v>
      </c>
      <c r="B364" s="352">
        <v>200</v>
      </c>
      <c r="C364" s="352">
        <v>100</v>
      </c>
      <c r="D364" s="426">
        <v>500</v>
      </c>
      <c r="E364" s="357">
        <v>30</v>
      </c>
      <c r="F364" s="357"/>
      <c r="G364" s="315" t="s">
        <v>982</v>
      </c>
      <c r="H364" s="314">
        <v>407.35</v>
      </c>
      <c r="I364" s="311"/>
      <c r="J364" s="319"/>
      <c r="K364" s="319">
        <v>407.35</v>
      </c>
      <c r="L364" s="319"/>
      <c r="M364" s="319"/>
      <c r="N364" s="312">
        <v>407</v>
      </c>
      <c r="O364" s="313"/>
      <c r="P364" s="311">
        <v>0</v>
      </c>
      <c r="Q364" s="312"/>
      <c r="R364" s="314"/>
      <c r="S364" s="311"/>
      <c r="T364" s="311"/>
      <c r="U364" s="311"/>
      <c r="V364" s="311"/>
      <c r="W364" s="311"/>
      <c r="X364" s="311"/>
      <c r="Y364" s="1356">
        <f t="shared" si="35"/>
        <v>407.35</v>
      </c>
      <c r="Z364" s="1357">
        <f t="shared" si="36"/>
        <v>0</v>
      </c>
      <c r="AA364" s="311">
        <f t="shared" si="37"/>
        <v>0</v>
      </c>
      <c r="AB364" s="311">
        <f t="shared" si="38"/>
        <v>407.35</v>
      </c>
      <c r="AC364" s="311">
        <f t="shared" si="39"/>
        <v>0</v>
      </c>
      <c r="AD364" s="311">
        <f t="shared" si="40"/>
        <v>0</v>
      </c>
      <c r="AE364" s="311">
        <f t="shared" si="41"/>
        <v>407</v>
      </c>
      <c r="AF364" s="355"/>
      <c r="AG364" s="838"/>
      <c r="AH364" s="744"/>
      <c r="AI364" s="292"/>
      <c r="AK364" s="300"/>
      <c r="AS364" s="452"/>
    </row>
    <row r="365" spans="1:45" s="299" customFormat="1">
      <c r="A365" s="353">
        <v>305</v>
      </c>
      <c r="B365" s="352">
        <v>200</v>
      </c>
      <c r="C365" s="352">
        <v>100</v>
      </c>
      <c r="D365" s="426">
        <v>500</v>
      </c>
      <c r="E365" s="357">
        <v>40</v>
      </c>
      <c r="F365" s="357"/>
      <c r="G365" s="315" t="s">
        <v>983</v>
      </c>
      <c r="H365" s="314"/>
      <c r="I365" s="311"/>
      <c r="J365" s="319"/>
      <c r="K365" s="319"/>
      <c r="L365" s="319"/>
      <c r="M365" s="319"/>
      <c r="N365" s="312"/>
      <c r="O365" s="313"/>
      <c r="P365" s="311">
        <v>0</v>
      </c>
      <c r="Q365" s="312"/>
      <c r="R365" s="314"/>
      <c r="S365" s="311"/>
      <c r="T365" s="311"/>
      <c r="U365" s="311"/>
      <c r="V365" s="311"/>
      <c r="W365" s="311"/>
      <c r="X365" s="311"/>
      <c r="Y365" s="1356">
        <f t="shared" si="35"/>
        <v>0</v>
      </c>
      <c r="Z365" s="1357">
        <f t="shared" si="36"/>
        <v>0</v>
      </c>
      <c r="AA365" s="311">
        <f t="shared" si="37"/>
        <v>0</v>
      </c>
      <c r="AB365" s="311">
        <f t="shared" si="38"/>
        <v>0</v>
      </c>
      <c r="AC365" s="311">
        <f t="shared" si="39"/>
        <v>0</v>
      </c>
      <c r="AD365" s="311">
        <f t="shared" si="40"/>
        <v>0</v>
      </c>
      <c r="AE365" s="311">
        <f t="shared" si="41"/>
        <v>0</v>
      </c>
      <c r="AF365" s="355"/>
      <c r="AG365" s="838"/>
      <c r="AH365" s="744"/>
      <c r="AI365" s="292"/>
      <c r="AK365" s="300"/>
      <c r="AS365" s="452"/>
    </row>
    <row r="366" spans="1:45" s="299" customFormat="1">
      <c r="A366" s="353">
        <v>305</v>
      </c>
      <c r="B366" s="352">
        <v>200</v>
      </c>
      <c r="C366" s="352">
        <v>100</v>
      </c>
      <c r="D366" s="426">
        <v>500</v>
      </c>
      <c r="E366" s="357">
        <v>50</v>
      </c>
      <c r="F366" s="357"/>
      <c r="G366" s="315" t="s">
        <v>978</v>
      </c>
      <c r="H366" s="314"/>
      <c r="I366" s="311"/>
      <c r="J366" s="319"/>
      <c r="K366" s="319"/>
      <c r="L366" s="319"/>
      <c r="M366" s="319"/>
      <c r="N366" s="312"/>
      <c r="O366" s="313"/>
      <c r="P366" s="311">
        <v>0</v>
      </c>
      <c r="Q366" s="312"/>
      <c r="R366" s="314"/>
      <c r="S366" s="311"/>
      <c r="T366" s="311"/>
      <c r="U366" s="311"/>
      <c r="V366" s="311"/>
      <c r="W366" s="311"/>
      <c r="X366" s="311"/>
      <c r="Y366" s="1356">
        <f t="shared" si="35"/>
        <v>0</v>
      </c>
      <c r="Z366" s="1357">
        <f t="shared" si="36"/>
        <v>0</v>
      </c>
      <c r="AA366" s="311">
        <f t="shared" si="37"/>
        <v>0</v>
      </c>
      <c r="AB366" s="311">
        <f t="shared" si="38"/>
        <v>0</v>
      </c>
      <c r="AC366" s="311">
        <f t="shared" si="39"/>
        <v>0</v>
      </c>
      <c r="AD366" s="311">
        <f t="shared" si="40"/>
        <v>0</v>
      </c>
      <c r="AE366" s="311">
        <f t="shared" si="41"/>
        <v>0</v>
      </c>
      <c r="AF366" s="355"/>
      <c r="AG366" s="838"/>
      <c r="AH366" s="744"/>
      <c r="AI366" s="292"/>
      <c r="AK366" s="300"/>
      <c r="AS366" s="452"/>
    </row>
    <row r="367" spans="1:45" s="299" customFormat="1">
      <c r="A367" s="353">
        <v>305</v>
      </c>
      <c r="B367" s="352">
        <v>200</v>
      </c>
      <c r="C367" s="352">
        <v>100</v>
      </c>
      <c r="D367" s="352">
        <v>550</v>
      </c>
      <c r="E367" s="352"/>
      <c r="F367" s="352"/>
      <c r="G367" s="323" t="s">
        <v>984</v>
      </c>
      <c r="H367" s="334"/>
      <c r="I367" s="331"/>
      <c r="J367" s="359"/>
      <c r="K367" s="359"/>
      <c r="L367" s="359"/>
      <c r="M367" s="359"/>
      <c r="N367" s="332"/>
      <c r="O367" s="333"/>
      <c r="P367" s="331">
        <v>0</v>
      </c>
      <c r="Q367" s="332"/>
      <c r="R367" s="334"/>
      <c r="S367" s="331"/>
      <c r="T367" s="331"/>
      <c r="U367" s="331"/>
      <c r="V367" s="331"/>
      <c r="W367" s="331"/>
      <c r="X367" s="331"/>
      <c r="Y367" s="1352">
        <f t="shared" si="35"/>
        <v>0</v>
      </c>
      <c r="Z367" s="1353">
        <f t="shared" si="36"/>
        <v>0</v>
      </c>
      <c r="AA367" s="331">
        <f t="shared" si="37"/>
        <v>0</v>
      </c>
      <c r="AB367" s="331">
        <f t="shared" si="38"/>
        <v>0</v>
      </c>
      <c r="AC367" s="331">
        <f t="shared" si="39"/>
        <v>0</v>
      </c>
      <c r="AD367" s="331">
        <f t="shared" si="40"/>
        <v>0</v>
      </c>
      <c r="AE367" s="331">
        <f t="shared" si="41"/>
        <v>0</v>
      </c>
      <c r="AF367" s="355" t="s">
        <v>985</v>
      </c>
      <c r="AG367" s="838"/>
      <c r="AH367" s="744"/>
      <c r="AI367" s="292"/>
      <c r="AK367" s="300"/>
      <c r="AS367" s="452"/>
    </row>
    <row r="368" spans="1:45" s="299" customFormat="1" ht="27.6">
      <c r="A368" s="353">
        <v>305</v>
      </c>
      <c r="B368" s="352">
        <v>200</v>
      </c>
      <c r="C368" s="352">
        <v>100</v>
      </c>
      <c r="D368" s="352">
        <v>550</v>
      </c>
      <c r="E368" s="357">
        <v>10</v>
      </c>
      <c r="F368" s="357"/>
      <c r="G368" s="315" t="s">
        <v>986</v>
      </c>
      <c r="H368" s="329"/>
      <c r="I368" s="326"/>
      <c r="J368" s="358"/>
      <c r="K368" s="358"/>
      <c r="L368" s="358"/>
      <c r="M368" s="358"/>
      <c r="N368" s="327"/>
      <c r="O368" s="328"/>
      <c r="P368" s="326">
        <v>0</v>
      </c>
      <c r="Q368" s="327"/>
      <c r="R368" s="329"/>
      <c r="S368" s="326"/>
      <c r="T368" s="326"/>
      <c r="U368" s="326"/>
      <c r="V368" s="326"/>
      <c r="W368" s="326"/>
      <c r="X368" s="326"/>
      <c r="Y368" s="1350">
        <f t="shared" si="35"/>
        <v>0</v>
      </c>
      <c r="Z368" s="1351">
        <f t="shared" si="36"/>
        <v>0</v>
      </c>
      <c r="AA368" s="326">
        <f t="shared" si="37"/>
        <v>0</v>
      </c>
      <c r="AB368" s="326">
        <f t="shared" si="38"/>
        <v>0</v>
      </c>
      <c r="AC368" s="326">
        <f t="shared" si="39"/>
        <v>0</v>
      </c>
      <c r="AD368" s="326">
        <f t="shared" si="40"/>
        <v>0</v>
      </c>
      <c r="AE368" s="326">
        <f t="shared" si="41"/>
        <v>0</v>
      </c>
      <c r="AF368" s="355" t="s">
        <v>987</v>
      </c>
      <c r="AG368" s="838"/>
      <c r="AH368" s="744"/>
      <c r="AI368" s="292"/>
      <c r="AK368" s="300"/>
      <c r="AS368" s="452"/>
    </row>
    <row r="369" spans="1:45" s="299" customFormat="1" ht="27.6">
      <c r="A369" s="353">
        <v>305</v>
      </c>
      <c r="B369" s="352">
        <v>200</v>
      </c>
      <c r="C369" s="352">
        <v>100</v>
      </c>
      <c r="D369" s="352">
        <v>550</v>
      </c>
      <c r="E369" s="357">
        <v>20</v>
      </c>
      <c r="F369" s="357"/>
      <c r="G369" s="315" t="s">
        <v>988</v>
      </c>
      <c r="H369" s="329"/>
      <c r="I369" s="326"/>
      <c r="J369" s="358"/>
      <c r="K369" s="358"/>
      <c r="L369" s="358"/>
      <c r="M369" s="358"/>
      <c r="N369" s="327"/>
      <c r="O369" s="328"/>
      <c r="P369" s="326">
        <v>40000</v>
      </c>
      <c r="Q369" s="327">
        <v>40000</v>
      </c>
      <c r="R369" s="329">
        <v>70348.039999999994</v>
      </c>
      <c r="S369" s="326"/>
      <c r="T369" s="326"/>
      <c r="U369" s="326">
        <v>60000</v>
      </c>
      <c r="V369" s="326"/>
      <c r="W369" s="326"/>
      <c r="X369" s="326">
        <v>85000</v>
      </c>
      <c r="Y369" s="1350">
        <f t="shared" si="35"/>
        <v>70348.039999999994</v>
      </c>
      <c r="Z369" s="1351">
        <f t="shared" si="36"/>
        <v>0</v>
      </c>
      <c r="AA369" s="326">
        <f t="shared" si="37"/>
        <v>0</v>
      </c>
      <c r="AB369" s="326">
        <f t="shared" si="38"/>
        <v>100000</v>
      </c>
      <c r="AC369" s="326">
        <f t="shared" si="39"/>
        <v>0</v>
      </c>
      <c r="AD369" s="326">
        <f t="shared" si="40"/>
        <v>0</v>
      </c>
      <c r="AE369" s="326">
        <f t="shared" si="41"/>
        <v>125000</v>
      </c>
      <c r="AF369" s="355" t="s">
        <v>989</v>
      </c>
      <c r="AG369" s="838"/>
      <c r="AH369" s="744"/>
      <c r="AI369" s="292"/>
      <c r="AK369" s="300"/>
      <c r="AS369" s="452"/>
    </row>
    <row r="370" spans="1:45" s="299" customFormat="1">
      <c r="A370" s="353">
        <v>305</v>
      </c>
      <c r="B370" s="352">
        <v>200</v>
      </c>
      <c r="C370" s="352">
        <v>100</v>
      </c>
      <c r="D370" s="352">
        <v>600</v>
      </c>
      <c r="E370" s="352"/>
      <c r="F370" s="352"/>
      <c r="G370" s="323" t="s">
        <v>990</v>
      </c>
      <c r="H370" s="334"/>
      <c r="I370" s="331"/>
      <c r="J370" s="359"/>
      <c r="K370" s="359"/>
      <c r="L370" s="359"/>
      <c r="M370" s="359"/>
      <c r="N370" s="332"/>
      <c r="O370" s="333"/>
      <c r="P370" s="331">
        <v>0</v>
      </c>
      <c r="Q370" s="332"/>
      <c r="R370" s="334"/>
      <c r="S370" s="331"/>
      <c r="T370" s="331"/>
      <c r="U370" s="331"/>
      <c r="V370" s="331"/>
      <c r="W370" s="331"/>
      <c r="X370" s="331"/>
      <c r="Y370" s="1352">
        <f t="shared" si="35"/>
        <v>0</v>
      </c>
      <c r="Z370" s="1353">
        <f t="shared" si="36"/>
        <v>0</v>
      </c>
      <c r="AA370" s="331">
        <f t="shared" si="37"/>
        <v>0</v>
      </c>
      <c r="AB370" s="331">
        <f t="shared" si="38"/>
        <v>0</v>
      </c>
      <c r="AC370" s="331">
        <f t="shared" si="39"/>
        <v>0</v>
      </c>
      <c r="AD370" s="331">
        <f t="shared" si="40"/>
        <v>0</v>
      </c>
      <c r="AE370" s="331">
        <f t="shared" si="41"/>
        <v>0</v>
      </c>
      <c r="AF370" s="355" t="s">
        <v>991</v>
      </c>
      <c r="AG370" s="838"/>
      <c r="AH370" s="744"/>
      <c r="AI370" s="292"/>
      <c r="AK370" s="300"/>
      <c r="AS370" s="452"/>
    </row>
    <row r="371" spans="1:45" s="299" customFormat="1" ht="41.4">
      <c r="A371" s="353">
        <v>305</v>
      </c>
      <c r="B371" s="352">
        <v>200</v>
      </c>
      <c r="C371" s="352">
        <v>100</v>
      </c>
      <c r="D371" s="352">
        <v>600</v>
      </c>
      <c r="E371" s="357">
        <v>10</v>
      </c>
      <c r="F371" s="357"/>
      <c r="G371" s="342" t="s">
        <v>992</v>
      </c>
      <c r="H371" s="329"/>
      <c r="I371" s="326"/>
      <c r="J371" s="358"/>
      <c r="K371" s="358"/>
      <c r="L371" s="358"/>
      <c r="M371" s="358"/>
      <c r="N371" s="327"/>
      <c r="O371" s="328"/>
      <c r="P371" s="326">
        <v>0</v>
      </c>
      <c r="Q371" s="327"/>
      <c r="R371" s="529">
        <f>444323.3-2984</f>
        <v>441339.3</v>
      </c>
      <c r="S371" s="326"/>
      <c r="T371" s="326"/>
      <c r="U371" s="326">
        <v>429454.3</v>
      </c>
      <c r="V371" s="326"/>
      <c r="W371" s="326"/>
      <c r="X371" s="326">
        <v>415843</v>
      </c>
      <c r="Y371" s="1350">
        <f t="shared" si="35"/>
        <v>441339.3</v>
      </c>
      <c r="Z371" s="1351">
        <f t="shared" si="36"/>
        <v>0</v>
      </c>
      <c r="AA371" s="326">
        <f t="shared" si="37"/>
        <v>0</v>
      </c>
      <c r="AB371" s="326">
        <f t="shared" si="38"/>
        <v>429454.3</v>
      </c>
      <c r="AC371" s="326">
        <f t="shared" si="39"/>
        <v>0</v>
      </c>
      <c r="AD371" s="326">
        <f t="shared" si="40"/>
        <v>0</v>
      </c>
      <c r="AE371" s="326">
        <f t="shared" si="41"/>
        <v>415843</v>
      </c>
      <c r="AF371" s="424" t="s">
        <v>993</v>
      </c>
      <c r="AG371" s="838"/>
      <c r="AH371" s="744"/>
      <c r="AI371" s="292"/>
      <c r="AK371" s="300"/>
      <c r="AS371" s="452"/>
    </row>
    <row r="372" spans="1:45" s="299" customFormat="1" ht="27.6">
      <c r="A372" s="353">
        <v>305</v>
      </c>
      <c r="B372" s="352">
        <v>200</v>
      </c>
      <c r="C372" s="352">
        <v>100</v>
      </c>
      <c r="D372" s="352">
        <v>600</v>
      </c>
      <c r="E372" s="352">
        <v>20</v>
      </c>
      <c r="F372" s="352"/>
      <c r="G372" s="323" t="s">
        <v>994</v>
      </c>
      <c r="H372" s="334"/>
      <c r="I372" s="331"/>
      <c r="J372" s="359"/>
      <c r="K372" s="359"/>
      <c r="L372" s="359"/>
      <c r="M372" s="359"/>
      <c r="N372" s="332"/>
      <c r="O372" s="333"/>
      <c r="P372" s="331">
        <v>0</v>
      </c>
      <c r="Q372" s="332"/>
      <c r="R372" s="334"/>
      <c r="S372" s="331"/>
      <c r="T372" s="331"/>
      <c r="U372" s="331"/>
      <c r="V372" s="331"/>
      <c r="W372" s="331"/>
      <c r="X372" s="331"/>
      <c r="Y372" s="1352">
        <f t="shared" si="35"/>
        <v>0</v>
      </c>
      <c r="Z372" s="1353">
        <f t="shared" si="36"/>
        <v>0</v>
      </c>
      <c r="AA372" s="331">
        <f t="shared" si="37"/>
        <v>0</v>
      </c>
      <c r="AB372" s="331">
        <f t="shared" si="38"/>
        <v>0</v>
      </c>
      <c r="AC372" s="331">
        <f t="shared" si="39"/>
        <v>0</v>
      </c>
      <c r="AD372" s="331">
        <f t="shared" si="40"/>
        <v>0</v>
      </c>
      <c r="AE372" s="331">
        <f t="shared" si="41"/>
        <v>0</v>
      </c>
      <c r="AF372" s="355" t="s">
        <v>995</v>
      </c>
      <c r="AG372" s="838"/>
      <c r="AH372" s="744"/>
      <c r="AI372" s="292"/>
      <c r="AK372" s="300"/>
      <c r="AS372" s="452"/>
    </row>
    <row r="373" spans="1:45" s="299" customFormat="1">
      <c r="A373" s="353">
        <v>305</v>
      </c>
      <c r="B373" s="352">
        <v>200</v>
      </c>
      <c r="C373" s="352">
        <v>100</v>
      </c>
      <c r="D373" s="352">
        <v>600</v>
      </c>
      <c r="E373" s="352">
        <v>20</v>
      </c>
      <c r="F373" s="357">
        <v>5</v>
      </c>
      <c r="G373" s="315" t="s">
        <v>996</v>
      </c>
      <c r="H373" s="314"/>
      <c r="I373" s="311"/>
      <c r="J373" s="319"/>
      <c r="K373" s="319"/>
      <c r="L373" s="319"/>
      <c r="M373" s="319"/>
      <c r="N373" s="312"/>
      <c r="O373" s="313">
        <v>10934.32</v>
      </c>
      <c r="P373" s="311">
        <v>0</v>
      </c>
      <c r="Q373" s="312"/>
      <c r="R373" s="314"/>
      <c r="S373" s="311"/>
      <c r="T373" s="311"/>
      <c r="U373" s="311"/>
      <c r="V373" s="311"/>
      <c r="W373" s="311"/>
      <c r="X373" s="311"/>
      <c r="Y373" s="1356">
        <f t="shared" si="35"/>
        <v>10934.32</v>
      </c>
      <c r="Z373" s="1357">
        <f t="shared" si="36"/>
        <v>0</v>
      </c>
      <c r="AA373" s="311">
        <f t="shared" si="37"/>
        <v>0</v>
      </c>
      <c r="AB373" s="311">
        <f t="shared" si="38"/>
        <v>0</v>
      </c>
      <c r="AC373" s="311">
        <f t="shared" si="39"/>
        <v>0</v>
      </c>
      <c r="AD373" s="311">
        <f t="shared" si="40"/>
        <v>0</v>
      </c>
      <c r="AE373" s="311">
        <f t="shared" si="41"/>
        <v>0</v>
      </c>
      <c r="AF373" s="355"/>
      <c r="AG373" s="838"/>
      <c r="AH373" s="744"/>
      <c r="AI373" s="292"/>
      <c r="AK373" s="300"/>
      <c r="AS373" s="452"/>
    </row>
    <row r="374" spans="1:45" s="299" customFormat="1" ht="27.6">
      <c r="A374" s="353">
        <v>305</v>
      </c>
      <c r="B374" s="352">
        <v>200</v>
      </c>
      <c r="C374" s="352">
        <v>100</v>
      </c>
      <c r="D374" s="352">
        <v>600</v>
      </c>
      <c r="E374" s="352">
        <v>20</v>
      </c>
      <c r="F374" s="357">
        <v>10</v>
      </c>
      <c r="G374" s="315" t="s">
        <v>997</v>
      </c>
      <c r="H374" s="329"/>
      <c r="I374" s="326"/>
      <c r="J374" s="358"/>
      <c r="K374" s="358"/>
      <c r="L374" s="358"/>
      <c r="M374" s="358"/>
      <c r="N374" s="327"/>
      <c r="O374" s="328"/>
      <c r="P374" s="326">
        <v>0</v>
      </c>
      <c r="Q374" s="327"/>
      <c r="R374" s="329"/>
      <c r="S374" s="326"/>
      <c r="T374" s="326"/>
      <c r="U374" s="326"/>
      <c r="V374" s="326"/>
      <c r="W374" s="326"/>
      <c r="X374" s="326"/>
      <c r="Y374" s="1350">
        <f t="shared" si="35"/>
        <v>0</v>
      </c>
      <c r="Z374" s="1351">
        <f t="shared" si="36"/>
        <v>0</v>
      </c>
      <c r="AA374" s="326">
        <f t="shared" si="37"/>
        <v>0</v>
      </c>
      <c r="AB374" s="326">
        <f t="shared" si="38"/>
        <v>0</v>
      </c>
      <c r="AC374" s="326">
        <f t="shared" si="39"/>
        <v>0</v>
      </c>
      <c r="AD374" s="326">
        <f t="shared" si="40"/>
        <v>0</v>
      </c>
      <c r="AE374" s="326">
        <f t="shared" si="41"/>
        <v>0</v>
      </c>
      <c r="AF374" s="355"/>
      <c r="AG374" s="838"/>
      <c r="AH374" s="744"/>
      <c r="AI374" s="292"/>
      <c r="AK374" s="300"/>
      <c r="AS374" s="452"/>
    </row>
    <row r="375" spans="1:45" s="299" customFormat="1">
      <c r="A375" s="353">
        <v>305</v>
      </c>
      <c r="B375" s="352">
        <v>200</v>
      </c>
      <c r="C375" s="352">
        <v>100</v>
      </c>
      <c r="D375" s="352">
        <v>600</v>
      </c>
      <c r="E375" s="352">
        <v>30</v>
      </c>
      <c r="F375" s="352"/>
      <c r="G375" s="323" t="s">
        <v>998</v>
      </c>
      <c r="H375" s="334"/>
      <c r="I375" s="331"/>
      <c r="J375" s="359"/>
      <c r="K375" s="359"/>
      <c r="L375" s="359"/>
      <c r="M375" s="359"/>
      <c r="N375" s="332"/>
      <c r="O375" s="333"/>
      <c r="P375" s="331">
        <v>0</v>
      </c>
      <c r="Q375" s="332"/>
      <c r="R375" s="334"/>
      <c r="S375" s="331"/>
      <c r="T375" s="331"/>
      <c r="U375" s="331"/>
      <c r="V375" s="331"/>
      <c r="W375" s="331"/>
      <c r="X375" s="331"/>
      <c r="Y375" s="1352">
        <f t="shared" si="35"/>
        <v>0</v>
      </c>
      <c r="Z375" s="1353">
        <f t="shared" si="36"/>
        <v>0</v>
      </c>
      <c r="AA375" s="331">
        <f t="shared" si="37"/>
        <v>0</v>
      </c>
      <c r="AB375" s="331">
        <f t="shared" si="38"/>
        <v>0</v>
      </c>
      <c r="AC375" s="331">
        <f t="shared" si="39"/>
        <v>0</v>
      </c>
      <c r="AD375" s="331">
        <f t="shared" si="40"/>
        <v>0</v>
      </c>
      <c r="AE375" s="331">
        <f t="shared" si="41"/>
        <v>0</v>
      </c>
      <c r="AF375" s="355" t="s">
        <v>999</v>
      </c>
      <c r="AG375" s="838"/>
      <c r="AH375" s="744"/>
      <c r="AI375" s="292"/>
      <c r="AK375" s="300"/>
      <c r="AS375" s="452"/>
    </row>
    <row r="376" spans="1:45" s="299" customFormat="1">
      <c r="A376" s="353">
        <v>305</v>
      </c>
      <c r="B376" s="352">
        <v>200</v>
      </c>
      <c r="C376" s="352">
        <v>100</v>
      </c>
      <c r="D376" s="352">
        <v>600</v>
      </c>
      <c r="E376" s="352">
        <v>30</v>
      </c>
      <c r="F376" s="357">
        <v>5</v>
      </c>
      <c r="G376" s="315" t="s">
        <v>1000</v>
      </c>
      <c r="H376" s="314">
        <v>418813.16</v>
      </c>
      <c r="I376" s="397"/>
      <c r="J376" s="400"/>
      <c r="K376" s="400">
        <v>420000</v>
      </c>
      <c r="L376" s="400"/>
      <c r="M376" s="400"/>
      <c r="N376" s="312">
        <v>420000</v>
      </c>
      <c r="O376" s="313"/>
      <c r="P376" s="311">
        <v>0</v>
      </c>
      <c r="Q376" s="312"/>
      <c r="R376" s="314"/>
      <c r="S376" s="311"/>
      <c r="T376" s="311"/>
      <c r="U376" s="311"/>
      <c r="V376" s="311"/>
      <c r="W376" s="311"/>
      <c r="X376" s="311"/>
      <c r="Y376" s="1356">
        <f t="shared" si="35"/>
        <v>418813.16</v>
      </c>
      <c r="Z376" s="1357">
        <f t="shared" si="36"/>
        <v>0</v>
      </c>
      <c r="AA376" s="311">
        <f t="shared" si="37"/>
        <v>0</v>
      </c>
      <c r="AB376" s="311">
        <f t="shared" si="38"/>
        <v>420000</v>
      </c>
      <c r="AC376" s="311">
        <f t="shared" si="39"/>
        <v>0</v>
      </c>
      <c r="AD376" s="311">
        <f t="shared" si="40"/>
        <v>0</v>
      </c>
      <c r="AE376" s="311">
        <f t="shared" si="41"/>
        <v>420000</v>
      </c>
      <c r="AF376" s="355"/>
      <c r="AG376" s="838"/>
      <c r="AH376" s="744"/>
      <c r="AI376" s="292"/>
      <c r="AK376" s="300"/>
      <c r="AS376" s="452"/>
    </row>
    <row r="377" spans="1:45" s="299" customFormat="1">
      <c r="A377" s="353">
        <v>305</v>
      </c>
      <c r="B377" s="352">
        <v>200</v>
      </c>
      <c r="C377" s="352">
        <v>100</v>
      </c>
      <c r="D377" s="352">
        <v>600</v>
      </c>
      <c r="E377" s="352">
        <v>30</v>
      </c>
      <c r="F377" s="357">
        <v>10</v>
      </c>
      <c r="G377" s="315" t="s">
        <v>1001</v>
      </c>
      <c r="H377" s="314">
        <v>28105.15</v>
      </c>
      <c r="I377" s="397"/>
      <c r="J377" s="400"/>
      <c r="K377" s="400">
        <v>28000</v>
      </c>
      <c r="L377" s="400"/>
      <c r="M377" s="400"/>
      <c r="N377" s="312">
        <v>28000</v>
      </c>
      <c r="O377" s="313"/>
      <c r="P377" s="311">
        <v>0</v>
      </c>
      <c r="Q377" s="312"/>
      <c r="R377" s="314"/>
      <c r="S377" s="311"/>
      <c r="T377" s="311"/>
      <c r="U377" s="311"/>
      <c r="V377" s="311"/>
      <c r="W377" s="311"/>
      <c r="X377" s="311"/>
      <c r="Y377" s="1356">
        <f t="shared" si="35"/>
        <v>28105.15</v>
      </c>
      <c r="Z377" s="1357">
        <f t="shared" si="36"/>
        <v>0</v>
      </c>
      <c r="AA377" s="311">
        <f t="shared" si="37"/>
        <v>0</v>
      </c>
      <c r="AB377" s="311">
        <f t="shared" si="38"/>
        <v>28000</v>
      </c>
      <c r="AC377" s="311">
        <f t="shared" si="39"/>
        <v>0</v>
      </c>
      <c r="AD377" s="311">
        <f t="shared" si="40"/>
        <v>0</v>
      </c>
      <c r="AE377" s="311">
        <f t="shared" si="41"/>
        <v>28000</v>
      </c>
      <c r="AF377" s="355"/>
      <c r="AG377" s="838"/>
      <c r="AH377" s="367"/>
      <c r="AI377" s="292"/>
      <c r="AK377" s="300"/>
      <c r="AS377" s="452"/>
    </row>
    <row r="378" spans="1:45" s="299" customFormat="1">
      <c r="A378" s="353">
        <v>305</v>
      </c>
      <c r="B378" s="352">
        <v>200</v>
      </c>
      <c r="C378" s="352">
        <v>100</v>
      </c>
      <c r="D378" s="352">
        <v>600</v>
      </c>
      <c r="E378" s="352">
        <v>30</v>
      </c>
      <c r="F378" s="316">
        <v>15</v>
      </c>
      <c r="G378" s="351" t="s">
        <v>1002</v>
      </c>
      <c r="H378" s="399"/>
      <c r="I378" s="397"/>
      <c r="J378" s="400"/>
      <c r="K378" s="400"/>
      <c r="L378" s="400"/>
      <c r="M378" s="400"/>
      <c r="N378" s="398"/>
      <c r="O378" s="801"/>
      <c r="P378" s="397">
        <v>0</v>
      </c>
      <c r="Q378" s="398"/>
      <c r="R378" s="399">
        <v>40</v>
      </c>
      <c r="S378" s="397"/>
      <c r="T378" s="397"/>
      <c r="U378" s="397">
        <v>40</v>
      </c>
      <c r="V378" s="397"/>
      <c r="W378" s="397"/>
      <c r="X378" s="397"/>
      <c r="Y378" s="1363">
        <f t="shared" si="35"/>
        <v>40</v>
      </c>
      <c r="Z378" s="1364">
        <f t="shared" si="36"/>
        <v>0</v>
      </c>
      <c r="AA378" s="397">
        <f t="shared" si="37"/>
        <v>0</v>
      </c>
      <c r="AB378" s="397">
        <f t="shared" si="38"/>
        <v>40</v>
      </c>
      <c r="AC378" s="397">
        <f t="shared" si="39"/>
        <v>0</v>
      </c>
      <c r="AD378" s="397">
        <f t="shared" si="40"/>
        <v>0</v>
      </c>
      <c r="AE378" s="397">
        <f t="shared" si="41"/>
        <v>0</v>
      </c>
      <c r="AF378" s="310"/>
      <c r="AG378" s="841"/>
      <c r="AH378" s="367"/>
      <c r="AI378" s="292"/>
      <c r="AK378" s="300"/>
      <c r="AS378" s="452"/>
    </row>
    <row r="379" spans="1:45" s="299" customFormat="1">
      <c r="A379" s="353">
        <v>305</v>
      </c>
      <c r="B379" s="352">
        <v>200</v>
      </c>
      <c r="C379" s="352">
        <v>100</v>
      </c>
      <c r="D379" s="352">
        <v>600</v>
      </c>
      <c r="E379" s="352">
        <v>30</v>
      </c>
      <c r="F379" s="316">
        <v>20</v>
      </c>
      <c r="G379" s="351" t="s">
        <v>1003</v>
      </c>
      <c r="H379" s="399"/>
      <c r="I379" s="397"/>
      <c r="J379" s="400"/>
      <c r="K379" s="400"/>
      <c r="L379" s="400"/>
      <c r="M379" s="400"/>
      <c r="N379" s="398"/>
      <c r="O379" s="801"/>
      <c r="P379" s="397">
        <v>0</v>
      </c>
      <c r="Q379" s="398"/>
      <c r="R379" s="399"/>
      <c r="S379" s="397"/>
      <c r="T379" s="397"/>
      <c r="U379" s="397"/>
      <c r="V379" s="397"/>
      <c r="W379" s="397"/>
      <c r="X379" s="397"/>
      <c r="Y379" s="1363">
        <f t="shared" si="35"/>
        <v>0</v>
      </c>
      <c r="Z379" s="1364">
        <f t="shared" si="36"/>
        <v>0</v>
      </c>
      <c r="AA379" s="397">
        <f t="shared" si="37"/>
        <v>0</v>
      </c>
      <c r="AB379" s="397">
        <f t="shared" si="38"/>
        <v>0</v>
      </c>
      <c r="AC379" s="397">
        <f t="shared" si="39"/>
        <v>0</v>
      </c>
      <c r="AD379" s="397">
        <f t="shared" si="40"/>
        <v>0</v>
      </c>
      <c r="AE379" s="397">
        <f t="shared" si="41"/>
        <v>0</v>
      </c>
      <c r="AF379" s="310"/>
      <c r="AG379" s="841"/>
      <c r="AH379" s="367"/>
      <c r="AI379" s="292"/>
      <c r="AK379" s="300"/>
      <c r="AS379" s="452"/>
    </row>
    <row r="380" spans="1:45" s="299" customFormat="1">
      <c r="A380" s="353">
        <v>305</v>
      </c>
      <c r="B380" s="352">
        <v>200</v>
      </c>
      <c r="C380" s="352">
        <v>100</v>
      </c>
      <c r="D380" s="352">
        <v>600</v>
      </c>
      <c r="E380" s="352">
        <v>30</v>
      </c>
      <c r="F380" s="357">
        <v>25</v>
      </c>
      <c r="G380" s="315" t="s">
        <v>1004</v>
      </c>
      <c r="H380" s="314"/>
      <c r="I380" s="397"/>
      <c r="J380" s="400"/>
      <c r="K380" s="400"/>
      <c r="L380" s="400"/>
      <c r="M380" s="400"/>
      <c r="N380" s="312"/>
      <c r="O380" s="313"/>
      <c r="P380" s="311">
        <v>0</v>
      </c>
      <c r="Q380" s="312"/>
      <c r="R380" s="314"/>
      <c r="S380" s="311"/>
      <c r="T380" s="311"/>
      <c r="U380" s="311"/>
      <c r="V380" s="311"/>
      <c r="W380" s="311"/>
      <c r="X380" s="311"/>
      <c r="Y380" s="1356">
        <f t="shared" si="35"/>
        <v>0</v>
      </c>
      <c r="Z380" s="1357">
        <f t="shared" si="36"/>
        <v>0</v>
      </c>
      <c r="AA380" s="311">
        <f t="shared" si="37"/>
        <v>0</v>
      </c>
      <c r="AB380" s="311">
        <f t="shared" si="38"/>
        <v>0</v>
      </c>
      <c r="AC380" s="311">
        <f t="shared" si="39"/>
        <v>0</v>
      </c>
      <c r="AD380" s="311">
        <f t="shared" si="40"/>
        <v>0</v>
      </c>
      <c r="AE380" s="311">
        <f t="shared" si="41"/>
        <v>0</v>
      </c>
      <c r="AF380" s="355"/>
      <c r="AG380" s="838"/>
      <c r="AH380" s="367"/>
      <c r="AI380" s="292"/>
      <c r="AK380" s="300"/>
      <c r="AS380" s="452"/>
    </row>
    <row r="381" spans="1:45" s="299" customFormat="1">
      <c r="A381" s="353">
        <v>305</v>
      </c>
      <c r="B381" s="352">
        <v>200</v>
      </c>
      <c r="C381" s="352">
        <v>100</v>
      </c>
      <c r="D381" s="352">
        <v>600</v>
      </c>
      <c r="E381" s="352">
        <v>30</v>
      </c>
      <c r="F381" s="357">
        <v>30</v>
      </c>
      <c r="G381" s="315" t="s">
        <v>1005</v>
      </c>
      <c r="H381" s="314">
        <v>1586</v>
      </c>
      <c r="I381" s="397"/>
      <c r="J381" s="400"/>
      <c r="K381" s="400">
        <v>3500</v>
      </c>
      <c r="L381" s="400"/>
      <c r="M381" s="400"/>
      <c r="N381" s="312">
        <v>3500</v>
      </c>
      <c r="O381" s="313"/>
      <c r="P381" s="311">
        <v>0</v>
      </c>
      <c r="Q381" s="312"/>
      <c r="R381" s="314"/>
      <c r="S381" s="311"/>
      <c r="T381" s="311"/>
      <c r="U381" s="311"/>
      <c r="V381" s="311"/>
      <c r="W381" s="311"/>
      <c r="X381" s="311"/>
      <c r="Y381" s="1356">
        <f t="shared" si="35"/>
        <v>1586</v>
      </c>
      <c r="Z381" s="1357">
        <f t="shared" si="36"/>
        <v>0</v>
      </c>
      <c r="AA381" s="311">
        <f t="shared" si="37"/>
        <v>0</v>
      </c>
      <c r="AB381" s="311">
        <f t="shared" si="38"/>
        <v>3500</v>
      </c>
      <c r="AC381" s="311">
        <f t="shared" si="39"/>
        <v>0</v>
      </c>
      <c r="AD381" s="311">
        <f t="shared" si="40"/>
        <v>0</v>
      </c>
      <c r="AE381" s="311">
        <f t="shared" si="41"/>
        <v>3500</v>
      </c>
      <c r="AF381" s="355"/>
      <c r="AG381" s="838"/>
      <c r="AH381" s="367"/>
      <c r="AI381" s="292"/>
      <c r="AK381" s="300"/>
      <c r="AS381" s="452"/>
    </row>
    <row r="382" spans="1:45" s="299" customFormat="1">
      <c r="A382" s="353">
        <v>305</v>
      </c>
      <c r="B382" s="352">
        <v>200</v>
      </c>
      <c r="C382" s="352">
        <v>100</v>
      </c>
      <c r="D382" s="352">
        <v>600</v>
      </c>
      <c r="E382" s="352">
        <v>30</v>
      </c>
      <c r="F382" s="357">
        <v>35</v>
      </c>
      <c r="G382" s="315" t="s">
        <v>1006</v>
      </c>
      <c r="H382" s="314"/>
      <c r="I382" s="397"/>
      <c r="J382" s="400"/>
      <c r="K382" s="400"/>
      <c r="L382" s="400"/>
      <c r="M382" s="400"/>
      <c r="N382" s="312"/>
      <c r="O382" s="313"/>
      <c r="P382" s="311">
        <v>0</v>
      </c>
      <c r="Q382" s="312"/>
      <c r="R382" s="314">
        <v>25127.119999999999</v>
      </c>
      <c r="S382" s="326"/>
      <c r="T382" s="326"/>
      <c r="U382" s="326">
        <v>25000</v>
      </c>
      <c r="V382" s="326"/>
      <c r="W382" s="326"/>
      <c r="X382" s="326">
        <v>180000</v>
      </c>
      <c r="Y382" s="1356">
        <f t="shared" si="35"/>
        <v>25127.119999999999</v>
      </c>
      <c r="Z382" s="1351">
        <f t="shared" si="36"/>
        <v>0</v>
      </c>
      <c r="AA382" s="326">
        <f t="shared" si="37"/>
        <v>0</v>
      </c>
      <c r="AB382" s="326">
        <f t="shared" si="38"/>
        <v>25000</v>
      </c>
      <c r="AC382" s="326">
        <f t="shared" si="39"/>
        <v>0</v>
      </c>
      <c r="AD382" s="326">
        <f t="shared" si="40"/>
        <v>0</v>
      </c>
      <c r="AE382" s="326">
        <f t="shared" si="41"/>
        <v>180000</v>
      </c>
      <c r="AF382" s="355"/>
      <c r="AG382" s="838"/>
      <c r="AH382" s="367"/>
      <c r="AI382" s="292"/>
      <c r="AK382" s="300"/>
      <c r="AS382" s="452"/>
    </row>
    <row r="383" spans="1:45" s="299" customFormat="1">
      <c r="A383" s="353">
        <v>305</v>
      </c>
      <c r="B383" s="352">
        <v>200</v>
      </c>
      <c r="C383" s="352">
        <v>100</v>
      </c>
      <c r="D383" s="352">
        <v>600</v>
      </c>
      <c r="E383" s="352">
        <v>30</v>
      </c>
      <c r="F383" s="357">
        <v>40</v>
      </c>
      <c r="G383" s="315" t="s">
        <v>1007</v>
      </c>
      <c r="H383" s="314"/>
      <c r="I383" s="397"/>
      <c r="J383" s="400"/>
      <c r="K383" s="400"/>
      <c r="L383" s="400"/>
      <c r="M383" s="400"/>
      <c r="N383" s="312"/>
      <c r="O383" s="313"/>
      <c r="P383" s="311">
        <v>0</v>
      </c>
      <c r="Q383" s="312"/>
      <c r="R383" s="314">
        <v>21044.66</v>
      </c>
      <c r="S383" s="326"/>
      <c r="T383" s="326"/>
      <c r="U383" s="326">
        <v>21100</v>
      </c>
      <c r="V383" s="326"/>
      <c r="W383" s="326"/>
      <c r="X383" s="326">
        <v>26000</v>
      </c>
      <c r="Y383" s="1356">
        <f t="shared" si="35"/>
        <v>21044.66</v>
      </c>
      <c r="Z383" s="1351">
        <f t="shared" si="36"/>
        <v>0</v>
      </c>
      <c r="AA383" s="326">
        <f t="shared" si="37"/>
        <v>0</v>
      </c>
      <c r="AB383" s="326">
        <f t="shared" si="38"/>
        <v>21100</v>
      </c>
      <c r="AC383" s="326">
        <f t="shared" si="39"/>
        <v>0</v>
      </c>
      <c r="AD383" s="326">
        <f t="shared" si="40"/>
        <v>0</v>
      </c>
      <c r="AE383" s="326">
        <f t="shared" si="41"/>
        <v>26000</v>
      </c>
      <c r="AF383" s="355"/>
      <c r="AG383" s="838"/>
      <c r="AH383" s="367"/>
      <c r="AI383" s="292"/>
      <c r="AK383" s="425"/>
      <c r="AS383" s="452"/>
    </row>
    <row r="384" spans="1:45" s="299" customFormat="1">
      <c r="A384" s="353">
        <v>305</v>
      </c>
      <c r="B384" s="352">
        <v>200</v>
      </c>
      <c r="C384" s="352">
        <v>100</v>
      </c>
      <c r="D384" s="352">
        <v>600</v>
      </c>
      <c r="E384" s="352">
        <v>30</v>
      </c>
      <c r="F384" s="357">
        <v>45</v>
      </c>
      <c r="G384" s="315" t="s">
        <v>1008</v>
      </c>
      <c r="H384" s="314"/>
      <c r="I384" s="397"/>
      <c r="J384" s="400"/>
      <c r="K384" s="400"/>
      <c r="L384" s="400"/>
      <c r="M384" s="400"/>
      <c r="N384" s="312"/>
      <c r="O384" s="313"/>
      <c r="P384" s="311">
        <v>0</v>
      </c>
      <c r="Q384" s="312"/>
      <c r="R384" s="314">
        <v>542</v>
      </c>
      <c r="S384" s="326"/>
      <c r="T384" s="326"/>
      <c r="U384" s="326">
        <v>2500</v>
      </c>
      <c r="V384" s="326"/>
      <c r="W384" s="326"/>
      <c r="X384" s="326">
        <v>2500</v>
      </c>
      <c r="Y384" s="1356">
        <f t="shared" si="35"/>
        <v>542</v>
      </c>
      <c r="Z384" s="1351">
        <f t="shared" si="36"/>
        <v>0</v>
      </c>
      <c r="AA384" s="326">
        <f t="shared" si="37"/>
        <v>0</v>
      </c>
      <c r="AB384" s="326">
        <f t="shared" si="38"/>
        <v>2500</v>
      </c>
      <c r="AC384" s="326">
        <f t="shared" si="39"/>
        <v>0</v>
      </c>
      <c r="AD384" s="326">
        <f t="shared" si="40"/>
        <v>0</v>
      </c>
      <c r="AE384" s="326">
        <f t="shared" si="41"/>
        <v>2500</v>
      </c>
      <c r="AF384" s="355"/>
      <c r="AG384" s="838"/>
      <c r="AH384" s="367"/>
      <c r="AI384" s="292"/>
      <c r="AK384" s="425"/>
      <c r="AS384" s="452"/>
    </row>
    <row r="385" spans="1:45" s="299" customFormat="1">
      <c r="A385" s="353">
        <v>305</v>
      </c>
      <c r="B385" s="352">
        <v>200</v>
      </c>
      <c r="C385" s="352">
        <v>100</v>
      </c>
      <c r="D385" s="352">
        <v>600</v>
      </c>
      <c r="E385" s="352">
        <v>30</v>
      </c>
      <c r="F385" s="357">
        <v>50</v>
      </c>
      <c r="G385" s="315" t="s">
        <v>1009</v>
      </c>
      <c r="H385" s="314">
        <v>197644.2</v>
      </c>
      <c r="I385" s="397"/>
      <c r="J385" s="400"/>
      <c r="K385" s="400">
        <v>13238.54</v>
      </c>
      <c r="L385" s="400"/>
      <c r="M385" s="400"/>
      <c r="N385" s="327">
        <v>32000</v>
      </c>
      <c r="O385" s="328">
        <v>145797.06</v>
      </c>
      <c r="P385" s="326">
        <v>368000</v>
      </c>
      <c r="Q385" s="358">
        <v>357100</v>
      </c>
      <c r="R385" s="314"/>
      <c r="S385" s="311"/>
      <c r="T385" s="311"/>
      <c r="U385" s="311"/>
      <c r="V385" s="311"/>
      <c r="W385" s="311"/>
      <c r="X385" s="311"/>
      <c r="Y385" s="1356">
        <f t="shared" si="35"/>
        <v>343441.26</v>
      </c>
      <c r="Z385" s="1357">
        <f t="shared" si="36"/>
        <v>0</v>
      </c>
      <c r="AA385" s="311">
        <f t="shared" si="37"/>
        <v>0</v>
      </c>
      <c r="AB385" s="311">
        <f t="shared" si="38"/>
        <v>381238.54</v>
      </c>
      <c r="AC385" s="311">
        <f t="shared" si="39"/>
        <v>0</v>
      </c>
      <c r="AD385" s="311">
        <f t="shared" si="40"/>
        <v>0</v>
      </c>
      <c r="AE385" s="311">
        <f t="shared" si="41"/>
        <v>389100</v>
      </c>
      <c r="AF385" s="355"/>
      <c r="AG385" s="838"/>
      <c r="AH385" s="744"/>
      <c r="AI385" s="292"/>
      <c r="AK385" s="300"/>
      <c r="AS385" s="452"/>
    </row>
    <row r="386" spans="1:45" s="299" customFormat="1" ht="27.6">
      <c r="A386" s="353">
        <v>305</v>
      </c>
      <c r="B386" s="352">
        <v>200</v>
      </c>
      <c r="C386" s="352">
        <v>100</v>
      </c>
      <c r="D386" s="352">
        <v>600</v>
      </c>
      <c r="E386" s="352">
        <v>30</v>
      </c>
      <c r="F386" s="357">
        <v>55</v>
      </c>
      <c r="G386" s="315" t="s">
        <v>1010</v>
      </c>
      <c r="H386" s="314">
        <v>17357.29</v>
      </c>
      <c r="I386" s="397"/>
      <c r="J386" s="400"/>
      <c r="K386" s="400">
        <v>17222.599999999999</v>
      </c>
      <c r="L386" s="400"/>
      <c r="M386" s="400"/>
      <c r="N386" s="312">
        <v>3000</v>
      </c>
      <c r="O386" s="313"/>
      <c r="P386" s="311"/>
      <c r="Q386" s="312"/>
      <c r="R386" s="314"/>
      <c r="S386" s="311"/>
      <c r="T386" s="311"/>
      <c r="U386" s="311"/>
      <c r="V386" s="311"/>
      <c r="W386" s="311"/>
      <c r="X386" s="311"/>
      <c r="Y386" s="1356">
        <f t="shared" si="35"/>
        <v>17357.29</v>
      </c>
      <c r="Z386" s="1357">
        <f t="shared" si="36"/>
        <v>0</v>
      </c>
      <c r="AA386" s="311">
        <f t="shared" si="37"/>
        <v>0</v>
      </c>
      <c r="AB386" s="311">
        <f t="shared" si="38"/>
        <v>17222.599999999999</v>
      </c>
      <c r="AC386" s="311">
        <f t="shared" si="39"/>
        <v>0</v>
      </c>
      <c r="AD386" s="311">
        <f t="shared" si="40"/>
        <v>0</v>
      </c>
      <c r="AE386" s="311">
        <f t="shared" si="41"/>
        <v>3000</v>
      </c>
      <c r="AF386" s="355"/>
      <c r="AG386" s="838"/>
      <c r="AH386" s="744"/>
      <c r="AI386" s="292"/>
      <c r="AK386" s="300"/>
      <c r="AS386" s="452"/>
    </row>
    <row r="387" spans="1:45" s="299" customFormat="1" ht="27.6">
      <c r="A387" s="353">
        <v>305</v>
      </c>
      <c r="B387" s="352">
        <v>200</v>
      </c>
      <c r="C387" s="352">
        <v>100</v>
      </c>
      <c r="D387" s="352">
        <v>600</v>
      </c>
      <c r="E387" s="352">
        <v>30</v>
      </c>
      <c r="F387" s="357">
        <v>60</v>
      </c>
      <c r="G387" s="315" t="s">
        <v>1011</v>
      </c>
      <c r="H387" s="314"/>
      <c r="I387" s="397"/>
      <c r="J387" s="400"/>
      <c r="K387" s="400"/>
      <c r="L387" s="400"/>
      <c r="M387" s="400"/>
      <c r="N387" s="312"/>
      <c r="O387" s="313"/>
      <c r="P387" s="311"/>
      <c r="Q387" s="312"/>
      <c r="R387" s="314"/>
      <c r="S387" s="311"/>
      <c r="T387" s="311"/>
      <c r="U387" s="311"/>
      <c r="V387" s="311"/>
      <c r="W387" s="311"/>
      <c r="X387" s="311"/>
      <c r="Y387" s="1356">
        <f t="shared" si="35"/>
        <v>0</v>
      </c>
      <c r="Z387" s="1357">
        <f t="shared" si="36"/>
        <v>0</v>
      </c>
      <c r="AA387" s="311">
        <f t="shared" si="37"/>
        <v>0</v>
      </c>
      <c r="AB387" s="311">
        <f t="shared" si="38"/>
        <v>0</v>
      </c>
      <c r="AC387" s="311">
        <f t="shared" si="39"/>
        <v>0</v>
      </c>
      <c r="AD387" s="311">
        <f t="shared" si="40"/>
        <v>0</v>
      </c>
      <c r="AE387" s="311">
        <f t="shared" si="41"/>
        <v>0</v>
      </c>
      <c r="AF387" s="355"/>
      <c r="AG387" s="838"/>
      <c r="AH387" s="744"/>
      <c r="AI387" s="292"/>
      <c r="AK387" s="300"/>
      <c r="AS387" s="452"/>
    </row>
    <row r="388" spans="1:45" s="299" customFormat="1">
      <c r="A388" s="353">
        <v>305</v>
      </c>
      <c r="B388" s="352">
        <v>200</v>
      </c>
      <c r="C388" s="352">
        <v>100</v>
      </c>
      <c r="D388" s="352">
        <v>600</v>
      </c>
      <c r="E388" s="352">
        <v>30</v>
      </c>
      <c r="F388" s="357">
        <v>65</v>
      </c>
      <c r="G388" s="315" t="s">
        <v>1012</v>
      </c>
      <c r="H388" s="314">
        <v>24377.39</v>
      </c>
      <c r="I388" s="397"/>
      <c r="J388" s="400"/>
      <c r="K388" s="400"/>
      <c r="L388" s="400"/>
      <c r="M388" s="400"/>
      <c r="N388" s="327"/>
      <c r="O388" s="328"/>
      <c r="P388" s="326">
        <v>116117</v>
      </c>
      <c r="Q388" s="358">
        <v>193717</v>
      </c>
      <c r="R388" s="314"/>
      <c r="S388" s="311"/>
      <c r="T388" s="311"/>
      <c r="U388" s="311"/>
      <c r="V388" s="311"/>
      <c r="W388" s="311"/>
      <c r="X388" s="311"/>
      <c r="Y388" s="1356">
        <f t="shared" si="35"/>
        <v>24377.39</v>
      </c>
      <c r="Z388" s="1357">
        <f t="shared" si="36"/>
        <v>0</v>
      </c>
      <c r="AA388" s="311">
        <f t="shared" si="37"/>
        <v>0</v>
      </c>
      <c r="AB388" s="311">
        <f t="shared" si="38"/>
        <v>116117</v>
      </c>
      <c r="AC388" s="311">
        <f t="shared" si="39"/>
        <v>0</v>
      </c>
      <c r="AD388" s="311">
        <f t="shared" si="40"/>
        <v>0</v>
      </c>
      <c r="AE388" s="311">
        <f t="shared" si="41"/>
        <v>193717</v>
      </c>
      <c r="AF388" s="355"/>
      <c r="AG388" s="838"/>
      <c r="AH388" s="744"/>
      <c r="AI388" s="292"/>
      <c r="AK388" s="300"/>
      <c r="AS388" s="452"/>
    </row>
    <row r="389" spans="1:45" s="299" customFormat="1" ht="27.6">
      <c r="A389" s="353">
        <v>305</v>
      </c>
      <c r="B389" s="352">
        <v>200</v>
      </c>
      <c r="C389" s="352">
        <v>100</v>
      </c>
      <c r="D389" s="352">
        <v>600</v>
      </c>
      <c r="E389" s="352">
        <v>30</v>
      </c>
      <c r="F389" s="357">
        <v>80</v>
      </c>
      <c r="G389" s="315" t="s">
        <v>1013</v>
      </c>
      <c r="H389" s="314"/>
      <c r="I389" s="397"/>
      <c r="J389" s="400"/>
      <c r="K389" s="400"/>
      <c r="L389" s="400"/>
      <c r="M389" s="400"/>
      <c r="N389" s="327"/>
      <c r="O389" s="328"/>
      <c r="P389" s="326"/>
      <c r="Q389" s="327"/>
      <c r="R389" s="314"/>
      <c r="S389" s="326"/>
      <c r="T389" s="326"/>
      <c r="U389" s="326"/>
      <c r="V389" s="326"/>
      <c r="W389" s="326"/>
      <c r="X389" s="326"/>
      <c r="Y389" s="1356">
        <f t="shared" si="35"/>
        <v>0</v>
      </c>
      <c r="Z389" s="1351">
        <f t="shared" si="36"/>
        <v>0</v>
      </c>
      <c r="AA389" s="326">
        <f t="shared" si="37"/>
        <v>0</v>
      </c>
      <c r="AB389" s="326">
        <f t="shared" si="38"/>
        <v>0</v>
      </c>
      <c r="AC389" s="326">
        <f t="shared" si="39"/>
        <v>0</v>
      </c>
      <c r="AD389" s="326">
        <f t="shared" si="40"/>
        <v>0</v>
      </c>
      <c r="AE389" s="326">
        <f t="shared" si="41"/>
        <v>0</v>
      </c>
      <c r="AF389" s="355"/>
      <c r="AG389" s="838"/>
      <c r="AH389" s="744"/>
      <c r="AI389" s="292"/>
      <c r="AK389" s="300"/>
      <c r="AS389" s="452"/>
    </row>
    <row r="390" spans="1:45" s="299" customFormat="1">
      <c r="A390" s="353">
        <v>305</v>
      </c>
      <c r="B390" s="352">
        <v>200</v>
      </c>
      <c r="C390" s="352">
        <v>100</v>
      </c>
      <c r="D390" s="352">
        <v>600</v>
      </c>
      <c r="E390" s="352">
        <v>30</v>
      </c>
      <c r="F390" s="357">
        <v>90</v>
      </c>
      <c r="G390" s="315" t="s">
        <v>998</v>
      </c>
      <c r="H390" s="314">
        <v>1193204.03</v>
      </c>
      <c r="I390" s="833">
        <v>17352.060000000001</v>
      </c>
      <c r="J390" s="400"/>
      <c r="K390" s="400">
        <v>959203.13</v>
      </c>
      <c r="L390" s="400">
        <v>17352.060000000001</v>
      </c>
      <c r="M390" s="400"/>
      <c r="N390" s="327">
        <v>710000</v>
      </c>
      <c r="O390" s="328"/>
      <c r="P390" s="326">
        <v>506590</v>
      </c>
      <c r="Q390" s="358">
        <v>499090</v>
      </c>
      <c r="R390" s="314"/>
      <c r="S390" s="311"/>
      <c r="T390" s="311"/>
      <c r="U390" s="311"/>
      <c r="V390" s="311"/>
      <c r="W390" s="311"/>
      <c r="X390" s="311"/>
      <c r="Y390" s="1356">
        <f t="shared" si="35"/>
        <v>1193204.03</v>
      </c>
      <c r="Z390" s="1357">
        <f t="shared" si="36"/>
        <v>17352.060000000001</v>
      </c>
      <c r="AA390" s="311">
        <f t="shared" si="37"/>
        <v>0</v>
      </c>
      <c r="AB390" s="311">
        <f t="shared" si="38"/>
        <v>1465793.13</v>
      </c>
      <c r="AC390" s="311">
        <f t="shared" si="39"/>
        <v>17352.060000000001</v>
      </c>
      <c r="AD390" s="311">
        <f t="shared" si="40"/>
        <v>0</v>
      </c>
      <c r="AE390" s="311">
        <f t="shared" si="41"/>
        <v>1209090</v>
      </c>
      <c r="AF390" s="355"/>
      <c r="AG390" s="838"/>
      <c r="AH390" s="744"/>
      <c r="AI390" s="292"/>
      <c r="AK390" s="300"/>
      <c r="AS390" s="452"/>
    </row>
    <row r="391" spans="1:45" s="299" customFormat="1" ht="41.4">
      <c r="A391" s="353">
        <v>305</v>
      </c>
      <c r="B391" s="352">
        <v>200</v>
      </c>
      <c r="C391" s="352">
        <v>200</v>
      </c>
      <c r="D391" s="352"/>
      <c r="E391" s="352"/>
      <c r="F391" s="352"/>
      <c r="G391" s="323" t="s">
        <v>1014</v>
      </c>
      <c r="H391" s="334"/>
      <c r="I391" s="331"/>
      <c r="J391" s="359"/>
      <c r="K391" s="359"/>
      <c r="L391" s="359"/>
      <c r="M391" s="359"/>
      <c r="N391" s="332"/>
      <c r="O391" s="333"/>
      <c r="P391" s="331">
        <v>0</v>
      </c>
      <c r="Q391" s="332"/>
      <c r="R391" s="334"/>
      <c r="S391" s="331"/>
      <c r="T391" s="331"/>
      <c r="U391" s="331"/>
      <c r="V391" s="331"/>
      <c r="W391" s="331"/>
      <c r="X391" s="331"/>
      <c r="Y391" s="1352">
        <f t="shared" ref="Y391:Y454" si="42">+H391+O391+R391</f>
        <v>0</v>
      </c>
      <c r="Z391" s="1353">
        <f t="shared" ref="Z391:Z454" si="43">+I391+S391</f>
        <v>0</v>
      </c>
      <c r="AA391" s="331">
        <f t="shared" ref="AA391:AA454" si="44">+J391+T391</f>
        <v>0</v>
      </c>
      <c r="AB391" s="331">
        <f t="shared" ref="AB391:AB454" si="45">+K391+P391+U391</f>
        <v>0</v>
      </c>
      <c r="AC391" s="331">
        <f t="shared" ref="AC391:AC454" si="46">+L391+V391</f>
        <v>0</v>
      </c>
      <c r="AD391" s="331">
        <f t="shared" ref="AD391:AD454" si="47">+M391+W391</f>
        <v>0</v>
      </c>
      <c r="AE391" s="331">
        <f t="shared" ref="AE391:AE454" si="48">+N391+X391+Q391</f>
        <v>0</v>
      </c>
      <c r="AF391" s="424" t="s">
        <v>1015</v>
      </c>
      <c r="AG391" s="838"/>
      <c r="AH391" s="744"/>
      <c r="AI391" s="292"/>
      <c r="AK391" s="300"/>
      <c r="AS391" s="452"/>
    </row>
    <row r="392" spans="1:45" s="299" customFormat="1" ht="41.4">
      <c r="A392" s="353">
        <v>305</v>
      </c>
      <c r="B392" s="352">
        <v>200</v>
      </c>
      <c r="C392" s="352">
        <v>200</v>
      </c>
      <c r="D392" s="352">
        <v>100</v>
      </c>
      <c r="E392" s="357"/>
      <c r="F392" s="357"/>
      <c r="G392" s="342" t="s">
        <v>1016</v>
      </c>
      <c r="H392" s="314"/>
      <c r="I392" s="326"/>
      <c r="J392" s="358"/>
      <c r="K392" s="358"/>
      <c r="L392" s="358"/>
      <c r="M392" s="358"/>
      <c r="N392" s="327"/>
      <c r="O392" s="328"/>
      <c r="P392" s="326">
        <v>0</v>
      </c>
      <c r="Q392" s="327"/>
      <c r="R392" s="329"/>
      <c r="S392" s="326"/>
      <c r="T392" s="326"/>
      <c r="U392" s="326">
        <v>0</v>
      </c>
      <c r="V392" s="326"/>
      <c r="W392" s="326"/>
      <c r="X392" s="326">
        <v>3000</v>
      </c>
      <c r="Y392" s="1350">
        <f t="shared" si="42"/>
        <v>0</v>
      </c>
      <c r="Z392" s="1351">
        <f t="shared" si="43"/>
        <v>0</v>
      </c>
      <c r="AA392" s="326">
        <f t="shared" si="44"/>
        <v>0</v>
      </c>
      <c r="AB392" s="326">
        <f t="shared" si="45"/>
        <v>0</v>
      </c>
      <c r="AC392" s="326">
        <f t="shared" si="46"/>
        <v>0</v>
      </c>
      <c r="AD392" s="326">
        <f t="shared" si="47"/>
        <v>0</v>
      </c>
      <c r="AE392" s="326">
        <f t="shared" si="48"/>
        <v>3000</v>
      </c>
      <c r="AF392" s="424" t="s">
        <v>1017</v>
      </c>
      <c r="AG392" s="838"/>
      <c r="AH392" s="744"/>
      <c r="AI392" s="292"/>
      <c r="AK392" s="300"/>
      <c r="AS392" s="452"/>
    </row>
    <row r="393" spans="1:45" s="299" customFormat="1" ht="27.6">
      <c r="A393" s="353">
        <v>305</v>
      </c>
      <c r="B393" s="352">
        <v>200</v>
      </c>
      <c r="C393" s="352">
        <v>200</v>
      </c>
      <c r="D393" s="357">
        <v>200</v>
      </c>
      <c r="E393" s="357"/>
      <c r="F393" s="357"/>
      <c r="G393" s="315" t="s">
        <v>1018</v>
      </c>
      <c r="H393" s="329"/>
      <c r="I393" s="326"/>
      <c r="J393" s="358"/>
      <c r="K393" s="358"/>
      <c r="L393" s="358"/>
      <c r="M393" s="358"/>
      <c r="N393" s="327"/>
      <c r="O393" s="328"/>
      <c r="P393" s="326">
        <v>0</v>
      </c>
      <c r="Q393" s="327"/>
      <c r="R393" s="329"/>
      <c r="S393" s="326"/>
      <c r="T393" s="326"/>
      <c r="U393" s="326"/>
      <c r="V393" s="326"/>
      <c r="W393" s="326"/>
      <c r="X393" s="326"/>
      <c r="Y393" s="1350">
        <f t="shared" si="42"/>
        <v>0</v>
      </c>
      <c r="Z393" s="1351">
        <f t="shared" si="43"/>
        <v>0</v>
      </c>
      <c r="AA393" s="326">
        <f t="shared" si="44"/>
        <v>0</v>
      </c>
      <c r="AB393" s="326">
        <f t="shared" si="45"/>
        <v>0</v>
      </c>
      <c r="AC393" s="326">
        <f t="shared" si="46"/>
        <v>0</v>
      </c>
      <c r="AD393" s="326">
        <f t="shared" si="47"/>
        <v>0</v>
      </c>
      <c r="AE393" s="326">
        <f t="shared" si="48"/>
        <v>0</v>
      </c>
      <c r="AF393" s="355" t="s">
        <v>1019</v>
      </c>
      <c r="AG393" s="838"/>
      <c r="AH393" s="744"/>
      <c r="AI393" s="292"/>
      <c r="AK393" s="300"/>
      <c r="AS393" s="452"/>
    </row>
    <row r="394" spans="1:45" s="299" customFormat="1" ht="41.4">
      <c r="A394" s="353">
        <v>305</v>
      </c>
      <c r="B394" s="352">
        <v>200</v>
      </c>
      <c r="C394" s="352">
        <v>200</v>
      </c>
      <c r="D394" s="352">
        <v>300</v>
      </c>
      <c r="E394" s="352"/>
      <c r="F394" s="352"/>
      <c r="G394" s="323" t="s">
        <v>1020</v>
      </c>
      <c r="H394" s="334"/>
      <c r="I394" s="331"/>
      <c r="J394" s="359"/>
      <c r="K394" s="359"/>
      <c r="L394" s="359"/>
      <c r="M394" s="359"/>
      <c r="N394" s="332"/>
      <c r="O394" s="333"/>
      <c r="P394" s="331">
        <v>0</v>
      </c>
      <c r="Q394" s="332"/>
      <c r="R394" s="334"/>
      <c r="S394" s="331"/>
      <c r="T394" s="331"/>
      <c r="U394" s="331"/>
      <c r="V394" s="331"/>
      <c r="W394" s="331"/>
      <c r="X394" s="331"/>
      <c r="Y394" s="1352">
        <f t="shared" si="42"/>
        <v>0</v>
      </c>
      <c r="Z394" s="1353">
        <f t="shared" si="43"/>
        <v>0</v>
      </c>
      <c r="AA394" s="331">
        <f t="shared" si="44"/>
        <v>0</v>
      </c>
      <c r="AB394" s="331">
        <f t="shared" si="45"/>
        <v>0</v>
      </c>
      <c r="AC394" s="331">
        <f t="shared" si="46"/>
        <v>0</v>
      </c>
      <c r="AD394" s="331">
        <f t="shared" si="47"/>
        <v>0</v>
      </c>
      <c r="AE394" s="331">
        <f t="shared" si="48"/>
        <v>0</v>
      </c>
      <c r="AF394" s="355" t="s">
        <v>1021</v>
      </c>
      <c r="AG394" s="838"/>
      <c r="AH394" s="744"/>
      <c r="AI394" s="292"/>
      <c r="AK394" s="300"/>
      <c r="AS394" s="452"/>
    </row>
    <row r="395" spans="1:45" s="299" customFormat="1">
      <c r="A395" s="353">
        <v>305</v>
      </c>
      <c r="B395" s="352">
        <v>200</v>
      </c>
      <c r="C395" s="352">
        <v>200</v>
      </c>
      <c r="D395" s="352">
        <v>300</v>
      </c>
      <c r="E395" s="352">
        <v>10</v>
      </c>
      <c r="F395" s="352"/>
      <c r="G395" s="323" t="s">
        <v>1022</v>
      </c>
      <c r="H395" s="334"/>
      <c r="I395" s="331"/>
      <c r="J395" s="359"/>
      <c r="K395" s="359"/>
      <c r="L395" s="359"/>
      <c r="M395" s="359"/>
      <c r="N395" s="332"/>
      <c r="O395" s="333"/>
      <c r="P395" s="331">
        <v>0</v>
      </c>
      <c r="Q395" s="332"/>
      <c r="R395" s="334"/>
      <c r="S395" s="331"/>
      <c r="T395" s="331"/>
      <c r="U395" s="331"/>
      <c r="V395" s="331"/>
      <c r="W395" s="331"/>
      <c r="X395" s="331"/>
      <c r="Y395" s="1352">
        <f t="shared" si="42"/>
        <v>0</v>
      </c>
      <c r="Z395" s="1353">
        <f t="shared" si="43"/>
        <v>0</v>
      </c>
      <c r="AA395" s="331">
        <f t="shared" si="44"/>
        <v>0</v>
      </c>
      <c r="AB395" s="331">
        <f t="shared" si="45"/>
        <v>0</v>
      </c>
      <c r="AC395" s="331">
        <f t="shared" si="46"/>
        <v>0</v>
      </c>
      <c r="AD395" s="331">
        <f t="shared" si="47"/>
        <v>0</v>
      </c>
      <c r="AE395" s="331">
        <f t="shared" si="48"/>
        <v>0</v>
      </c>
      <c r="AF395" s="355" t="s">
        <v>1023</v>
      </c>
      <c r="AG395" s="838"/>
      <c r="AH395" s="744"/>
      <c r="AI395" s="292"/>
      <c r="AK395" s="300"/>
      <c r="AS395" s="452"/>
    </row>
    <row r="396" spans="1:45" s="299" customFormat="1">
      <c r="A396" s="353">
        <v>305</v>
      </c>
      <c r="B396" s="352">
        <v>200</v>
      </c>
      <c r="C396" s="352">
        <v>200</v>
      </c>
      <c r="D396" s="352">
        <v>300</v>
      </c>
      <c r="E396" s="352">
        <v>10</v>
      </c>
      <c r="F396" s="357">
        <v>5</v>
      </c>
      <c r="G396" s="315" t="s">
        <v>1024</v>
      </c>
      <c r="H396" s="314"/>
      <c r="I396" s="311"/>
      <c r="J396" s="319"/>
      <c r="K396" s="319"/>
      <c r="L396" s="319"/>
      <c r="M396" s="319"/>
      <c r="N396" s="312"/>
      <c r="O396" s="313"/>
      <c r="P396" s="311">
        <v>0</v>
      </c>
      <c r="Q396" s="312"/>
      <c r="R396" s="314">
        <v>7779.4</v>
      </c>
      <c r="S396" s="326"/>
      <c r="T396" s="326"/>
      <c r="U396" s="326">
        <v>6709.03</v>
      </c>
      <c r="V396" s="326"/>
      <c r="W396" s="326"/>
      <c r="X396" s="326">
        <v>9000</v>
      </c>
      <c r="Y396" s="1356">
        <f t="shared" si="42"/>
        <v>7779.4</v>
      </c>
      <c r="Z396" s="1351">
        <f t="shared" si="43"/>
        <v>0</v>
      </c>
      <c r="AA396" s="326">
        <f t="shared" si="44"/>
        <v>0</v>
      </c>
      <c r="AB396" s="326">
        <f t="shared" si="45"/>
        <v>6709.03</v>
      </c>
      <c r="AC396" s="326">
        <f t="shared" si="46"/>
        <v>0</v>
      </c>
      <c r="AD396" s="326">
        <f t="shared" si="47"/>
        <v>0</v>
      </c>
      <c r="AE396" s="326">
        <f t="shared" si="48"/>
        <v>9000</v>
      </c>
      <c r="AF396" s="355"/>
      <c r="AG396" s="838"/>
      <c r="AH396" s="744"/>
      <c r="AI396" s="292"/>
      <c r="AK396" s="300"/>
      <c r="AS396" s="452"/>
    </row>
    <row r="397" spans="1:45" s="299" customFormat="1">
      <c r="A397" s="353">
        <v>305</v>
      </c>
      <c r="B397" s="352">
        <v>200</v>
      </c>
      <c r="C397" s="352">
        <v>200</v>
      </c>
      <c r="D397" s="352">
        <v>300</v>
      </c>
      <c r="E397" s="352">
        <v>10</v>
      </c>
      <c r="F397" s="357">
        <v>10</v>
      </c>
      <c r="G397" s="315" t="s">
        <v>1025</v>
      </c>
      <c r="H397" s="314"/>
      <c r="I397" s="311"/>
      <c r="J397" s="319"/>
      <c r="K397" s="319"/>
      <c r="L397" s="319"/>
      <c r="M397" s="319"/>
      <c r="N397" s="312"/>
      <c r="O397" s="313"/>
      <c r="P397" s="311">
        <v>0</v>
      </c>
      <c r="Q397" s="312"/>
      <c r="R397" s="314"/>
      <c r="S397" s="311"/>
      <c r="T397" s="311"/>
      <c r="U397" s="311"/>
      <c r="V397" s="311"/>
      <c r="W397" s="311"/>
      <c r="X397" s="311"/>
      <c r="Y397" s="1356">
        <f t="shared" si="42"/>
        <v>0</v>
      </c>
      <c r="Z397" s="1357">
        <f t="shared" si="43"/>
        <v>0</v>
      </c>
      <c r="AA397" s="311">
        <f t="shared" si="44"/>
        <v>0</v>
      </c>
      <c r="AB397" s="311">
        <f t="shared" si="45"/>
        <v>0</v>
      </c>
      <c r="AC397" s="311">
        <f t="shared" si="46"/>
        <v>0</v>
      </c>
      <c r="AD397" s="311">
        <f t="shared" si="47"/>
        <v>0</v>
      </c>
      <c r="AE397" s="311">
        <f t="shared" si="48"/>
        <v>0</v>
      </c>
      <c r="AF397" s="355"/>
      <c r="AG397" s="838"/>
      <c r="AH397" s="744"/>
      <c r="AI397" s="292"/>
      <c r="AK397" s="300"/>
      <c r="AS397" s="452"/>
    </row>
    <row r="398" spans="1:45" s="299" customFormat="1">
      <c r="A398" s="353">
        <v>305</v>
      </c>
      <c r="B398" s="352">
        <v>200</v>
      </c>
      <c r="C398" s="352">
        <v>200</v>
      </c>
      <c r="D398" s="352">
        <v>300</v>
      </c>
      <c r="E398" s="352">
        <v>10</v>
      </c>
      <c r="F398" s="357">
        <v>15</v>
      </c>
      <c r="G398" s="315" t="s">
        <v>1026</v>
      </c>
      <c r="H398" s="314"/>
      <c r="I398" s="311"/>
      <c r="J398" s="319"/>
      <c r="K398" s="319"/>
      <c r="L398" s="319"/>
      <c r="M398" s="319"/>
      <c r="N398" s="312"/>
      <c r="O398" s="313"/>
      <c r="P398" s="311">
        <v>0</v>
      </c>
      <c r="Q398" s="312"/>
      <c r="R398" s="314">
        <v>9310.84</v>
      </c>
      <c r="S398" s="326"/>
      <c r="T398" s="326"/>
      <c r="U398" s="326">
        <v>20000</v>
      </c>
      <c r="V398" s="326"/>
      <c r="W398" s="326"/>
      <c r="X398" s="326">
        <v>35000</v>
      </c>
      <c r="Y398" s="1356">
        <f t="shared" si="42"/>
        <v>9310.84</v>
      </c>
      <c r="Z398" s="1351">
        <f t="shared" si="43"/>
        <v>0</v>
      </c>
      <c r="AA398" s="326">
        <f t="shared" si="44"/>
        <v>0</v>
      </c>
      <c r="AB398" s="326">
        <f t="shared" si="45"/>
        <v>20000</v>
      </c>
      <c r="AC398" s="326">
        <f t="shared" si="46"/>
        <v>0</v>
      </c>
      <c r="AD398" s="326">
        <f t="shared" si="47"/>
        <v>0</v>
      </c>
      <c r="AE398" s="326">
        <f t="shared" si="48"/>
        <v>35000</v>
      </c>
      <c r="AF398" s="355"/>
      <c r="AG398" s="838"/>
      <c r="AH398" s="744"/>
      <c r="AI398" s="292"/>
      <c r="AK398" s="300"/>
      <c r="AS398" s="452"/>
    </row>
    <row r="399" spans="1:45" s="299" customFormat="1">
      <c r="A399" s="353">
        <v>305</v>
      </c>
      <c r="B399" s="352">
        <v>200</v>
      </c>
      <c r="C399" s="352">
        <v>200</v>
      </c>
      <c r="D399" s="352">
        <v>300</v>
      </c>
      <c r="E399" s="352">
        <v>10</v>
      </c>
      <c r="F399" s="357">
        <v>20</v>
      </c>
      <c r="G399" s="315" t="s">
        <v>1027</v>
      </c>
      <c r="H399" s="314"/>
      <c r="I399" s="311"/>
      <c r="J399" s="319"/>
      <c r="K399" s="319"/>
      <c r="L399" s="319"/>
      <c r="M399" s="319"/>
      <c r="N399" s="312"/>
      <c r="O399" s="313"/>
      <c r="P399" s="311">
        <v>0</v>
      </c>
      <c r="Q399" s="312"/>
      <c r="R399" s="314"/>
      <c r="S399" s="311"/>
      <c r="T399" s="311"/>
      <c r="U399" s="311"/>
      <c r="V399" s="311"/>
      <c r="W399" s="311"/>
      <c r="X399" s="311"/>
      <c r="Y399" s="1356">
        <f t="shared" si="42"/>
        <v>0</v>
      </c>
      <c r="Z399" s="1357">
        <f t="shared" si="43"/>
        <v>0</v>
      </c>
      <c r="AA399" s="311">
        <f t="shared" si="44"/>
        <v>0</v>
      </c>
      <c r="AB399" s="311">
        <f t="shared" si="45"/>
        <v>0</v>
      </c>
      <c r="AC399" s="311">
        <f t="shared" si="46"/>
        <v>0</v>
      </c>
      <c r="AD399" s="311">
        <f t="shared" si="47"/>
        <v>0</v>
      </c>
      <c r="AE399" s="311">
        <f t="shared" si="48"/>
        <v>0</v>
      </c>
      <c r="AF399" s="355"/>
      <c r="AG399" s="838"/>
      <c r="AH399" s="744"/>
      <c r="AI399" s="292"/>
      <c r="AK399" s="300"/>
      <c r="AS399" s="452"/>
    </row>
    <row r="400" spans="1:45" s="299" customFormat="1" ht="27.6">
      <c r="A400" s="353">
        <v>305</v>
      </c>
      <c r="B400" s="352">
        <v>200</v>
      </c>
      <c r="C400" s="352">
        <v>200</v>
      </c>
      <c r="D400" s="352">
        <v>300</v>
      </c>
      <c r="E400" s="352">
        <v>10</v>
      </c>
      <c r="F400" s="357">
        <v>90</v>
      </c>
      <c r="G400" s="315" t="s">
        <v>1028</v>
      </c>
      <c r="H400" s="314"/>
      <c r="I400" s="311"/>
      <c r="J400" s="319"/>
      <c r="K400" s="319"/>
      <c r="L400" s="319"/>
      <c r="M400" s="319"/>
      <c r="N400" s="312"/>
      <c r="O400" s="313"/>
      <c r="P400" s="311">
        <v>0</v>
      </c>
      <c r="Q400" s="312"/>
      <c r="R400" s="314"/>
      <c r="S400" s="311"/>
      <c r="T400" s="311"/>
      <c r="U400" s="311"/>
      <c r="V400" s="311"/>
      <c r="W400" s="311"/>
      <c r="X400" s="311"/>
      <c r="Y400" s="1356">
        <f t="shared" si="42"/>
        <v>0</v>
      </c>
      <c r="Z400" s="1357">
        <f t="shared" si="43"/>
        <v>0</v>
      </c>
      <c r="AA400" s="311">
        <f t="shared" si="44"/>
        <v>0</v>
      </c>
      <c r="AB400" s="311">
        <f t="shared" si="45"/>
        <v>0</v>
      </c>
      <c r="AC400" s="311">
        <f t="shared" si="46"/>
        <v>0</v>
      </c>
      <c r="AD400" s="311">
        <f t="shared" si="47"/>
        <v>0</v>
      </c>
      <c r="AE400" s="311">
        <f t="shared" si="48"/>
        <v>0</v>
      </c>
      <c r="AF400" s="355"/>
      <c r="AG400" s="838"/>
      <c r="AH400" s="744"/>
      <c r="AI400" s="292"/>
      <c r="AK400" s="300"/>
      <c r="AS400" s="452"/>
    </row>
    <row r="401" spans="1:45" s="299" customFormat="1" ht="41.4">
      <c r="A401" s="353">
        <v>305</v>
      </c>
      <c r="B401" s="352">
        <v>200</v>
      </c>
      <c r="C401" s="352">
        <v>200</v>
      </c>
      <c r="D401" s="352">
        <v>300</v>
      </c>
      <c r="E401" s="357">
        <v>20</v>
      </c>
      <c r="F401" s="357"/>
      <c r="G401" s="315" t="s">
        <v>1029</v>
      </c>
      <c r="H401" s="329"/>
      <c r="I401" s="326"/>
      <c r="J401" s="358"/>
      <c r="K401" s="358"/>
      <c r="L401" s="358"/>
      <c r="M401" s="358"/>
      <c r="N401" s="327"/>
      <c r="O401" s="328"/>
      <c r="P401" s="326">
        <v>0</v>
      </c>
      <c r="Q401" s="327"/>
      <c r="R401" s="329"/>
      <c r="S401" s="326"/>
      <c r="T401" s="326"/>
      <c r="U401" s="326"/>
      <c r="V401" s="326"/>
      <c r="W401" s="326"/>
      <c r="X401" s="326"/>
      <c r="Y401" s="1350">
        <f t="shared" si="42"/>
        <v>0</v>
      </c>
      <c r="Z401" s="1351">
        <f t="shared" si="43"/>
        <v>0</v>
      </c>
      <c r="AA401" s="326">
        <f t="shared" si="44"/>
        <v>0</v>
      </c>
      <c r="AB401" s="326">
        <f t="shared" si="45"/>
        <v>0</v>
      </c>
      <c r="AC401" s="326">
        <f t="shared" si="46"/>
        <v>0</v>
      </c>
      <c r="AD401" s="326">
        <f t="shared" si="47"/>
        <v>0</v>
      </c>
      <c r="AE401" s="326">
        <f t="shared" si="48"/>
        <v>0</v>
      </c>
      <c r="AF401" s="355" t="s">
        <v>1030</v>
      </c>
      <c r="AG401" s="838"/>
      <c r="AH401" s="744"/>
      <c r="AI401" s="292"/>
      <c r="AK401" s="300"/>
      <c r="AS401" s="452"/>
    </row>
    <row r="402" spans="1:45" s="299" customFormat="1" ht="27.6">
      <c r="A402" s="353">
        <v>305</v>
      </c>
      <c r="B402" s="352">
        <v>200</v>
      </c>
      <c r="C402" s="352">
        <v>200</v>
      </c>
      <c r="D402" s="352">
        <v>300</v>
      </c>
      <c r="E402" s="357">
        <v>30</v>
      </c>
      <c r="F402" s="357"/>
      <c r="G402" s="315" t="s">
        <v>1031</v>
      </c>
      <c r="H402" s="329"/>
      <c r="I402" s="326"/>
      <c r="J402" s="358"/>
      <c r="K402" s="358"/>
      <c r="L402" s="358"/>
      <c r="M402" s="358"/>
      <c r="N402" s="327"/>
      <c r="O402" s="328"/>
      <c r="P402" s="326">
        <v>0</v>
      </c>
      <c r="Q402" s="327"/>
      <c r="R402" s="329"/>
      <c r="S402" s="326"/>
      <c r="T402" s="326"/>
      <c r="U402" s="326"/>
      <c r="V402" s="326"/>
      <c r="W402" s="326"/>
      <c r="X402" s="326"/>
      <c r="Y402" s="1350">
        <f t="shared" si="42"/>
        <v>0</v>
      </c>
      <c r="Z402" s="1351">
        <f t="shared" si="43"/>
        <v>0</v>
      </c>
      <c r="AA402" s="326">
        <f t="shared" si="44"/>
        <v>0</v>
      </c>
      <c r="AB402" s="326">
        <f t="shared" si="45"/>
        <v>0</v>
      </c>
      <c r="AC402" s="326">
        <f t="shared" si="46"/>
        <v>0</v>
      </c>
      <c r="AD402" s="326">
        <f t="shared" si="47"/>
        <v>0</v>
      </c>
      <c r="AE402" s="326">
        <f t="shared" si="48"/>
        <v>0</v>
      </c>
      <c r="AF402" s="355" t="s">
        <v>1032</v>
      </c>
      <c r="AG402" s="838"/>
      <c r="AH402" s="744"/>
      <c r="AI402" s="292"/>
      <c r="AK402" s="300"/>
      <c r="AS402" s="452"/>
    </row>
    <row r="403" spans="1:45" s="299" customFormat="1" ht="27.6">
      <c r="A403" s="353">
        <v>305</v>
      </c>
      <c r="B403" s="352">
        <v>200</v>
      </c>
      <c r="C403" s="352">
        <v>200</v>
      </c>
      <c r="D403" s="352">
        <v>300</v>
      </c>
      <c r="E403" s="357">
        <v>40</v>
      </c>
      <c r="F403" s="357"/>
      <c r="G403" s="315" t="s">
        <v>1033</v>
      </c>
      <c r="H403" s="329">
        <v>467925.25</v>
      </c>
      <c r="I403" s="311"/>
      <c r="J403" s="319"/>
      <c r="K403" s="319">
        <v>451856.19</v>
      </c>
      <c r="L403" s="319"/>
      <c r="M403" s="319"/>
      <c r="N403" s="327">
        <v>590982</v>
      </c>
      <c r="O403" s="328"/>
      <c r="P403" s="326">
        <v>66000</v>
      </c>
      <c r="Q403" s="327">
        <v>66000</v>
      </c>
      <c r="R403" s="329"/>
      <c r="S403" s="326"/>
      <c r="T403" s="326"/>
      <c r="U403" s="326"/>
      <c r="V403" s="326"/>
      <c r="W403" s="326"/>
      <c r="X403" s="326"/>
      <c r="Y403" s="1350">
        <f t="shared" si="42"/>
        <v>467925.25</v>
      </c>
      <c r="Z403" s="1351">
        <f t="shared" si="43"/>
        <v>0</v>
      </c>
      <c r="AA403" s="326">
        <f t="shared" si="44"/>
        <v>0</v>
      </c>
      <c r="AB403" s="326">
        <f t="shared" si="45"/>
        <v>517856.19</v>
      </c>
      <c r="AC403" s="326">
        <f t="shared" si="46"/>
        <v>0</v>
      </c>
      <c r="AD403" s="326">
        <f t="shared" si="47"/>
        <v>0</v>
      </c>
      <c r="AE403" s="326">
        <f t="shared" si="48"/>
        <v>656982</v>
      </c>
      <c r="AF403" s="355" t="s">
        <v>1034</v>
      </c>
      <c r="AG403" s="838"/>
      <c r="AH403" s="744"/>
      <c r="AI403" s="292"/>
      <c r="AK403" s="300"/>
      <c r="AS403" s="452"/>
    </row>
    <row r="404" spans="1:45" s="299" customFormat="1" ht="27.6">
      <c r="A404" s="353">
        <v>305</v>
      </c>
      <c r="B404" s="352">
        <v>200</v>
      </c>
      <c r="C404" s="352">
        <v>200</v>
      </c>
      <c r="D404" s="352">
        <v>300</v>
      </c>
      <c r="E404" s="352">
        <v>50</v>
      </c>
      <c r="F404" s="352"/>
      <c r="G404" s="323" t="s">
        <v>1035</v>
      </c>
      <c r="H404" s="334"/>
      <c r="I404" s="331"/>
      <c r="J404" s="359"/>
      <c r="K404" s="359"/>
      <c r="L404" s="359"/>
      <c r="M404" s="359"/>
      <c r="N404" s="332"/>
      <c r="O404" s="333"/>
      <c r="P404" s="331">
        <v>0</v>
      </c>
      <c r="Q404" s="332"/>
      <c r="R404" s="334"/>
      <c r="S404" s="331"/>
      <c r="T404" s="331"/>
      <c r="U404" s="331"/>
      <c r="V404" s="331"/>
      <c r="W404" s="331"/>
      <c r="X404" s="331"/>
      <c r="Y404" s="1352">
        <f t="shared" si="42"/>
        <v>0</v>
      </c>
      <c r="Z404" s="1353">
        <f t="shared" si="43"/>
        <v>0</v>
      </c>
      <c r="AA404" s="331">
        <f t="shared" si="44"/>
        <v>0</v>
      </c>
      <c r="AB404" s="331">
        <f t="shared" si="45"/>
        <v>0</v>
      </c>
      <c r="AC404" s="331">
        <f t="shared" si="46"/>
        <v>0</v>
      </c>
      <c r="AD404" s="331">
        <f t="shared" si="47"/>
        <v>0</v>
      </c>
      <c r="AE404" s="331">
        <f t="shared" si="48"/>
        <v>0</v>
      </c>
      <c r="AF404" s="355" t="s">
        <v>1036</v>
      </c>
      <c r="AG404" s="838"/>
      <c r="AH404" s="744"/>
      <c r="AI404" s="292"/>
      <c r="AK404" s="300"/>
      <c r="AS404" s="452"/>
    </row>
    <row r="405" spans="1:45" s="299" customFormat="1" ht="27.6">
      <c r="A405" s="353">
        <v>305</v>
      </c>
      <c r="B405" s="352">
        <v>200</v>
      </c>
      <c r="C405" s="352">
        <v>200</v>
      </c>
      <c r="D405" s="352">
        <v>300</v>
      </c>
      <c r="E405" s="352">
        <v>50</v>
      </c>
      <c r="F405" s="357">
        <v>10</v>
      </c>
      <c r="G405" s="315" t="s">
        <v>1037</v>
      </c>
      <c r="H405" s="314"/>
      <c r="I405" s="311"/>
      <c r="J405" s="319"/>
      <c r="K405" s="319"/>
      <c r="L405" s="319"/>
      <c r="M405" s="319"/>
      <c r="N405" s="312"/>
      <c r="O405" s="313"/>
      <c r="P405" s="311">
        <v>0</v>
      </c>
      <c r="Q405" s="312"/>
      <c r="R405" s="314"/>
      <c r="S405" s="311"/>
      <c r="T405" s="311"/>
      <c r="U405" s="311"/>
      <c r="V405" s="311"/>
      <c r="W405" s="311"/>
      <c r="X405" s="311"/>
      <c r="Y405" s="1356">
        <f t="shared" si="42"/>
        <v>0</v>
      </c>
      <c r="Z405" s="1357">
        <f t="shared" si="43"/>
        <v>0</v>
      </c>
      <c r="AA405" s="311">
        <f t="shared" si="44"/>
        <v>0</v>
      </c>
      <c r="AB405" s="311">
        <f t="shared" si="45"/>
        <v>0</v>
      </c>
      <c r="AC405" s="311">
        <f t="shared" si="46"/>
        <v>0</v>
      </c>
      <c r="AD405" s="311">
        <f t="shared" si="47"/>
        <v>0</v>
      </c>
      <c r="AE405" s="311">
        <f t="shared" si="48"/>
        <v>0</v>
      </c>
      <c r="AF405" s="355"/>
      <c r="AG405" s="838"/>
      <c r="AH405" s="744"/>
      <c r="AI405" s="292"/>
      <c r="AK405" s="300"/>
      <c r="AS405" s="452"/>
    </row>
    <row r="406" spans="1:45" s="299" customFormat="1" ht="27.6">
      <c r="A406" s="353">
        <v>305</v>
      </c>
      <c r="B406" s="352">
        <v>200</v>
      </c>
      <c r="C406" s="352">
        <v>200</v>
      </c>
      <c r="D406" s="352">
        <v>300</v>
      </c>
      <c r="E406" s="352">
        <v>50</v>
      </c>
      <c r="F406" s="357">
        <v>20</v>
      </c>
      <c r="G406" s="315" t="s">
        <v>1038</v>
      </c>
      <c r="H406" s="314"/>
      <c r="I406" s="311"/>
      <c r="J406" s="319"/>
      <c r="K406" s="319"/>
      <c r="L406" s="319"/>
      <c r="M406" s="319"/>
      <c r="N406" s="312"/>
      <c r="O406" s="313"/>
      <c r="P406" s="311">
        <v>0</v>
      </c>
      <c r="Q406" s="312"/>
      <c r="R406" s="314">
        <v>26066.01</v>
      </c>
      <c r="S406" s="326"/>
      <c r="T406" s="326"/>
      <c r="U406" s="326">
        <v>26066</v>
      </c>
      <c r="V406" s="326"/>
      <c r="W406" s="326"/>
      <c r="X406" s="326">
        <v>25000</v>
      </c>
      <c r="Y406" s="1356">
        <f t="shared" si="42"/>
        <v>26066.01</v>
      </c>
      <c r="Z406" s="1351">
        <f t="shared" si="43"/>
        <v>0</v>
      </c>
      <c r="AA406" s="326">
        <f t="shared" si="44"/>
        <v>0</v>
      </c>
      <c r="AB406" s="326">
        <f t="shared" si="45"/>
        <v>26066</v>
      </c>
      <c r="AC406" s="326">
        <f t="shared" si="46"/>
        <v>0</v>
      </c>
      <c r="AD406" s="326">
        <f t="shared" si="47"/>
        <v>0</v>
      </c>
      <c r="AE406" s="326">
        <f t="shared" si="48"/>
        <v>25000</v>
      </c>
      <c r="AF406" s="355"/>
      <c r="AG406" s="838"/>
      <c r="AH406" s="744"/>
      <c r="AI406" s="292"/>
      <c r="AK406" s="300"/>
      <c r="AS406" s="452"/>
    </row>
    <row r="407" spans="1:45" s="299" customFormat="1">
      <c r="A407" s="353">
        <v>305</v>
      </c>
      <c r="B407" s="352">
        <v>200</v>
      </c>
      <c r="C407" s="352">
        <v>200</v>
      </c>
      <c r="D407" s="352">
        <v>300</v>
      </c>
      <c r="E407" s="352">
        <v>50</v>
      </c>
      <c r="F407" s="357">
        <v>30</v>
      </c>
      <c r="G407" s="315" t="s">
        <v>1039</v>
      </c>
      <c r="H407" s="314"/>
      <c r="I407" s="311"/>
      <c r="J407" s="319"/>
      <c r="K407" s="319"/>
      <c r="L407" s="319"/>
      <c r="M407" s="319"/>
      <c r="N407" s="312"/>
      <c r="O407" s="313"/>
      <c r="P407" s="311">
        <v>0</v>
      </c>
      <c r="Q407" s="312"/>
      <c r="R407" s="314"/>
      <c r="S407" s="311"/>
      <c r="T407" s="311"/>
      <c r="U407" s="311"/>
      <c r="V407" s="311"/>
      <c r="W407" s="311"/>
      <c r="X407" s="311"/>
      <c r="Y407" s="1356">
        <f t="shared" si="42"/>
        <v>0</v>
      </c>
      <c r="Z407" s="1357">
        <f t="shared" si="43"/>
        <v>0</v>
      </c>
      <c r="AA407" s="311">
        <f t="shared" si="44"/>
        <v>0</v>
      </c>
      <c r="AB407" s="311">
        <f t="shared" si="45"/>
        <v>0</v>
      </c>
      <c r="AC407" s="311">
        <f t="shared" si="46"/>
        <v>0</v>
      </c>
      <c r="AD407" s="311">
        <f t="shared" si="47"/>
        <v>0</v>
      </c>
      <c r="AE407" s="311">
        <f t="shared" si="48"/>
        <v>0</v>
      </c>
      <c r="AF407" s="355"/>
      <c r="AG407" s="838"/>
      <c r="AH407" s="744"/>
      <c r="AI407" s="292"/>
      <c r="AK407" s="300"/>
      <c r="AS407" s="452"/>
    </row>
    <row r="408" spans="1:45" s="299" customFormat="1" ht="27.6">
      <c r="A408" s="353">
        <v>305</v>
      </c>
      <c r="B408" s="352">
        <v>200</v>
      </c>
      <c r="C408" s="352">
        <v>200</v>
      </c>
      <c r="D408" s="352">
        <v>300</v>
      </c>
      <c r="E408" s="352">
        <v>50</v>
      </c>
      <c r="F408" s="357">
        <v>40</v>
      </c>
      <c r="G408" s="315" t="s">
        <v>1040</v>
      </c>
      <c r="H408" s="314"/>
      <c r="I408" s="311"/>
      <c r="J408" s="319"/>
      <c r="K408" s="319"/>
      <c r="L408" s="319"/>
      <c r="M408" s="319"/>
      <c r="N408" s="312"/>
      <c r="O408" s="313"/>
      <c r="P408" s="311">
        <v>0</v>
      </c>
      <c r="Q408" s="312"/>
      <c r="R408" s="314">
        <v>2485</v>
      </c>
      <c r="S408" s="311"/>
      <c r="T408" s="311"/>
      <c r="U408" s="311">
        <v>2485</v>
      </c>
      <c r="V408" s="311"/>
      <c r="W408" s="311"/>
      <c r="X408" s="311"/>
      <c r="Y408" s="1356">
        <f t="shared" si="42"/>
        <v>2485</v>
      </c>
      <c r="Z408" s="1357">
        <f t="shared" si="43"/>
        <v>0</v>
      </c>
      <c r="AA408" s="311">
        <f t="shared" si="44"/>
        <v>0</v>
      </c>
      <c r="AB408" s="311">
        <f t="shared" si="45"/>
        <v>2485</v>
      </c>
      <c r="AC408" s="311">
        <f t="shared" si="46"/>
        <v>0</v>
      </c>
      <c r="AD408" s="311">
        <f t="shared" si="47"/>
        <v>0</v>
      </c>
      <c r="AE408" s="311">
        <f t="shared" si="48"/>
        <v>0</v>
      </c>
      <c r="AF408" s="355"/>
      <c r="AG408" s="838"/>
      <c r="AH408" s="744"/>
      <c r="AI408" s="292"/>
      <c r="AK408" s="300"/>
      <c r="AS408" s="452"/>
    </row>
    <row r="409" spans="1:45" s="299" customFormat="1" ht="27.6">
      <c r="A409" s="353">
        <v>305</v>
      </c>
      <c r="B409" s="352">
        <v>200</v>
      </c>
      <c r="C409" s="352">
        <v>200</v>
      </c>
      <c r="D409" s="352">
        <v>300</v>
      </c>
      <c r="E409" s="352">
        <v>50</v>
      </c>
      <c r="F409" s="357">
        <v>90</v>
      </c>
      <c r="G409" s="315" t="s">
        <v>1035</v>
      </c>
      <c r="H409" s="314"/>
      <c r="I409" s="311"/>
      <c r="J409" s="319"/>
      <c r="K409" s="319"/>
      <c r="L409" s="319"/>
      <c r="M409" s="319"/>
      <c r="N409" s="312"/>
      <c r="O409" s="313"/>
      <c r="P409" s="311">
        <v>0</v>
      </c>
      <c r="Q409" s="312"/>
      <c r="R409" s="314"/>
      <c r="S409" s="311"/>
      <c r="T409" s="311"/>
      <c r="U409" s="311"/>
      <c r="V409" s="311"/>
      <c r="W409" s="311"/>
      <c r="X409" s="311"/>
      <c r="Y409" s="1356">
        <f t="shared" si="42"/>
        <v>0</v>
      </c>
      <c r="Z409" s="1357">
        <f t="shared" si="43"/>
        <v>0</v>
      </c>
      <c r="AA409" s="311">
        <f t="shared" si="44"/>
        <v>0</v>
      </c>
      <c r="AB409" s="311">
        <f t="shared" si="45"/>
        <v>0</v>
      </c>
      <c r="AC409" s="311">
        <f t="shared" si="46"/>
        <v>0</v>
      </c>
      <c r="AD409" s="311">
        <f t="shared" si="47"/>
        <v>0</v>
      </c>
      <c r="AE409" s="311">
        <f t="shared" si="48"/>
        <v>0</v>
      </c>
      <c r="AF409" s="355"/>
      <c r="AG409" s="838"/>
      <c r="AH409" s="744"/>
      <c r="AI409" s="292"/>
      <c r="AK409" s="300"/>
      <c r="AS409" s="452"/>
    </row>
    <row r="410" spans="1:45" s="299" customFormat="1" ht="82.8">
      <c r="A410" s="353">
        <v>305</v>
      </c>
      <c r="B410" s="352">
        <v>200</v>
      </c>
      <c r="C410" s="352">
        <v>200</v>
      </c>
      <c r="D410" s="352">
        <v>300</v>
      </c>
      <c r="E410" s="352">
        <v>60</v>
      </c>
      <c r="F410" s="357"/>
      <c r="G410" s="315" t="s">
        <v>1041</v>
      </c>
      <c r="H410" s="314"/>
      <c r="I410" s="311"/>
      <c r="J410" s="319"/>
      <c r="K410" s="319"/>
      <c r="L410" s="319"/>
      <c r="M410" s="319"/>
      <c r="N410" s="312"/>
      <c r="O410" s="313"/>
      <c r="P410" s="311">
        <v>0</v>
      </c>
      <c r="Q410" s="312"/>
      <c r="R410" s="314"/>
      <c r="S410" s="311"/>
      <c r="T410" s="311"/>
      <c r="U410" s="311"/>
      <c r="V410" s="311"/>
      <c r="W410" s="311"/>
      <c r="X410" s="311"/>
      <c r="Y410" s="1356">
        <f t="shared" si="42"/>
        <v>0</v>
      </c>
      <c r="Z410" s="1357">
        <f t="shared" si="43"/>
        <v>0</v>
      </c>
      <c r="AA410" s="311">
        <f t="shared" si="44"/>
        <v>0</v>
      </c>
      <c r="AB410" s="311">
        <f t="shared" si="45"/>
        <v>0</v>
      </c>
      <c r="AC410" s="311">
        <f t="shared" si="46"/>
        <v>0</v>
      </c>
      <c r="AD410" s="311">
        <f t="shared" si="47"/>
        <v>0</v>
      </c>
      <c r="AE410" s="311">
        <f t="shared" si="48"/>
        <v>0</v>
      </c>
      <c r="AF410" s="355" t="s">
        <v>1042</v>
      </c>
      <c r="AG410" s="838"/>
      <c r="AH410" s="744"/>
      <c r="AI410" s="292"/>
      <c r="AK410" s="300"/>
      <c r="AS410" s="452"/>
    </row>
    <row r="411" spans="1:45" s="299" customFormat="1" ht="27.6">
      <c r="A411" s="353">
        <v>305</v>
      </c>
      <c r="B411" s="352">
        <v>200</v>
      </c>
      <c r="C411" s="352">
        <v>200</v>
      </c>
      <c r="D411" s="352">
        <v>400</v>
      </c>
      <c r="E411" s="352"/>
      <c r="F411" s="352"/>
      <c r="G411" s="323" t="s">
        <v>1043</v>
      </c>
      <c r="H411" s="334"/>
      <c r="I411" s="331"/>
      <c r="J411" s="359"/>
      <c r="K411" s="359"/>
      <c r="L411" s="359"/>
      <c r="M411" s="359"/>
      <c r="N411" s="332"/>
      <c r="O411" s="333"/>
      <c r="P411" s="331">
        <v>0</v>
      </c>
      <c r="Q411" s="332"/>
      <c r="R411" s="334"/>
      <c r="S411" s="331"/>
      <c r="T411" s="331"/>
      <c r="U411" s="331"/>
      <c r="V411" s="331"/>
      <c r="W411" s="331"/>
      <c r="X411" s="331"/>
      <c r="Y411" s="1352">
        <f t="shared" si="42"/>
        <v>0</v>
      </c>
      <c r="Z411" s="1353">
        <f t="shared" si="43"/>
        <v>0</v>
      </c>
      <c r="AA411" s="331">
        <f t="shared" si="44"/>
        <v>0</v>
      </c>
      <c r="AB411" s="331">
        <f t="shared" si="45"/>
        <v>0</v>
      </c>
      <c r="AC411" s="331">
        <f t="shared" si="46"/>
        <v>0</v>
      </c>
      <c r="AD411" s="331">
        <f t="shared" si="47"/>
        <v>0</v>
      </c>
      <c r="AE411" s="331">
        <f t="shared" si="48"/>
        <v>0</v>
      </c>
      <c r="AF411" s="424" t="s">
        <v>1044</v>
      </c>
      <c r="AG411" s="838"/>
      <c r="AH411" s="744"/>
      <c r="AI411" s="292"/>
      <c r="AK411" s="300"/>
      <c r="AS411" s="452"/>
    </row>
    <row r="412" spans="1:45" s="299" customFormat="1" ht="55.2">
      <c r="A412" s="353">
        <v>305</v>
      </c>
      <c r="B412" s="352">
        <v>200</v>
      </c>
      <c r="C412" s="352">
        <v>200</v>
      </c>
      <c r="D412" s="352">
        <v>400</v>
      </c>
      <c r="E412" s="357">
        <v>10</v>
      </c>
      <c r="F412" s="357"/>
      <c r="G412" s="342" t="s">
        <v>1045</v>
      </c>
      <c r="H412" s="329"/>
      <c r="I412" s="326"/>
      <c r="J412" s="358"/>
      <c r="K412" s="358"/>
      <c r="L412" s="358"/>
      <c r="M412" s="358"/>
      <c r="N412" s="327"/>
      <c r="O412" s="328"/>
      <c r="P412" s="326">
        <v>0</v>
      </c>
      <c r="Q412" s="327"/>
      <c r="R412" s="329"/>
      <c r="S412" s="326"/>
      <c r="T412" s="326"/>
      <c r="U412" s="326"/>
      <c r="V412" s="326"/>
      <c r="W412" s="326"/>
      <c r="X412" s="326"/>
      <c r="Y412" s="1350">
        <f t="shared" si="42"/>
        <v>0</v>
      </c>
      <c r="Z412" s="1351">
        <f t="shared" si="43"/>
        <v>0</v>
      </c>
      <c r="AA412" s="326">
        <f t="shared" si="44"/>
        <v>0</v>
      </c>
      <c r="AB412" s="326">
        <f t="shared" si="45"/>
        <v>0</v>
      </c>
      <c r="AC412" s="326">
        <f t="shared" si="46"/>
        <v>0</v>
      </c>
      <c r="AD412" s="326">
        <f t="shared" si="47"/>
        <v>0</v>
      </c>
      <c r="AE412" s="326">
        <f t="shared" si="48"/>
        <v>0</v>
      </c>
      <c r="AF412" s="424" t="s">
        <v>1046</v>
      </c>
      <c r="AG412" s="838"/>
      <c r="AH412" s="744"/>
      <c r="AI412" s="292"/>
      <c r="AK412" s="300"/>
      <c r="AS412" s="452"/>
    </row>
    <row r="413" spans="1:45" s="299" customFormat="1" ht="55.2">
      <c r="A413" s="353">
        <v>305</v>
      </c>
      <c r="B413" s="352">
        <v>200</v>
      </c>
      <c r="C413" s="352">
        <v>200</v>
      </c>
      <c r="D413" s="352">
        <v>400</v>
      </c>
      <c r="E413" s="357">
        <v>20</v>
      </c>
      <c r="F413" s="357"/>
      <c r="G413" s="315" t="s">
        <v>1047</v>
      </c>
      <c r="H413" s="329"/>
      <c r="I413" s="326"/>
      <c r="J413" s="358"/>
      <c r="K413" s="358"/>
      <c r="L413" s="358"/>
      <c r="M413" s="358"/>
      <c r="N413" s="327"/>
      <c r="O413" s="328"/>
      <c r="P413" s="326">
        <v>0</v>
      </c>
      <c r="Q413" s="327"/>
      <c r="R413" s="329"/>
      <c r="S413" s="326"/>
      <c r="T413" s="326"/>
      <c r="U413" s="326"/>
      <c r="V413" s="326"/>
      <c r="W413" s="326"/>
      <c r="X413" s="326"/>
      <c r="Y413" s="1350">
        <f t="shared" si="42"/>
        <v>0</v>
      </c>
      <c r="Z413" s="1351">
        <f t="shared" si="43"/>
        <v>0</v>
      </c>
      <c r="AA413" s="326">
        <f t="shared" si="44"/>
        <v>0</v>
      </c>
      <c r="AB413" s="326">
        <f t="shared" si="45"/>
        <v>0</v>
      </c>
      <c r="AC413" s="326">
        <f t="shared" si="46"/>
        <v>0</v>
      </c>
      <c r="AD413" s="326">
        <f t="shared" si="47"/>
        <v>0</v>
      </c>
      <c r="AE413" s="326">
        <f t="shared" si="48"/>
        <v>0</v>
      </c>
      <c r="AF413" s="355" t="s">
        <v>1048</v>
      </c>
      <c r="AG413" s="838"/>
      <c r="AH413" s="744"/>
      <c r="AI413" s="292"/>
      <c r="AK413" s="300"/>
      <c r="AS413" s="452"/>
    </row>
    <row r="414" spans="1:45" s="299" customFormat="1" ht="55.2">
      <c r="A414" s="353">
        <v>305</v>
      </c>
      <c r="B414" s="352">
        <v>200</v>
      </c>
      <c r="C414" s="352">
        <v>200</v>
      </c>
      <c r="D414" s="352">
        <v>400</v>
      </c>
      <c r="E414" s="357">
        <v>30</v>
      </c>
      <c r="F414" s="357"/>
      <c r="G414" s="315" t="s">
        <v>1049</v>
      </c>
      <c r="H414" s="329"/>
      <c r="I414" s="326"/>
      <c r="J414" s="358"/>
      <c r="K414" s="358"/>
      <c r="L414" s="358"/>
      <c r="M414" s="358"/>
      <c r="N414" s="327"/>
      <c r="O414" s="328"/>
      <c r="P414" s="326">
        <v>0</v>
      </c>
      <c r="Q414" s="327"/>
      <c r="R414" s="329"/>
      <c r="S414" s="326"/>
      <c r="T414" s="326"/>
      <c r="U414" s="326"/>
      <c r="V414" s="326"/>
      <c r="W414" s="326"/>
      <c r="X414" s="326"/>
      <c r="Y414" s="1350">
        <f t="shared" si="42"/>
        <v>0</v>
      </c>
      <c r="Z414" s="1351">
        <f t="shared" si="43"/>
        <v>0</v>
      </c>
      <c r="AA414" s="326">
        <f t="shared" si="44"/>
        <v>0</v>
      </c>
      <c r="AB414" s="326">
        <f t="shared" si="45"/>
        <v>0</v>
      </c>
      <c r="AC414" s="326">
        <f t="shared" si="46"/>
        <v>0</v>
      </c>
      <c r="AD414" s="326">
        <f t="shared" si="47"/>
        <v>0</v>
      </c>
      <c r="AE414" s="326">
        <f t="shared" si="48"/>
        <v>0</v>
      </c>
      <c r="AF414" s="355" t="s">
        <v>1050</v>
      </c>
      <c r="AG414" s="838"/>
      <c r="AH414" s="744"/>
      <c r="AI414" s="292"/>
      <c r="AK414" s="300"/>
      <c r="AS414" s="452"/>
    </row>
    <row r="415" spans="1:45" s="299" customFormat="1">
      <c r="A415" s="353">
        <v>305</v>
      </c>
      <c r="B415" s="352">
        <v>200</v>
      </c>
      <c r="C415" s="352">
        <v>300</v>
      </c>
      <c r="D415" s="352"/>
      <c r="E415" s="352"/>
      <c r="F415" s="352"/>
      <c r="G415" s="323" t="s">
        <v>1051</v>
      </c>
      <c r="H415" s="334"/>
      <c r="I415" s="331"/>
      <c r="J415" s="359"/>
      <c r="K415" s="359"/>
      <c r="L415" s="359"/>
      <c r="M415" s="359"/>
      <c r="N415" s="332"/>
      <c r="O415" s="333"/>
      <c r="P415" s="331">
        <v>0</v>
      </c>
      <c r="Q415" s="332"/>
      <c r="R415" s="334"/>
      <c r="S415" s="331"/>
      <c r="T415" s="331"/>
      <c r="U415" s="331"/>
      <c r="V415" s="331"/>
      <c r="W415" s="331"/>
      <c r="X415" s="331"/>
      <c r="Y415" s="1352">
        <f t="shared" si="42"/>
        <v>0</v>
      </c>
      <c r="Z415" s="1353">
        <f t="shared" si="43"/>
        <v>0</v>
      </c>
      <c r="AA415" s="331">
        <f t="shared" si="44"/>
        <v>0</v>
      </c>
      <c r="AB415" s="331">
        <f t="shared" si="45"/>
        <v>0</v>
      </c>
      <c r="AC415" s="331">
        <f t="shared" si="46"/>
        <v>0</v>
      </c>
      <c r="AD415" s="331">
        <f t="shared" si="47"/>
        <v>0</v>
      </c>
      <c r="AE415" s="331">
        <f t="shared" si="48"/>
        <v>0</v>
      </c>
      <c r="AF415" s="355" t="s">
        <v>1052</v>
      </c>
      <c r="AG415" s="838"/>
      <c r="AH415" s="744"/>
      <c r="AI415" s="292"/>
      <c r="AK415" s="300"/>
      <c r="AS415" s="452"/>
    </row>
    <row r="416" spans="1:45" s="299" customFormat="1" ht="27.6">
      <c r="A416" s="353">
        <v>305</v>
      </c>
      <c r="B416" s="352">
        <v>200</v>
      </c>
      <c r="C416" s="352">
        <v>300</v>
      </c>
      <c r="D416" s="357">
        <v>100</v>
      </c>
      <c r="E416" s="357"/>
      <c r="F416" s="357"/>
      <c r="G416" s="315" t="s">
        <v>1053</v>
      </c>
      <c r="H416" s="329"/>
      <c r="I416" s="326"/>
      <c r="J416" s="358"/>
      <c r="K416" s="358"/>
      <c r="L416" s="358"/>
      <c r="M416" s="358"/>
      <c r="N416" s="327"/>
      <c r="O416" s="328"/>
      <c r="P416" s="326">
        <v>0</v>
      </c>
      <c r="Q416" s="327"/>
      <c r="R416" s="329"/>
      <c r="S416" s="832"/>
      <c r="T416" s="326"/>
      <c r="U416" s="326"/>
      <c r="V416" s="326"/>
      <c r="W416" s="326"/>
      <c r="X416" s="326">
        <v>19000</v>
      </c>
      <c r="Y416" s="1350">
        <f t="shared" si="42"/>
        <v>0</v>
      </c>
      <c r="Z416" s="1355">
        <f t="shared" si="43"/>
        <v>0</v>
      </c>
      <c r="AA416" s="326">
        <f t="shared" si="44"/>
        <v>0</v>
      </c>
      <c r="AB416" s="326">
        <f t="shared" si="45"/>
        <v>0</v>
      </c>
      <c r="AC416" s="326">
        <f t="shared" si="46"/>
        <v>0</v>
      </c>
      <c r="AD416" s="326">
        <f t="shared" si="47"/>
        <v>0</v>
      </c>
      <c r="AE416" s="326">
        <f t="shared" si="48"/>
        <v>19000</v>
      </c>
      <c r="AF416" s="355" t="s">
        <v>1054</v>
      </c>
      <c r="AG416" s="838">
        <v>-19000</v>
      </c>
      <c r="AH416" s="744"/>
      <c r="AI416" s="292"/>
      <c r="AK416" s="300"/>
      <c r="AS416" s="452"/>
    </row>
    <row r="417" spans="1:45" s="292" customFormat="1" ht="27.6">
      <c r="A417" s="353">
        <v>305</v>
      </c>
      <c r="B417" s="352">
        <v>200</v>
      </c>
      <c r="C417" s="352">
        <v>300</v>
      </c>
      <c r="D417" s="357">
        <v>200</v>
      </c>
      <c r="E417" s="357"/>
      <c r="F417" s="357"/>
      <c r="G417" s="315" t="s">
        <v>1055</v>
      </c>
      <c r="H417" s="329"/>
      <c r="I417" s="326"/>
      <c r="J417" s="358"/>
      <c r="K417" s="358"/>
      <c r="L417" s="358"/>
      <c r="M417" s="358"/>
      <c r="N417" s="327"/>
      <c r="O417" s="328"/>
      <c r="P417" s="326">
        <v>0</v>
      </c>
      <c r="Q417" s="327"/>
      <c r="R417" s="329">
        <v>34898.89</v>
      </c>
      <c r="S417" s="832"/>
      <c r="T417" s="326"/>
      <c r="U417" s="326">
        <v>34000</v>
      </c>
      <c r="V417" s="326"/>
      <c r="W417" s="326"/>
      <c r="X417" s="326">
        <v>64000</v>
      </c>
      <c r="Y417" s="1350">
        <f t="shared" si="42"/>
        <v>34898.89</v>
      </c>
      <c r="Z417" s="1355">
        <f t="shared" si="43"/>
        <v>0</v>
      </c>
      <c r="AA417" s="326">
        <f t="shared" si="44"/>
        <v>0</v>
      </c>
      <c r="AB417" s="326">
        <f t="shared" si="45"/>
        <v>34000</v>
      </c>
      <c r="AC417" s="326">
        <f t="shared" si="46"/>
        <v>0</v>
      </c>
      <c r="AD417" s="326">
        <f t="shared" si="47"/>
        <v>0</v>
      </c>
      <c r="AE417" s="326">
        <f t="shared" si="48"/>
        <v>64000</v>
      </c>
      <c r="AF417" s="355" t="s">
        <v>1056</v>
      </c>
      <c r="AG417" s="838">
        <v>-30000</v>
      </c>
      <c r="AH417" s="744"/>
      <c r="AK417" s="293"/>
      <c r="AS417" s="744"/>
    </row>
    <row r="418" spans="1:45" s="299" customFormat="1" ht="27.6">
      <c r="A418" s="338">
        <v>310</v>
      </c>
      <c r="B418" s="337">
        <v>0</v>
      </c>
      <c r="C418" s="337">
        <v>0</v>
      </c>
      <c r="D418" s="337">
        <v>0</v>
      </c>
      <c r="E418" s="337">
        <v>0</v>
      </c>
      <c r="F418" s="337">
        <v>0</v>
      </c>
      <c r="G418" s="391" t="s">
        <v>1057</v>
      </c>
      <c r="H418" s="334"/>
      <c r="I418" s="331"/>
      <c r="J418" s="359"/>
      <c r="K418" s="359"/>
      <c r="L418" s="359"/>
      <c r="M418" s="359"/>
      <c r="N418" s="332"/>
      <c r="O418" s="333"/>
      <c r="P418" s="331">
        <v>0</v>
      </c>
      <c r="Q418" s="332"/>
      <c r="R418" s="334"/>
      <c r="S418" s="331"/>
      <c r="T418" s="331"/>
      <c r="U418" s="331"/>
      <c r="V418" s="331"/>
      <c r="W418" s="331"/>
      <c r="X418" s="331"/>
      <c r="Y418" s="1352">
        <f t="shared" si="42"/>
        <v>0</v>
      </c>
      <c r="Z418" s="1353">
        <f t="shared" si="43"/>
        <v>0</v>
      </c>
      <c r="AA418" s="331">
        <f t="shared" si="44"/>
        <v>0</v>
      </c>
      <c r="AB418" s="331">
        <f t="shared" si="45"/>
        <v>0</v>
      </c>
      <c r="AC418" s="331">
        <f t="shared" si="46"/>
        <v>0</v>
      </c>
      <c r="AD418" s="331">
        <f t="shared" si="47"/>
        <v>0</v>
      </c>
      <c r="AE418" s="331">
        <f t="shared" si="48"/>
        <v>0</v>
      </c>
      <c r="AF418" s="330"/>
      <c r="AG418" s="837"/>
      <c r="AH418" s="744"/>
      <c r="AI418" s="292"/>
      <c r="AK418" s="300"/>
      <c r="AS418" s="452"/>
    </row>
    <row r="419" spans="1:45" s="299" customFormat="1" ht="27.6">
      <c r="A419" s="353">
        <v>310</v>
      </c>
      <c r="B419" s="357">
        <v>100</v>
      </c>
      <c r="C419" s="357"/>
      <c r="D419" s="357"/>
      <c r="E419" s="357"/>
      <c r="F419" s="357"/>
      <c r="G419" s="315" t="s">
        <v>1058</v>
      </c>
      <c r="H419" s="329">
        <v>50423.57</v>
      </c>
      <c r="I419" s="326"/>
      <c r="J419" s="358"/>
      <c r="K419" s="358">
        <v>45000</v>
      </c>
      <c r="L419" s="358">
        <v>0</v>
      </c>
      <c r="M419" s="358"/>
      <c r="N419" s="327">
        <v>45000</v>
      </c>
      <c r="O419" s="328"/>
      <c r="P419" s="326">
        <v>0</v>
      </c>
      <c r="Q419" s="327"/>
      <c r="R419" s="329"/>
      <c r="S419" s="326"/>
      <c r="T419" s="326"/>
      <c r="U419" s="326"/>
      <c r="V419" s="326"/>
      <c r="W419" s="326"/>
      <c r="X419" s="326"/>
      <c r="Y419" s="1350">
        <f t="shared" si="42"/>
        <v>50423.57</v>
      </c>
      <c r="Z419" s="1351">
        <f t="shared" si="43"/>
        <v>0</v>
      </c>
      <c r="AA419" s="326">
        <f t="shared" si="44"/>
        <v>0</v>
      </c>
      <c r="AB419" s="326">
        <f t="shared" si="45"/>
        <v>45000</v>
      </c>
      <c r="AC419" s="326">
        <f t="shared" si="46"/>
        <v>0</v>
      </c>
      <c r="AD419" s="326">
        <f t="shared" si="47"/>
        <v>0</v>
      </c>
      <c r="AE419" s="326">
        <f t="shared" si="48"/>
        <v>45000</v>
      </c>
      <c r="AF419" s="355" t="s">
        <v>1059</v>
      </c>
      <c r="AG419" s="838"/>
      <c r="AH419" s="744">
        <f>SUM(Y419:Y431)</f>
        <v>1889413.9100000001</v>
      </c>
      <c r="AI419" s="292" t="s">
        <v>2273</v>
      </c>
      <c r="AK419" s="300"/>
      <c r="AS419" s="452"/>
    </row>
    <row r="420" spans="1:45" s="299" customFormat="1" ht="27.6">
      <c r="A420" s="353">
        <v>310</v>
      </c>
      <c r="B420" s="352">
        <v>200</v>
      </c>
      <c r="C420" s="352"/>
      <c r="D420" s="352"/>
      <c r="E420" s="352"/>
      <c r="F420" s="352"/>
      <c r="G420" s="323" t="s">
        <v>1060</v>
      </c>
      <c r="H420" s="334"/>
      <c r="I420" s="331"/>
      <c r="J420" s="359"/>
      <c r="K420" s="359"/>
      <c r="L420" s="359"/>
      <c r="M420" s="359"/>
      <c r="N420" s="332"/>
      <c r="O420" s="333"/>
      <c r="P420" s="331">
        <v>0</v>
      </c>
      <c r="Q420" s="332"/>
      <c r="R420" s="334"/>
      <c r="S420" s="331"/>
      <c r="T420" s="331"/>
      <c r="U420" s="331"/>
      <c r="V420" s="331"/>
      <c r="W420" s="331"/>
      <c r="X420" s="331"/>
      <c r="Y420" s="1352">
        <f t="shared" si="42"/>
        <v>0</v>
      </c>
      <c r="Z420" s="1353">
        <f t="shared" si="43"/>
        <v>0</v>
      </c>
      <c r="AA420" s="331">
        <f t="shared" si="44"/>
        <v>0</v>
      </c>
      <c r="AB420" s="331">
        <f t="shared" si="45"/>
        <v>0</v>
      </c>
      <c r="AC420" s="331">
        <f t="shared" si="46"/>
        <v>0</v>
      </c>
      <c r="AD420" s="331">
        <f t="shared" si="47"/>
        <v>0</v>
      </c>
      <c r="AE420" s="331">
        <f t="shared" si="48"/>
        <v>0</v>
      </c>
      <c r="AF420" s="355" t="s">
        <v>1061</v>
      </c>
      <c r="AG420" s="838"/>
      <c r="AH420" s="744"/>
      <c r="AI420" s="292"/>
      <c r="AK420" s="300"/>
      <c r="AS420" s="452"/>
    </row>
    <row r="421" spans="1:45" s="299" customFormat="1" ht="27.6">
      <c r="A421" s="353">
        <v>310</v>
      </c>
      <c r="B421" s="352">
        <v>200</v>
      </c>
      <c r="C421" s="357">
        <v>100</v>
      </c>
      <c r="D421" s="357"/>
      <c r="E421" s="357"/>
      <c r="F421" s="357"/>
      <c r="G421" s="315" t="s">
        <v>1062</v>
      </c>
      <c r="H421" s="314">
        <v>32208</v>
      </c>
      <c r="I421" s="326"/>
      <c r="J421" s="358"/>
      <c r="K421" s="358">
        <v>35088</v>
      </c>
      <c r="L421" s="358"/>
      <c r="M421" s="358"/>
      <c r="N421" s="312">
        <v>35088</v>
      </c>
      <c r="O421" s="313"/>
      <c r="P421" s="311">
        <v>0</v>
      </c>
      <c r="Q421" s="312"/>
      <c r="R421" s="314"/>
      <c r="S421" s="311"/>
      <c r="T421" s="311"/>
      <c r="U421" s="311"/>
      <c r="V421" s="311"/>
      <c r="W421" s="311"/>
      <c r="X421" s="311"/>
      <c r="Y421" s="1356">
        <f t="shared" si="42"/>
        <v>32208</v>
      </c>
      <c r="Z421" s="1357">
        <f t="shared" si="43"/>
        <v>0</v>
      </c>
      <c r="AA421" s="311">
        <f t="shared" si="44"/>
        <v>0</v>
      </c>
      <c r="AB421" s="311">
        <f t="shared" si="45"/>
        <v>35088</v>
      </c>
      <c r="AC421" s="311">
        <f t="shared" si="46"/>
        <v>0</v>
      </c>
      <c r="AD421" s="311">
        <f t="shared" si="47"/>
        <v>0</v>
      </c>
      <c r="AE421" s="311">
        <f t="shared" si="48"/>
        <v>35088</v>
      </c>
      <c r="AF421" s="355"/>
      <c r="AG421" s="838"/>
      <c r="AH421" s="744"/>
      <c r="AI421" s="292"/>
      <c r="AK421" s="300"/>
      <c r="AS421" s="452"/>
    </row>
    <row r="422" spans="1:45" s="299" customFormat="1">
      <c r="A422" s="353">
        <v>310</v>
      </c>
      <c r="B422" s="352">
        <v>200</v>
      </c>
      <c r="C422" s="357">
        <v>200</v>
      </c>
      <c r="D422" s="357"/>
      <c r="E422" s="357"/>
      <c r="F422" s="357"/>
      <c r="G422" s="315" t="s">
        <v>1063</v>
      </c>
      <c r="H422" s="314">
        <v>282407.84000000003</v>
      </c>
      <c r="I422" s="326">
        <f>90741.62+1555.53</f>
        <v>92297.15</v>
      </c>
      <c r="J422" s="358"/>
      <c r="K422" s="358">
        <v>284953.12</v>
      </c>
      <c r="L422" s="358">
        <v>92297.12</v>
      </c>
      <c r="M422" s="358"/>
      <c r="N422" s="312">
        <v>192656</v>
      </c>
      <c r="O422" s="313"/>
      <c r="P422" s="311">
        <v>0</v>
      </c>
      <c r="Q422" s="312"/>
      <c r="R422" s="314"/>
      <c r="S422" s="311"/>
      <c r="T422" s="311"/>
      <c r="U422" s="311"/>
      <c r="V422" s="311"/>
      <c r="W422" s="311"/>
      <c r="X422" s="311"/>
      <c r="Y422" s="1356">
        <f t="shared" si="42"/>
        <v>282407.84000000003</v>
      </c>
      <c r="Z422" s="1357">
        <f t="shared" si="43"/>
        <v>92297.15</v>
      </c>
      <c r="AA422" s="311">
        <f t="shared" si="44"/>
        <v>0</v>
      </c>
      <c r="AB422" s="311">
        <f t="shared" si="45"/>
        <v>284953.12</v>
      </c>
      <c r="AC422" s="311">
        <f t="shared" si="46"/>
        <v>92297.12</v>
      </c>
      <c r="AD422" s="311">
        <f t="shared" si="47"/>
        <v>0</v>
      </c>
      <c r="AE422" s="311">
        <f t="shared" si="48"/>
        <v>192656</v>
      </c>
      <c r="AF422" s="355"/>
      <c r="AG422" s="838"/>
      <c r="AH422" s="744"/>
      <c r="AI422" s="292"/>
      <c r="AK422" s="300"/>
      <c r="AS422" s="452"/>
    </row>
    <row r="423" spans="1:45" s="299" customFormat="1" ht="27.6">
      <c r="A423" s="353">
        <v>310</v>
      </c>
      <c r="B423" s="352">
        <v>200</v>
      </c>
      <c r="C423" s="357">
        <v>300</v>
      </c>
      <c r="D423" s="357"/>
      <c r="E423" s="357"/>
      <c r="F423" s="357"/>
      <c r="G423" s="315" t="s">
        <v>1064</v>
      </c>
      <c r="H423" s="314"/>
      <c r="I423" s="326"/>
      <c r="J423" s="358"/>
      <c r="K423" s="358"/>
      <c r="L423" s="358"/>
      <c r="M423" s="358"/>
      <c r="N423" s="312"/>
      <c r="O423" s="313"/>
      <c r="P423" s="311">
        <v>0</v>
      </c>
      <c r="Q423" s="312"/>
      <c r="R423" s="314"/>
      <c r="S423" s="311"/>
      <c r="T423" s="311"/>
      <c r="U423" s="311"/>
      <c r="V423" s="311"/>
      <c r="W423" s="311"/>
      <c r="X423" s="311"/>
      <c r="Y423" s="1356">
        <f t="shared" si="42"/>
        <v>0</v>
      </c>
      <c r="Z423" s="1357">
        <f t="shared" si="43"/>
        <v>0</v>
      </c>
      <c r="AA423" s="311">
        <f t="shared" si="44"/>
        <v>0</v>
      </c>
      <c r="AB423" s="311">
        <f t="shared" si="45"/>
        <v>0</v>
      </c>
      <c r="AC423" s="311">
        <f t="shared" si="46"/>
        <v>0</v>
      </c>
      <c r="AD423" s="311">
        <f t="shared" si="47"/>
        <v>0</v>
      </c>
      <c r="AE423" s="311">
        <f t="shared" si="48"/>
        <v>0</v>
      </c>
      <c r="AF423" s="355"/>
      <c r="AG423" s="838"/>
      <c r="AH423" s="744"/>
      <c r="AI423" s="292"/>
      <c r="AK423" s="300"/>
      <c r="AS423" s="452"/>
    </row>
    <row r="424" spans="1:45" s="299" customFormat="1" ht="27.6">
      <c r="A424" s="353">
        <v>310</v>
      </c>
      <c r="B424" s="357">
        <v>300</v>
      </c>
      <c r="C424" s="357"/>
      <c r="D424" s="357"/>
      <c r="E424" s="357"/>
      <c r="F424" s="357"/>
      <c r="G424" s="315" t="s">
        <v>1065</v>
      </c>
      <c r="H424" s="329">
        <v>1377636.86</v>
      </c>
      <c r="I424" s="326"/>
      <c r="J424" s="358"/>
      <c r="K424" s="358">
        <v>1375103.09</v>
      </c>
      <c r="L424" s="358"/>
      <c r="M424" s="358"/>
      <c r="N424" s="327">
        <v>1250000</v>
      </c>
      <c r="O424" s="328"/>
      <c r="P424" s="326">
        <v>0</v>
      </c>
      <c r="Q424" s="327"/>
      <c r="R424" s="329"/>
      <c r="S424" s="326"/>
      <c r="T424" s="326"/>
      <c r="U424" s="326"/>
      <c r="V424" s="326"/>
      <c r="W424" s="326"/>
      <c r="X424" s="326"/>
      <c r="Y424" s="1350">
        <f t="shared" si="42"/>
        <v>1377636.86</v>
      </c>
      <c r="Z424" s="1351">
        <f t="shared" si="43"/>
        <v>0</v>
      </c>
      <c r="AA424" s="326">
        <f t="shared" si="44"/>
        <v>0</v>
      </c>
      <c r="AB424" s="326">
        <f t="shared" si="45"/>
        <v>1375103.09</v>
      </c>
      <c r="AC424" s="326">
        <f t="shared" si="46"/>
        <v>0</v>
      </c>
      <c r="AD424" s="326">
        <f t="shared" si="47"/>
        <v>0</v>
      </c>
      <c r="AE424" s="326">
        <f t="shared" si="48"/>
        <v>1250000</v>
      </c>
      <c r="AF424" s="355" t="s">
        <v>1066</v>
      </c>
      <c r="AG424" s="838"/>
      <c r="AH424" s="744"/>
      <c r="AI424" s="292"/>
      <c r="AK424" s="300"/>
      <c r="AS424" s="452"/>
    </row>
    <row r="425" spans="1:45" s="299" customFormat="1" ht="27.6">
      <c r="A425" s="353">
        <v>310</v>
      </c>
      <c r="B425" s="357">
        <v>400</v>
      </c>
      <c r="C425" s="357"/>
      <c r="D425" s="357"/>
      <c r="E425" s="357"/>
      <c r="F425" s="357"/>
      <c r="G425" s="315" t="s">
        <v>1067</v>
      </c>
      <c r="H425" s="329"/>
      <c r="I425" s="326"/>
      <c r="J425" s="358"/>
      <c r="K425" s="358"/>
      <c r="L425" s="358"/>
      <c r="M425" s="358"/>
      <c r="N425" s="327"/>
      <c r="O425" s="328"/>
      <c r="P425" s="326">
        <v>0</v>
      </c>
      <c r="Q425" s="327"/>
      <c r="R425" s="329"/>
      <c r="S425" s="326"/>
      <c r="T425" s="326"/>
      <c r="U425" s="326"/>
      <c r="V425" s="326"/>
      <c r="W425" s="326"/>
      <c r="X425" s="326"/>
      <c r="Y425" s="1350">
        <f t="shared" si="42"/>
        <v>0</v>
      </c>
      <c r="Z425" s="1351">
        <f t="shared" si="43"/>
        <v>0</v>
      </c>
      <c r="AA425" s="326">
        <f t="shared" si="44"/>
        <v>0</v>
      </c>
      <c r="AB425" s="326">
        <f t="shared" si="45"/>
        <v>0</v>
      </c>
      <c r="AC425" s="326">
        <f t="shared" si="46"/>
        <v>0</v>
      </c>
      <c r="AD425" s="326">
        <f t="shared" si="47"/>
        <v>0</v>
      </c>
      <c r="AE425" s="326">
        <f t="shared" si="48"/>
        <v>0</v>
      </c>
      <c r="AF425" s="355" t="s">
        <v>1068</v>
      </c>
      <c r="AG425" s="838"/>
      <c r="AH425" s="744"/>
      <c r="AI425" s="292"/>
      <c r="AK425" s="300"/>
      <c r="AS425" s="452"/>
    </row>
    <row r="426" spans="1:45" s="299" customFormat="1" ht="27.6">
      <c r="A426" s="353">
        <v>310</v>
      </c>
      <c r="B426" s="357">
        <v>500</v>
      </c>
      <c r="C426" s="357"/>
      <c r="D426" s="357"/>
      <c r="E426" s="357"/>
      <c r="F426" s="357"/>
      <c r="G426" s="315" t="s">
        <v>1069</v>
      </c>
      <c r="H426" s="329">
        <v>1894.3</v>
      </c>
      <c r="I426" s="326"/>
      <c r="J426" s="358"/>
      <c r="K426" s="358">
        <v>5000</v>
      </c>
      <c r="L426" s="358"/>
      <c r="M426" s="358"/>
      <c r="N426" s="327">
        <v>5000</v>
      </c>
      <c r="O426" s="328"/>
      <c r="P426" s="326">
        <v>0</v>
      </c>
      <c r="Q426" s="327"/>
      <c r="R426" s="329"/>
      <c r="S426" s="326"/>
      <c r="T426" s="326"/>
      <c r="U426" s="326"/>
      <c r="V426" s="326"/>
      <c r="W426" s="326"/>
      <c r="X426" s="326"/>
      <c r="Y426" s="1350">
        <f t="shared" si="42"/>
        <v>1894.3</v>
      </c>
      <c r="Z426" s="1351">
        <f t="shared" si="43"/>
        <v>0</v>
      </c>
      <c r="AA426" s="326">
        <f t="shared" si="44"/>
        <v>0</v>
      </c>
      <c r="AB426" s="326">
        <f t="shared" si="45"/>
        <v>5000</v>
      </c>
      <c r="AC426" s="326">
        <f t="shared" si="46"/>
        <v>0</v>
      </c>
      <c r="AD426" s="326">
        <f t="shared" si="47"/>
        <v>0</v>
      </c>
      <c r="AE426" s="326">
        <f t="shared" si="48"/>
        <v>5000</v>
      </c>
      <c r="AF426" s="355" t="s">
        <v>1070</v>
      </c>
      <c r="AG426" s="838"/>
      <c r="AH426" s="744"/>
      <c r="AI426" s="292"/>
      <c r="AK426" s="300"/>
      <c r="AS426" s="452"/>
    </row>
    <row r="427" spans="1:45" s="299" customFormat="1">
      <c r="A427" s="353">
        <v>310</v>
      </c>
      <c r="B427" s="352">
        <v>600</v>
      </c>
      <c r="C427" s="352"/>
      <c r="D427" s="352"/>
      <c r="E427" s="352"/>
      <c r="F427" s="352"/>
      <c r="G427" s="323" t="s">
        <v>1071</v>
      </c>
      <c r="H427" s="334"/>
      <c r="I427" s="331"/>
      <c r="J427" s="359"/>
      <c r="K427" s="359"/>
      <c r="L427" s="359"/>
      <c r="M427" s="359"/>
      <c r="N427" s="332"/>
      <c r="O427" s="333"/>
      <c r="P427" s="331">
        <v>0</v>
      </c>
      <c r="Q427" s="332"/>
      <c r="R427" s="334"/>
      <c r="S427" s="331"/>
      <c r="T427" s="331"/>
      <c r="U427" s="331"/>
      <c r="V427" s="331"/>
      <c r="W427" s="331"/>
      <c r="X427" s="331"/>
      <c r="Y427" s="1352">
        <f t="shared" si="42"/>
        <v>0</v>
      </c>
      <c r="Z427" s="1353">
        <f t="shared" si="43"/>
        <v>0</v>
      </c>
      <c r="AA427" s="331">
        <f t="shared" si="44"/>
        <v>0</v>
      </c>
      <c r="AB427" s="331">
        <f t="shared" si="45"/>
        <v>0</v>
      </c>
      <c r="AC427" s="331">
        <f t="shared" si="46"/>
        <v>0</v>
      </c>
      <c r="AD427" s="331">
        <f t="shared" si="47"/>
        <v>0</v>
      </c>
      <c r="AE427" s="331">
        <f t="shared" si="48"/>
        <v>0</v>
      </c>
      <c r="AF427" s="355" t="s">
        <v>1072</v>
      </c>
      <c r="AG427" s="838"/>
      <c r="AH427" s="744"/>
      <c r="AI427" s="292"/>
      <c r="AK427" s="300"/>
      <c r="AS427" s="452"/>
    </row>
    <row r="428" spans="1:45" s="299" customFormat="1">
      <c r="A428" s="353">
        <v>310</v>
      </c>
      <c r="B428" s="352">
        <v>600</v>
      </c>
      <c r="C428" s="357">
        <v>100</v>
      </c>
      <c r="D428" s="357"/>
      <c r="E428" s="357"/>
      <c r="F428" s="357"/>
      <c r="G428" s="315" t="s">
        <v>1073</v>
      </c>
      <c r="H428" s="314">
        <v>53148.08</v>
      </c>
      <c r="I428" s="326"/>
      <c r="J428" s="358"/>
      <c r="K428" s="358">
        <v>60629.52</v>
      </c>
      <c r="L428" s="358"/>
      <c r="M428" s="358"/>
      <c r="N428" s="312">
        <v>85000</v>
      </c>
      <c r="O428" s="313"/>
      <c r="P428" s="311">
        <v>0</v>
      </c>
      <c r="Q428" s="312"/>
      <c r="R428" s="314"/>
      <c r="S428" s="311"/>
      <c r="T428" s="311"/>
      <c r="U428" s="311"/>
      <c r="V428" s="311"/>
      <c r="W428" s="311"/>
      <c r="X428" s="311"/>
      <c r="Y428" s="1356">
        <f t="shared" si="42"/>
        <v>53148.08</v>
      </c>
      <c r="Z428" s="1357">
        <f t="shared" si="43"/>
        <v>0</v>
      </c>
      <c r="AA428" s="311">
        <f t="shared" si="44"/>
        <v>0</v>
      </c>
      <c r="AB428" s="311">
        <f t="shared" si="45"/>
        <v>60629.52</v>
      </c>
      <c r="AC428" s="311">
        <f t="shared" si="46"/>
        <v>0</v>
      </c>
      <c r="AD428" s="311">
        <f t="shared" si="47"/>
        <v>0</v>
      </c>
      <c r="AE428" s="311">
        <f t="shared" si="48"/>
        <v>85000</v>
      </c>
      <c r="AF428" s="355"/>
      <c r="AG428" s="838"/>
      <c r="AH428" s="744"/>
      <c r="AI428" s="292"/>
      <c r="AK428" s="300"/>
      <c r="AS428" s="452"/>
    </row>
    <row r="429" spans="1:45" s="299" customFormat="1">
      <c r="A429" s="353">
        <v>310</v>
      </c>
      <c r="B429" s="352">
        <v>600</v>
      </c>
      <c r="C429" s="357">
        <v>200</v>
      </c>
      <c r="D429" s="357"/>
      <c r="E429" s="357"/>
      <c r="F429" s="357"/>
      <c r="G429" s="315" t="s">
        <v>1074</v>
      </c>
      <c r="H429" s="314">
        <v>75320.3</v>
      </c>
      <c r="I429" s="326">
        <v>671</v>
      </c>
      <c r="J429" s="358"/>
      <c r="K429" s="358">
        <v>43671</v>
      </c>
      <c r="L429" s="358">
        <v>671</v>
      </c>
      <c r="M429" s="358"/>
      <c r="N429" s="327">
        <v>25000</v>
      </c>
      <c r="O429" s="313"/>
      <c r="P429" s="326">
        <v>0</v>
      </c>
      <c r="Q429" s="358"/>
      <c r="R429" s="314"/>
      <c r="S429" s="311"/>
      <c r="T429" s="311"/>
      <c r="U429" s="311"/>
      <c r="V429" s="311"/>
      <c r="W429" s="311"/>
      <c r="X429" s="311"/>
      <c r="Y429" s="1356">
        <f t="shared" si="42"/>
        <v>75320.3</v>
      </c>
      <c r="Z429" s="1357">
        <f t="shared" si="43"/>
        <v>671</v>
      </c>
      <c r="AA429" s="311">
        <f t="shared" si="44"/>
        <v>0</v>
      </c>
      <c r="AB429" s="311">
        <f t="shared" si="45"/>
        <v>43671</v>
      </c>
      <c r="AC429" s="311">
        <f t="shared" si="46"/>
        <v>671</v>
      </c>
      <c r="AD429" s="311">
        <f t="shared" si="47"/>
        <v>0</v>
      </c>
      <c r="AE429" s="311">
        <f t="shared" si="48"/>
        <v>25000</v>
      </c>
      <c r="AF429" s="355"/>
      <c r="AG429" s="838"/>
      <c r="AH429" s="744"/>
      <c r="AI429" s="292"/>
      <c r="AK429" s="300"/>
      <c r="AS429" s="452"/>
    </row>
    <row r="430" spans="1:45" s="299" customFormat="1">
      <c r="A430" s="353">
        <v>310</v>
      </c>
      <c r="B430" s="352">
        <v>600</v>
      </c>
      <c r="C430" s="357">
        <v>300</v>
      </c>
      <c r="D430" s="357"/>
      <c r="E430" s="357"/>
      <c r="F430" s="357"/>
      <c r="G430" s="315" t="s">
        <v>1071</v>
      </c>
      <c r="H430" s="314">
        <v>16374.96</v>
      </c>
      <c r="I430" s="326"/>
      <c r="J430" s="358"/>
      <c r="K430" s="358">
        <v>20000</v>
      </c>
      <c r="L430" s="358"/>
      <c r="M430" s="358"/>
      <c r="N430" s="312">
        <v>31000</v>
      </c>
      <c r="O430" s="313"/>
      <c r="P430" s="311">
        <v>0</v>
      </c>
      <c r="Q430" s="312"/>
      <c r="R430" s="314"/>
      <c r="S430" s="311"/>
      <c r="T430" s="311"/>
      <c r="U430" s="311"/>
      <c r="V430" s="311"/>
      <c r="W430" s="311"/>
      <c r="X430" s="311"/>
      <c r="Y430" s="1356">
        <f t="shared" si="42"/>
        <v>16374.96</v>
      </c>
      <c r="Z430" s="1357">
        <f t="shared" si="43"/>
        <v>0</v>
      </c>
      <c r="AA430" s="311">
        <f t="shared" si="44"/>
        <v>0</v>
      </c>
      <c r="AB430" s="311">
        <f t="shared" si="45"/>
        <v>20000</v>
      </c>
      <c r="AC430" s="311">
        <f t="shared" si="46"/>
        <v>0</v>
      </c>
      <c r="AD430" s="311">
        <f t="shared" si="47"/>
        <v>0</v>
      </c>
      <c r="AE430" s="311">
        <f t="shared" si="48"/>
        <v>31000</v>
      </c>
      <c r="AF430" s="355"/>
      <c r="AG430" s="838"/>
      <c r="AH430" s="744"/>
      <c r="AI430" s="292"/>
      <c r="AK430" s="300"/>
      <c r="AS430" s="452"/>
    </row>
    <row r="431" spans="1:45" s="292" customFormat="1" ht="41.4">
      <c r="A431" s="353">
        <v>310</v>
      </c>
      <c r="B431" s="352">
        <v>700</v>
      </c>
      <c r="C431" s="352"/>
      <c r="D431" s="352"/>
      <c r="E431" s="357"/>
      <c r="F431" s="357"/>
      <c r="G431" s="342" t="s">
        <v>1075</v>
      </c>
      <c r="H431" s="329"/>
      <c r="I431" s="326"/>
      <c r="J431" s="358"/>
      <c r="K431" s="358"/>
      <c r="L431" s="358"/>
      <c r="M431" s="358"/>
      <c r="N431" s="327"/>
      <c r="O431" s="328"/>
      <c r="P431" s="326">
        <v>0</v>
      </c>
      <c r="Q431" s="327"/>
      <c r="R431" s="329"/>
      <c r="S431" s="326"/>
      <c r="T431" s="326"/>
      <c r="U431" s="326"/>
      <c r="V431" s="326"/>
      <c r="W431" s="326"/>
      <c r="X431" s="326"/>
      <c r="Y431" s="1350">
        <f t="shared" si="42"/>
        <v>0</v>
      </c>
      <c r="Z431" s="1351">
        <f t="shared" si="43"/>
        <v>0</v>
      </c>
      <c r="AA431" s="326">
        <f t="shared" si="44"/>
        <v>0</v>
      </c>
      <c r="AB431" s="326">
        <f t="shared" si="45"/>
        <v>0</v>
      </c>
      <c r="AC431" s="326">
        <f t="shared" si="46"/>
        <v>0</v>
      </c>
      <c r="AD431" s="326">
        <f t="shared" si="47"/>
        <v>0</v>
      </c>
      <c r="AE431" s="326">
        <f t="shared" si="48"/>
        <v>0</v>
      </c>
      <c r="AF431" s="424" t="s">
        <v>1076</v>
      </c>
      <c r="AG431" s="838"/>
      <c r="AH431" s="744"/>
      <c r="AK431" s="293"/>
      <c r="AS431" s="744"/>
    </row>
    <row r="432" spans="1:45" s="299" customFormat="1">
      <c r="A432" s="338">
        <v>315</v>
      </c>
      <c r="B432" s="337">
        <v>0</v>
      </c>
      <c r="C432" s="337">
        <v>0</v>
      </c>
      <c r="D432" s="337">
        <v>0</v>
      </c>
      <c r="E432" s="337">
        <v>0</v>
      </c>
      <c r="F432" s="337">
        <v>0</v>
      </c>
      <c r="G432" s="391" t="s">
        <v>61</v>
      </c>
      <c r="H432" s="334"/>
      <c r="I432" s="331"/>
      <c r="J432" s="359"/>
      <c r="K432" s="359"/>
      <c r="L432" s="359"/>
      <c r="M432" s="359"/>
      <c r="N432" s="332"/>
      <c r="O432" s="333"/>
      <c r="P432" s="331">
        <v>0</v>
      </c>
      <c r="Q432" s="332"/>
      <c r="R432" s="334"/>
      <c r="S432" s="335"/>
      <c r="T432" s="335"/>
      <c r="U432" s="335"/>
      <c r="V432" s="335"/>
      <c r="W432" s="335"/>
      <c r="X432" s="335"/>
      <c r="Y432" s="1352">
        <f t="shared" si="42"/>
        <v>0</v>
      </c>
      <c r="Z432" s="1365">
        <f t="shared" si="43"/>
        <v>0</v>
      </c>
      <c r="AA432" s="335">
        <f t="shared" si="44"/>
        <v>0</v>
      </c>
      <c r="AB432" s="335">
        <f t="shared" si="45"/>
        <v>0</v>
      </c>
      <c r="AC432" s="335">
        <f t="shared" si="46"/>
        <v>0</v>
      </c>
      <c r="AD432" s="335">
        <f t="shared" si="47"/>
        <v>0</v>
      </c>
      <c r="AE432" s="335">
        <f t="shared" si="48"/>
        <v>0</v>
      </c>
      <c r="AF432" s="423" t="s">
        <v>1077</v>
      </c>
      <c r="AG432" s="837"/>
      <c r="AH432" s="744">
        <f>SUM(Y433:Y451)</f>
        <v>653353.59</v>
      </c>
      <c r="AI432" s="292" t="s">
        <v>2272</v>
      </c>
      <c r="AK432" s="300"/>
      <c r="AS432" s="452"/>
    </row>
    <row r="433" spans="1:45" s="299" customFormat="1">
      <c r="A433" s="353">
        <v>315</v>
      </c>
      <c r="B433" s="352">
        <v>100</v>
      </c>
      <c r="C433" s="352"/>
      <c r="D433" s="352"/>
      <c r="E433" s="352"/>
      <c r="F433" s="352"/>
      <c r="G433" s="323" t="s">
        <v>1078</v>
      </c>
      <c r="H433" s="334"/>
      <c r="I433" s="331"/>
      <c r="J433" s="359"/>
      <c r="K433" s="359"/>
      <c r="L433" s="359"/>
      <c r="M433" s="359"/>
      <c r="N433" s="332"/>
      <c r="O433" s="333"/>
      <c r="P433" s="331">
        <v>0</v>
      </c>
      <c r="Q433" s="332"/>
      <c r="R433" s="334"/>
      <c r="S433" s="331"/>
      <c r="T433" s="331"/>
      <c r="U433" s="331"/>
      <c r="V433" s="331"/>
      <c r="W433" s="331"/>
      <c r="X433" s="331"/>
      <c r="Y433" s="1352">
        <f t="shared" si="42"/>
        <v>0</v>
      </c>
      <c r="Z433" s="1353">
        <f t="shared" si="43"/>
        <v>0</v>
      </c>
      <c r="AA433" s="331">
        <f t="shared" si="44"/>
        <v>0</v>
      </c>
      <c r="AB433" s="331">
        <f t="shared" si="45"/>
        <v>0</v>
      </c>
      <c r="AC433" s="331">
        <f t="shared" si="46"/>
        <v>0</v>
      </c>
      <c r="AD433" s="331">
        <f t="shared" si="47"/>
        <v>0</v>
      </c>
      <c r="AE433" s="331">
        <f t="shared" si="48"/>
        <v>0</v>
      </c>
      <c r="AF433" s="355" t="s">
        <v>1079</v>
      </c>
      <c r="AG433" s="838"/>
      <c r="AH433" s="744"/>
      <c r="AI433" s="292"/>
      <c r="AK433" s="300"/>
      <c r="AS433" s="452"/>
    </row>
    <row r="434" spans="1:45" s="299" customFormat="1">
      <c r="A434" s="353">
        <v>315</v>
      </c>
      <c r="B434" s="352">
        <v>100</v>
      </c>
      <c r="C434" s="357">
        <v>100</v>
      </c>
      <c r="D434" s="357"/>
      <c r="E434" s="357"/>
      <c r="F434" s="357"/>
      <c r="G434" s="315" t="s">
        <v>1080</v>
      </c>
      <c r="H434" s="314">
        <v>25228.16</v>
      </c>
      <c r="I434" s="311"/>
      <c r="J434" s="319"/>
      <c r="K434" s="319">
        <v>28000</v>
      </c>
      <c r="L434" s="319"/>
      <c r="M434" s="319"/>
      <c r="N434" s="312">
        <v>28000</v>
      </c>
      <c r="O434" s="313"/>
      <c r="P434" s="311">
        <v>0</v>
      </c>
      <c r="Q434" s="312"/>
      <c r="R434" s="314"/>
      <c r="S434" s="311"/>
      <c r="T434" s="311"/>
      <c r="U434" s="311"/>
      <c r="V434" s="311"/>
      <c r="W434" s="311"/>
      <c r="X434" s="311"/>
      <c r="Y434" s="1356">
        <f t="shared" si="42"/>
        <v>25228.16</v>
      </c>
      <c r="Z434" s="1357">
        <f t="shared" si="43"/>
        <v>0</v>
      </c>
      <c r="AA434" s="311">
        <f t="shared" si="44"/>
        <v>0</v>
      </c>
      <c r="AB434" s="311">
        <f t="shared" si="45"/>
        <v>28000</v>
      </c>
      <c r="AC434" s="311">
        <f t="shared" si="46"/>
        <v>0</v>
      </c>
      <c r="AD434" s="311">
        <f t="shared" si="47"/>
        <v>0</v>
      </c>
      <c r="AE434" s="311">
        <f t="shared" si="48"/>
        <v>28000</v>
      </c>
      <c r="AF434" s="355"/>
      <c r="AG434" s="838"/>
      <c r="AH434" s="744"/>
      <c r="AI434" s="292"/>
      <c r="AK434" s="300"/>
      <c r="AS434" s="452"/>
    </row>
    <row r="435" spans="1:45" s="299" customFormat="1">
      <c r="A435" s="353">
        <v>315</v>
      </c>
      <c r="B435" s="352">
        <v>100</v>
      </c>
      <c r="C435" s="357">
        <v>200</v>
      </c>
      <c r="D435" s="357"/>
      <c r="E435" s="357"/>
      <c r="F435" s="357"/>
      <c r="G435" s="315" t="s">
        <v>1081</v>
      </c>
      <c r="H435" s="314">
        <v>5518</v>
      </c>
      <c r="I435" s="311"/>
      <c r="J435" s="319"/>
      <c r="K435" s="319">
        <v>6000</v>
      </c>
      <c r="L435" s="319"/>
      <c r="M435" s="319"/>
      <c r="N435" s="312">
        <v>6000</v>
      </c>
      <c r="O435" s="313"/>
      <c r="P435" s="311">
        <v>0</v>
      </c>
      <c r="Q435" s="312"/>
      <c r="R435" s="314"/>
      <c r="S435" s="311"/>
      <c r="T435" s="311"/>
      <c r="U435" s="311"/>
      <c r="V435" s="311"/>
      <c r="W435" s="311"/>
      <c r="X435" s="311"/>
      <c r="Y435" s="1356">
        <f t="shared" si="42"/>
        <v>5518</v>
      </c>
      <c r="Z435" s="1357">
        <f t="shared" si="43"/>
        <v>0</v>
      </c>
      <c r="AA435" s="311">
        <f t="shared" si="44"/>
        <v>0</v>
      </c>
      <c r="AB435" s="311">
        <f t="shared" si="45"/>
        <v>6000</v>
      </c>
      <c r="AC435" s="311">
        <f t="shared" si="46"/>
        <v>0</v>
      </c>
      <c r="AD435" s="311">
        <f t="shared" si="47"/>
        <v>0</v>
      </c>
      <c r="AE435" s="311">
        <f t="shared" si="48"/>
        <v>6000</v>
      </c>
      <c r="AF435" s="355"/>
      <c r="AG435" s="838"/>
      <c r="AH435" s="744"/>
      <c r="AI435" s="292"/>
      <c r="AK435" s="300"/>
      <c r="AS435" s="452"/>
    </row>
    <row r="436" spans="1:45" s="299" customFormat="1">
      <c r="A436" s="353">
        <v>315</v>
      </c>
      <c r="B436" s="352">
        <v>200</v>
      </c>
      <c r="C436" s="352"/>
      <c r="D436" s="352"/>
      <c r="E436" s="352"/>
      <c r="F436" s="352"/>
      <c r="G436" s="323" t="s">
        <v>1082</v>
      </c>
      <c r="H436" s="334"/>
      <c r="I436" s="331"/>
      <c r="J436" s="359"/>
      <c r="K436" s="359"/>
      <c r="L436" s="359"/>
      <c r="M436" s="359"/>
      <c r="N436" s="332"/>
      <c r="O436" s="333"/>
      <c r="P436" s="331">
        <v>0</v>
      </c>
      <c r="Q436" s="332"/>
      <c r="R436" s="334"/>
      <c r="S436" s="331"/>
      <c r="T436" s="331"/>
      <c r="U436" s="331"/>
      <c r="V436" s="331"/>
      <c r="W436" s="331"/>
      <c r="X436" s="331"/>
      <c r="Y436" s="1352">
        <f t="shared" si="42"/>
        <v>0</v>
      </c>
      <c r="Z436" s="1353">
        <f t="shared" si="43"/>
        <v>0</v>
      </c>
      <c r="AA436" s="331">
        <f t="shared" si="44"/>
        <v>0</v>
      </c>
      <c r="AB436" s="331">
        <f t="shared" si="45"/>
        <v>0</v>
      </c>
      <c r="AC436" s="331">
        <f t="shared" si="46"/>
        <v>0</v>
      </c>
      <c r="AD436" s="331">
        <f t="shared" si="47"/>
        <v>0</v>
      </c>
      <c r="AE436" s="331">
        <f t="shared" si="48"/>
        <v>0</v>
      </c>
      <c r="AF436" s="355" t="s">
        <v>1083</v>
      </c>
      <c r="AG436" s="838"/>
      <c r="AH436" s="744"/>
      <c r="AI436" s="292"/>
      <c r="AK436" s="300"/>
      <c r="AS436" s="452"/>
    </row>
    <row r="437" spans="1:45" s="299" customFormat="1">
      <c r="A437" s="353">
        <v>315</v>
      </c>
      <c r="B437" s="352">
        <v>200</v>
      </c>
      <c r="C437" s="357">
        <v>100</v>
      </c>
      <c r="D437" s="357"/>
      <c r="E437" s="357"/>
      <c r="F437" s="357"/>
      <c r="G437" s="315" t="s">
        <v>1084</v>
      </c>
      <c r="H437" s="314">
        <v>430798.09</v>
      </c>
      <c r="I437" s="311">
        <v>6926.3</v>
      </c>
      <c r="J437" s="319"/>
      <c r="K437" s="319">
        <v>319926.3</v>
      </c>
      <c r="L437" s="319">
        <v>6926.3</v>
      </c>
      <c r="M437" s="319"/>
      <c r="N437" s="327">
        <v>322300</v>
      </c>
      <c r="O437" s="328"/>
      <c r="P437" s="326">
        <v>220000</v>
      </c>
      <c r="Q437" s="358">
        <v>200000</v>
      </c>
      <c r="R437" s="329"/>
      <c r="S437" s="326"/>
      <c r="T437" s="326"/>
      <c r="U437" s="326"/>
      <c r="V437" s="326"/>
      <c r="W437" s="326"/>
      <c r="X437" s="326"/>
      <c r="Y437" s="1350">
        <f t="shared" si="42"/>
        <v>430798.09</v>
      </c>
      <c r="Z437" s="1351">
        <f t="shared" si="43"/>
        <v>6926.3</v>
      </c>
      <c r="AA437" s="326">
        <f t="shared" si="44"/>
        <v>0</v>
      </c>
      <c r="AB437" s="326">
        <f t="shared" si="45"/>
        <v>539926.30000000005</v>
      </c>
      <c r="AC437" s="326">
        <f t="shared" si="46"/>
        <v>6926.3</v>
      </c>
      <c r="AD437" s="326">
        <f t="shared" si="47"/>
        <v>0</v>
      </c>
      <c r="AE437" s="326">
        <f t="shared" si="48"/>
        <v>522300</v>
      </c>
      <c r="AF437" s="355" t="s">
        <v>1085</v>
      </c>
      <c r="AG437" s="838"/>
      <c r="AH437" s="744"/>
      <c r="AI437" s="292"/>
      <c r="AK437" s="300"/>
      <c r="AS437" s="452"/>
    </row>
    <row r="438" spans="1:45" s="299" customFormat="1" ht="27.6">
      <c r="A438" s="353">
        <v>315</v>
      </c>
      <c r="B438" s="352">
        <v>200</v>
      </c>
      <c r="C438" s="352">
        <v>200</v>
      </c>
      <c r="D438" s="352"/>
      <c r="E438" s="352"/>
      <c r="F438" s="352"/>
      <c r="G438" s="323" t="s">
        <v>1086</v>
      </c>
      <c r="H438" s="334"/>
      <c r="I438" s="331"/>
      <c r="J438" s="359"/>
      <c r="K438" s="359"/>
      <c r="L438" s="359"/>
      <c r="M438" s="359"/>
      <c r="N438" s="332"/>
      <c r="O438" s="333"/>
      <c r="P438" s="331">
        <v>0</v>
      </c>
      <c r="Q438" s="332"/>
      <c r="R438" s="334"/>
      <c r="S438" s="331"/>
      <c r="T438" s="331"/>
      <c r="U438" s="331"/>
      <c r="V438" s="331"/>
      <c r="W438" s="331"/>
      <c r="X438" s="331"/>
      <c r="Y438" s="1352">
        <f t="shared" si="42"/>
        <v>0</v>
      </c>
      <c r="Z438" s="1353">
        <f t="shared" si="43"/>
        <v>0</v>
      </c>
      <c r="AA438" s="331">
        <f t="shared" si="44"/>
        <v>0</v>
      </c>
      <c r="AB438" s="331">
        <f t="shared" si="45"/>
        <v>0</v>
      </c>
      <c r="AC438" s="331">
        <f t="shared" si="46"/>
        <v>0</v>
      </c>
      <c r="AD438" s="331">
        <f t="shared" si="47"/>
        <v>0</v>
      </c>
      <c r="AE438" s="331">
        <f t="shared" si="48"/>
        <v>0</v>
      </c>
      <c r="AF438" s="355" t="s">
        <v>1087</v>
      </c>
      <c r="AG438" s="838"/>
      <c r="AH438" s="744"/>
      <c r="AI438" s="292"/>
      <c r="AK438" s="300"/>
      <c r="AS438" s="452"/>
    </row>
    <row r="439" spans="1:45" s="299" customFormat="1">
      <c r="A439" s="353">
        <v>315</v>
      </c>
      <c r="B439" s="352">
        <v>200</v>
      </c>
      <c r="C439" s="352">
        <v>200</v>
      </c>
      <c r="D439" s="357">
        <v>100</v>
      </c>
      <c r="E439" s="357"/>
      <c r="F439" s="357"/>
      <c r="G439" s="315" t="s">
        <v>1088</v>
      </c>
      <c r="H439" s="314">
        <v>141251.32</v>
      </c>
      <c r="I439" s="311">
        <v>2928</v>
      </c>
      <c r="J439" s="319"/>
      <c r="K439" s="319">
        <v>132928</v>
      </c>
      <c r="L439" s="319">
        <v>2928</v>
      </c>
      <c r="M439" s="319"/>
      <c r="N439" s="312">
        <v>17542</v>
      </c>
      <c r="O439" s="313"/>
      <c r="P439" s="311">
        <v>0</v>
      </c>
      <c r="Q439" s="312"/>
      <c r="R439" s="314"/>
      <c r="S439" s="311"/>
      <c r="T439" s="311"/>
      <c r="U439" s="311"/>
      <c r="V439" s="311"/>
      <c r="W439" s="311"/>
      <c r="X439" s="311"/>
      <c r="Y439" s="1356">
        <f t="shared" si="42"/>
        <v>141251.32</v>
      </c>
      <c r="Z439" s="1357">
        <f t="shared" si="43"/>
        <v>2928</v>
      </c>
      <c r="AA439" s="311">
        <f t="shared" si="44"/>
        <v>0</v>
      </c>
      <c r="AB439" s="311">
        <f t="shared" si="45"/>
        <v>132928</v>
      </c>
      <c r="AC439" s="311">
        <f t="shared" si="46"/>
        <v>2928</v>
      </c>
      <c r="AD439" s="311">
        <f t="shared" si="47"/>
        <v>0</v>
      </c>
      <c r="AE439" s="311">
        <f t="shared" si="48"/>
        <v>17542</v>
      </c>
      <c r="AF439" s="355"/>
      <c r="AG439" s="838"/>
      <c r="AH439" s="744"/>
      <c r="AI439" s="292"/>
      <c r="AK439" s="300"/>
      <c r="AS439" s="452"/>
    </row>
    <row r="440" spans="1:45" s="299" customFormat="1">
      <c r="A440" s="353">
        <v>315</v>
      </c>
      <c r="B440" s="352">
        <v>200</v>
      </c>
      <c r="C440" s="352">
        <v>200</v>
      </c>
      <c r="D440" s="357">
        <v>200</v>
      </c>
      <c r="E440" s="357"/>
      <c r="F440" s="357"/>
      <c r="G440" s="315" t="s">
        <v>1089</v>
      </c>
      <c r="H440" s="314">
        <v>11964.6</v>
      </c>
      <c r="I440" s="311"/>
      <c r="J440" s="319"/>
      <c r="K440" s="319">
        <v>15000</v>
      </c>
      <c r="L440" s="319"/>
      <c r="M440" s="319"/>
      <c r="N440" s="312">
        <v>15000</v>
      </c>
      <c r="O440" s="313"/>
      <c r="P440" s="311">
        <v>0</v>
      </c>
      <c r="Q440" s="312"/>
      <c r="R440" s="314"/>
      <c r="S440" s="311"/>
      <c r="T440" s="311"/>
      <c r="U440" s="311"/>
      <c r="V440" s="311"/>
      <c r="W440" s="311"/>
      <c r="X440" s="311"/>
      <c r="Y440" s="1356">
        <f t="shared" si="42"/>
        <v>11964.6</v>
      </c>
      <c r="Z440" s="1357">
        <f t="shared" si="43"/>
        <v>0</v>
      </c>
      <c r="AA440" s="311">
        <f t="shared" si="44"/>
        <v>0</v>
      </c>
      <c r="AB440" s="311">
        <f t="shared" si="45"/>
        <v>15000</v>
      </c>
      <c r="AC440" s="311">
        <f t="shared" si="46"/>
        <v>0</v>
      </c>
      <c r="AD440" s="311">
        <f t="shared" si="47"/>
        <v>0</v>
      </c>
      <c r="AE440" s="311">
        <f t="shared" si="48"/>
        <v>15000</v>
      </c>
      <c r="AF440" s="355"/>
      <c r="AG440" s="838"/>
      <c r="AH440" s="744"/>
      <c r="AI440" s="292"/>
      <c r="AK440" s="300"/>
      <c r="AS440" s="452"/>
    </row>
    <row r="441" spans="1:45" s="299" customFormat="1">
      <c r="A441" s="353">
        <v>315</v>
      </c>
      <c r="B441" s="352">
        <v>200</v>
      </c>
      <c r="C441" s="352">
        <v>200</v>
      </c>
      <c r="D441" s="357">
        <v>300</v>
      </c>
      <c r="E441" s="357"/>
      <c r="F441" s="357"/>
      <c r="G441" s="315" t="s">
        <v>1090</v>
      </c>
      <c r="H441" s="314">
        <v>6124.44</v>
      </c>
      <c r="I441" s="311"/>
      <c r="J441" s="319"/>
      <c r="K441" s="319">
        <v>8000</v>
      </c>
      <c r="L441" s="319"/>
      <c r="M441" s="319"/>
      <c r="N441" s="312">
        <v>8000</v>
      </c>
      <c r="O441" s="313"/>
      <c r="P441" s="311">
        <v>0</v>
      </c>
      <c r="Q441" s="312"/>
      <c r="R441" s="314"/>
      <c r="S441" s="311"/>
      <c r="T441" s="311"/>
      <c r="U441" s="311"/>
      <c r="V441" s="311"/>
      <c r="W441" s="311"/>
      <c r="X441" s="311"/>
      <c r="Y441" s="1356">
        <f t="shared" si="42"/>
        <v>6124.44</v>
      </c>
      <c r="Z441" s="1357">
        <f t="shared" si="43"/>
        <v>0</v>
      </c>
      <c r="AA441" s="311">
        <f t="shared" si="44"/>
        <v>0</v>
      </c>
      <c r="AB441" s="311">
        <f t="shared" si="45"/>
        <v>8000</v>
      </c>
      <c r="AC441" s="311">
        <f t="shared" si="46"/>
        <v>0</v>
      </c>
      <c r="AD441" s="311">
        <f t="shared" si="47"/>
        <v>0</v>
      </c>
      <c r="AE441" s="311">
        <f t="shared" si="48"/>
        <v>8000</v>
      </c>
      <c r="AF441" s="355"/>
      <c r="AG441" s="838"/>
      <c r="AH441" s="744"/>
      <c r="AI441" s="292"/>
      <c r="AK441" s="300"/>
      <c r="AS441" s="452"/>
    </row>
    <row r="442" spans="1:45" s="299" customFormat="1">
      <c r="A442" s="353">
        <v>315</v>
      </c>
      <c r="B442" s="352">
        <v>200</v>
      </c>
      <c r="C442" s="352">
        <v>200</v>
      </c>
      <c r="D442" s="357">
        <v>900</v>
      </c>
      <c r="E442" s="357"/>
      <c r="F442" s="357"/>
      <c r="G442" s="315" t="s">
        <v>1091</v>
      </c>
      <c r="H442" s="314">
        <v>30085.22</v>
      </c>
      <c r="I442" s="311">
        <v>30085.22</v>
      </c>
      <c r="J442" s="319"/>
      <c r="K442" s="319">
        <v>30085.22</v>
      </c>
      <c r="L442" s="319">
        <v>30085.22</v>
      </c>
      <c r="M442" s="319"/>
      <c r="N442" s="312"/>
      <c r="O442" s="313"/>
      <c r="P442" s="311">
        <v>0</v>
      </c>
      <c r="Q442" s="312"/>
      <c r="R442" s="314"/>
      <c r="S442" s="311"/>
      <c r="T442" s="311"/>
      <c r="U442" s="311"/>
      <c r="V442" s="311"/>
      <c r="W442" s="311"/>
      <c r="X442" s="311"/>
      <c r="Y442" s="1356">
        <f t="shared" si="42"/>
        <v>30085.22</v>
      </c>
      <c r="Z442" s="1357">
        <f t="shared" si="43"/>
        <v>30085.22</v>
      </c>
      <c r="AA442" s="311">
        <f t="shared" si="44"/>
        <v>0</v>
      </c>
      <c r="AB442" s="311">
        <f t="shared" si="45"/>
        <v>30085.22</v>
      </c>
      <c r="AC442" s="311">
        <f t="shared" si="46"/>
        <v>30085.22</v>
      </c>
      <c r="AD442" s="311">
        <f t="shared" si="47"/>
        <v>0</v>
      </c>
      <c r="AE442" s="311">
        <f t="shared" si="48"/>
        <v>0</v>
      </c>
      <c r="AF442" s="355"/>
      <c r="AG442" s="838"/>
      <c r="AH442" s="744"/>
      <c r="AI442" s="292"/>
      <c r="AK442" s="300"/>
      <c r="AS442" s="452"/>
    </row>
    <row r="443" spans="1:45" s="299" customFormat="1">
      <c r="A443" s="353">
        <v>315</v>
      </c>
      <c r="B443" s="352">
        <v>300</v>
      </c>
      <c r="C443" s="352"/>
      <c r="D443" s="352"/>
      <c r="E443" s="352"/>
      <c r="F443" s="352"/>
      <c r="G443" s="323" t="s">
        <v>1092</v>
      </c>
      <c r="H443" s="334"/>
      <c r="I443" s="331"/>
      <c r="J443" s="359"/>
      <c r="K443" s="359"/>
      <c r="L443" s="359"/>
      <c r="M443" s="359"/>
      <c r="N443" s="332"/>
      <c r="O443" s="333"/>
      <c r="P443" s="331">
        <v>0</v>
      </c>
      <c r="Q443" s="332"/>
      <c r="R443" s="334"/>
      <c r="S443" s="331"/>
      <c r="T443" s="331"/>
      <c r="U443" s="331"/>
      <c r="V443" s="331"/>
      <c r="W443" s="331"/>
      <c r="X443" s="331"/>
      <c r="Y443" s="1352">
        <f t="shared" si="42"/>
        <v>0</v>
      </c>
      <c r="Z443" s="1353">
        <f t="shared" si="43"/>
        <v>0</v>
      </c>
      <c r="AA443" s="331">
        <f t="shared" si="44"/>
        <v>0</v>
      </c>
      <c r="AB443" s="331">
        <f t="shared" si="45"/>
        <v>0</v>
      </c>
      <c r="AC443" s="331">
        <f t="shared" si="46"/>
        <v>0</v>
      </c>
      <c r="AD443" s="331">
        <f t="shared" si="47"/>
        <v>0</v>
      </c>
      <c r="AE443" s="331">
        <f t="shared" si="48"/>
        <v>0</v>
      </c>
      <c r="AF443" s="355" t="s">
        <v>1093</v>
      </c>
      <c r="AG443" s="838"/>
      <c r="AH443" s="744"/>
      <c r="AI443" s="292"/>
      <c r="AK443" s="300"/>
      <c r="AS443" s="452"/>
    </row>
    <row r="444" spans="1:45" s="299" customFormat="1">
      <c r="A444" s="353">
        <v>315</v>
      </c>
      <c r="B444" s="352">
        <v>300</v>
      </c>
      <c r="C444" s="352">
        <v>100</v>
      </c>
      <c r="D444" s="352"/>
      <c r="E444" s="352"/>
      <c r="F444" s="352"/>
      <c r="G444" s="323" t="s">
        <v>1094</v>
      </c>
      <c r="H444" s="334"/>
      <c r="I444" s="331"/>
      <c r="J444" s="359"/>
      <c r="K444" s="359"/>
      <c r="L444" s="359"/>
      <c r="M444" s="359"/>
      <c r="N444" s="332"/>
      <c r="O444" s="333"/>
      <c r="P444" s="331">
        <v>0</v>
      </c>
      <c r="Q444" s="332"/>
      <c r="R444" s="334"/>
      <c r="S444" s="331"/>
      <c r="T444" s="331"/>
      <c r="U444" s="331"/>
      <c r="V444" s="331"/>
      <c r="W444" s="331"/>
      <c r="X444" s="331"/>
      <c r="Y444" s="1352">
        <f t="shared" si="42"/>
        <v>0</v>
      </c>
      <c r="Z444" s="1353">
        <f t="shared" si="43"/>
        <v>0</v>
      </c>
      <c r="AA444" s="331">
        <f t="shared" si="44"/>
        <v>0</v>
      </c>
      <c r="AB444" s="331">
        <f t="shared" si="45"/>
        <v>0</v>
      </c>
      <c r="AC444" s="331">
        <f t="shared" si="46"/>
        <v>0</v>
      </c>
      <c r="AD444" s="331">
        <f t="shared" si="47"/>
        <v>0</v>
      </c>
      <c r="AE444" s="331">
        <f t="shared" si="48"/>
        <v>0</v>
      </c>
      <c r="AF444" s="355" t="s">
        <v>1095</v>
      </c>
      <c r="AG444" s="838"/>
      <c r="AH444" s="744"/>
      <c r="AI444" s="292"/>
      <c r="AK444" s="300"/>
      <c r="AS444" s="452"/>
    </row>
    <row r="445" spans="1:45" s="299" customFormat="1">
      <c r="A445" s="353">
        <v>315</v>
      </c>
      <c r="B445" s="352">
        <v>300</v>
      </c>
      <c r="C445" s="352">
        <v>100</v>
      </c>
      <c r="D445" s="357">
        <v>100</v>
      </c>
      <c r="E445" s="357"/>
      <c r="F445" s="357"/>
      <c r="G445" s="315" t="s">
        <v>1096</v>
      </c>
      <c r="H445" s="314"/>
      <c r="I445" s="311"/>
      <c r="J445" s="319"/>
      <c r="K445" s="319"/>
      <c r="L445" s="319"/>
      <c r="M445" s="319"/>
      <c r="N445" s="312"/>
      <c r="O445" s="313"/>
      <c r="P445" s="311">
        <v>0</v>
      </c>
      <c r="Q445" s="312"/>
      <c r="R445" s="314"/>
      <c r="S445" s="311"/>
      <c r="T445" s="311"/>
      <c r="U445" s="311"/>
      <c r="V445" s="311"/>
      <c r="W445" s="311"/>
      <c r="X445" s="311"/>
      <c r="Y445" s="1356">
        <f t="shared" si="42"/>
        <v>0</v>
      </c>
      <c r="Z445" s="1357">
        <f t="shared" si="43"/>
        <v>0</v>
      </c>
      <c r="AA445" s="311">
        <f t="shared" si="44"/>
        <v>0</v>
      </c>
      <c r="AB445" s="311">
        <f t="shared" si="45"/>
        <v>0</v>
      </c>
      <c r="AC445" s="311">
        <f t="shared" si="46"/>
        <v>0</v>
      </c>
      <c r="AD445" s="311">
        <f t="shared" si="47"/>
        <v>0</v>
      </c>
      <c r="AE445" s="311">
        <f t="shared" si="48"/>
        <v>0</v>
      </c>
      <c r="AF445" s="355"/>
      <c r="AG445" s="838"/>
      <c r="AH445" s="744"/>
      <c r="AI445" s="292"/>
      <c r="AK445" s="300"/>
      <c r="AS445" s="452"/>
    </row>
    <row r="446" spans="1:45" s="299" customFormat="1">
      <c r="A446" s="353">
        <v>315</v>
      </c>
      <c r="B446" s="352">
        <v>300</v>
      </c>
      <c r="C446" s="352">
        <v>100</v>
      </c>
      <c r="D446" s="357">
        <v>200</v>
      </c>
      <c r="E446" s="357"/>
      <c r="F446" s="357"/>
      <c r="G446" s="315" t="s">
        <v>1097</v>
      </c>
      <c r="H446" s="314"/>
      <c r="I446" s="311"/>
      <c r="J446" s="319"/>
      <c r="K446" s="319"/>
      <c r="L446" s="319"/>
      <c r="M446" s="319"/>
      <c r="N446" s="312"/>
      <c r="O446" s="313">
        <v>2383.7600000000002</v>
      </c>
      <c r="P446" s="311">
        <v>3600</v>
      </c>
      <c r="Q446" s="312"/>
      <c r="R446" s="314"/>
      <c r="S446" s="311"/>
      <c r="T446" s="311"/>
      <c r="U446" s="311"/>
      <c r="V446" s="311"/>
      <c r="W446" s="311"/>
      <c r="X446" s="311"/>
      <c r="Y446" s="1356">
        <f t="shared" si="42"/>
        <v>2383.7600000000002</v>
      </c>
      <c r="Z446" s="1357">
        <f t="shared" si="43"/>
        <v>0</v>
      </c>
      <c r="AA446" s="311">
        <f t="shared" si="44"/>
        <v>0</v>
      </c>
      <c r="AB446" s="311">
        <f t="shared" si="45"/>
        <v>3600</v>
      </c>
      <c r="AC446" s="311">
        <f t="shared" si="46"/>
        <v>0</v>
      </c>
      <c r="AD446" s="311">
        <f t="shared" si="47"/>
        <v>0</v>
      </c>
      <c r="AE446" s="311">
        <f t="shared" si="48"/>
        <v>0</v>
      </c>
      <c r="AF446" s="355"/>
      <c r="AG446" s="838"/>
      <c r="AH446" s="744"/>
      <c r="AI446" s="292"/>
      <c r="AK446" s="300"/>
      <c r="AS446" s="452"/>
    </row>
    <row r="447" spans="1:45" s="299" customFormat="1" ht="27.6">
      <c r="A447" s="353">
        <v>315</v>
      </c>
      <c r="B447" s="352">
        <v>300</v>
      </c>
      <c r="C447" s="352">
        <v>200</v>
      </c>
      <c r="D447" s="352"/>
      <c r="E447" s="352"/>
      <c r="F447" s="352"/>
      <c r="G447" s="323" t="s">
        <v>1098</v>
      </c>
      <c r="H447" s="334"/>
      <c r="I447" s="331"/>
      <c r="J447" s="359"/>
      <c r="K447" s="359"/>
      <c r="L447" s="359"/>
      <c r="M447" s="359"/>
      <c r="N447" s="332"/>
      <c r="O447" s="333"/>
      <c r="P447" s="331">
        <v>0</v>
      </c>
      <c r="Q447" s="332"/>
      <c r="R447" s="334"/>
      <c r="S447" s="331"/>
      <c r="T447" s="331"/>
      <c r="U447" s="331"/>
      <c r="V447" s="331"/>
      <c r="W447" s="331"/>
      <c r="X447" s="331"/>
      <c r="Y447" s="1352">
        <f t="shared" si="42"/>
        <v>0</v>
      </c>
      <c r="Z447" s="1353">
        <f t="shared" si="43"/>
        <v>0</v>
      </c>
      <c r="AA447" s="331">
        <f t="shared" si="44"/>
        <v>0</v>
      </c>
      <c r="AB447" s="331">
        <f t="shared" si="45"/>
        <v>0</v>
      </c>
      <c r="AC447" s="331">
        <f t="shared" si="46"/>
        <v>0</v>
      </c>
      <c r="AD447" s="331">
        <f t="shared" si="47"/>
        <v>0</v>
      </c>
      <c r="AE447" s="331">
        <f t="shared" si="48"/>
        <v>0</v>
      </c>
      <c r="AF447" s="355" t="s">
        <v>1099</v>
      </c>
      <c r="AG447" s="838"/>
      <c r="AH447" s="744"/>
      <c r="AI447" s="292"/>
      <c r="AK447" s="300"/>
      <c r="AS447" s="452"/>
    </row>
    <row r="448" spans="1:45" s="299" customFormat="1">
      <c r="A448" s="353">
        <v>315</v>
      </c>
      <c r="B448" s="352">
        <v>300</v>
      </c>
      <c r="C448" s="352">
        <v>200</v>
      </c>
      <c r="D448" s="357">
        <v>100</v>
      </c>
      <c r="E448" s="357"/>
      <c r="F448" s="357"/>
      <c r="G448" s="315" t="s">
        <v>1096</v>
      </c>
      <c r="H448" s="314"/>
      <c r="I448" s="311"/>
      <c r="J448" s="319"/>
      <c r="K448" s="319"/>
      <c r="L448" s="319"/>
      <c r="M448" s="319"/>
      <c r="N448" s="312"/>
      <c r="O448" s="313"/>
      <c r="P448" s="311">
        <v>0</v>
      </c>
      <c r="Q448" s="312"/>
      <c r="R448" s="314"/>
      <c r="S448" s="311"/>
      <c r="T448" s="311"/>
      <c r="U448" s="311"/>
      <c r="V448" s="311"/>
      <c r="W448" s="311"/>
      <c r="X448" s="311"/>
      <c r="Y448" s="1356">
        <f t="shared" si="42"/>
        <v>0</v>
      </c>
      <c r="Z448" s="1357">
        <f t="shared" si="43"/>
        <v>0</v>
      </c>
      <c r="AA448" s="311">
        <f t="shared" si="44"/>
        <v>0</v>
      </c>
      <c r="AB448" s="311">
        <f t="shared" si="45"/>
        <v>0</v>
      </c>
      <c r="AC448" s="311">
        <f t="shared" si="46"/>
        <v>0</v>
      </c>
      <c r="AD448" s="311">
        <f t="shared" si="47"/>
        <v>0</v>
      </c>
      <c r="AE448" s="311">
        <f t="shared" si="48"/>
        <v>0</v>
      </c>
      <c r="AF448" s="355"/>
      <c r="AG448" s="838"/>
      <c r="AH448" s="744"/>
      <c r="AI448" s="292"/>
      <c r="AK448" s="300"/>
      <c r="AS448" s="452"/>
    </row>
    <row r="449" spans="1:45" s="299" customFormat="1">
      <c r="A449" s="353">
        <v>315</v>
      </c>
      <c r="B449" s="352">
        <v>300</v>
      </c>
      <c r="C449" s="352">
        <v>200</v>
      </c>
      <c r="D449" s="357">
        <v>200</v>
      </c>
      <c r="E449" s="357"/>
      <c r="F449" s="357"/>
      <c r="G449" s="315" t="s">
        <v>1097</v>
      </c>
      <c r="H449" s="314"/>
      <c r="I449" s="311"/>
      <c r="J449" s="319"/>
      <c r="K449" s="319"/>
      <c r="L449" s="319"/>
      <c r="M449" s="319"/>
      <c r="N449" s="312"/>
      <c r="O449" s="313"/>
      <c r="P449" s="311">
        <v>0</v>
      </c>
      <c r="Q449" s="312"/>
      <c r="R449" s="314"/>
      <c r="S449" s="311"/>
      <c r="T449" s="311"/>
      <c r="U449" s="311"/>
      <c r="V449" s="311"/>
      <c r="W449" s="311"/>
      <c r="X449" s="311"/>
      <c r="Y449" s="1356">
        <f t="shared" si="42"/>
        <v>0</v>
      </c>
      <c r="Z449" s="1357">
        <f t="shared" si="43"/>
        <v>0</v>
      </c>
      <c r="AA449" s="311">
        <f t="shared" si="44"/>
        <v>0</v>
      </c>
      <c r="AB449" s="311">
        <f t="shared" si="45"/>
        <v>0</v>
      </c>
      <c r="AC449" s="311">
        <f t="shared" si="46"/>
        <v>0</v>
      </c>
      <c r="AD449" s="311">
        <f t="shared" si="47"/>
        <v>0</v>
      </c>
      <c r="AE449" s="311">
        <f t="shared" si="48"/>
        <v>0</v>
      </c>
      <c r="AF449" s="355"/>
      <c r="AG449" s="838"/>
      <c r="AH449" s="744"/>
      <c r="AI449" s="292"/>
      <c r="AK449" s="300"/>
      <c r="AS449" s="452"/>
    </row>
    <row r="450" spans="1:45" s="299" customFormat="1">
      <c r="A450" s="353">
        <v>315</v>
      </c>
      <c r="B450" s="352">
        <v>350</v>
      </c>
      <c r="C450" s="352"/>
      <c r="D450" s="352"/>
      <c r="E450" s="357"/>
      <c r="F450" s="357"/>
      <c r="G450" s="342" t="s">
        <v>1100</v>
      </c>
      <c r="H450" s="329"/>
      <c r="I450" s="326"/>
      <c r="J450" s="358"/>
      <c r="K450" s="358"/>
      <c r="L450" s="358"/>
      <c r="M450" s="358"/>
      <c r="N450" s="327"/>
      <c r="O450" s="328"/>
      <c r="P450" s="326">
        <v>0</v>
      </c>
      <c r="Q450" s="327"/>
      <c r="R450" s="329"/>
      <c r="S450" s="326"/>
      <c r="T450" s="326"/>
      <c r="U450" s="326"/>
      <c r="V450" s="326"/>
      <c r="W450" s="326"/>
      <c r="X450" s="326"/>
      <c r="Y450" s="1350">
        <f t="shared" si="42"/>
        <v>0</v>
      </c>
      <c r="Z450" s="1351">
        <f t="shared" si="43"/>
        <v>0</v>
      </c>
      <c r="AA450" s="326">
        <f t="shared" si="44"/>
        <v>0</v>
      </c>
      <c r="AB450" s="326">
        <f t="shared" si="45"/>
        <v>0</v>
      </c>
      <c r="AC450" s="326">
        <f t="shared" si="46"/>
        <v>0</v>
      </c>
      <c r="AD450" s="326">
        <f t="shared" si="47"/>
        <v>0</v>
      </c>
      <c r="AE450" s="326">
        <f t="shared" si="48"/>
        <v>0</v>
      </c>
      <c r="AF450" s="424" t="s">
        <v>1101</v>
      </c>
      <c r="AG450" s="838"/>
      <c r="AH450" s="744"/>
      <c r="AI450" s="292"/>
      <c r="AK450" s="300"/>
      <c r="AS450" s="452"/>
    </row>
    <row r="451" spans="1:45" s="292" customFormat="1" ht="27.6">
      <c r="A451" s="353">
        <v>315</v>
      </c>
      <c r="B451" s="352">
        <v>400</v>
      </c>
      <c r="C451" s="352"/>
      <c r="D451" s="352"/>
      <c r="E451" s="357"/>
      <c r="F451" s="357"/>
      <c r="G451" s="342" t="s">
        <v>1102</v>
      </c>
      <c r="H451" s="329"/>
      <c r="I451" s="326"/>
      <c r="J451" s="358"/>
      <c r="K451" s="358"/>
      <c r="L451" s="358"/>
      <c r="M451" s="358"/>
      <c r="N451" s="327"/>
      <c r="O451" s="328"/>
      <c r="P451" s="326">
        <v>0</v>
      </c>
      <c r="Q451" s="327"/>
      <c r="R451" s="329"/>
      <c r="S451" s="326"/>
      <c r="T451" s="326"/>
      <c r="U451" s="326"/>
      <c r="V451" s="326"/>
      <c r="W451" s="326"/>
      <c r="X451" s="326"/>
      <c r="Y451" s="1350">
        <f t="shared" si="42"/>
        <v>0</v>
      </c>
      <c r="Z451" s="1351">
        <f t="shared" si="43"/>
        <v>0</v>
      </c>
      <c r="AA451" s="326">
        <f t="shared" si="44"/>
        <v>0</v>
      </c>
      <c r="AB451" s="326">
        <f t="shared" si="45"/>
        <v>0</v>
      </c>
      <c r="AC451" s="326">
        <f t="shared" si="46"/>
        <v>0</v>
      </c>
      <c r="AD451" s="326">
        <f t="shared" si="47"/>
        <v>0</v>
      </c>
      <c r="AE451" s="326">
        <f t="shared" si="48"/>
        <v>0</v>
      </c>
      <c r="AF451" s="424" t="s">
        <v>1103</v>
      </c>
      <c r="AG451" s="838"/>
      <c r="AH451" s="744"/>
      <c r="AK451" s="293"/>
      <c r="AS451" s="744"/>
    </row>
    <row r="452" spans="1:45" s="299" customFormat="1">
      <c r="A452" s="338">
        <v>320</v>
      </c>
      <c r="B452" s="337">
        <v>0</v>
      </c>
      <c r="C452" s="337">
        <v>0</v>
      </c>
      <c r="D452" s="337">
        <v>0</v>
      </c>
      <c r="E452" s="337">
        <v>0</v>
      </c>
      <c r="F452" s="337">
        <v>0</v>
      </c>
      <c r="G452" s="391" t="s">
        <v>1104</v>
      </c>
      <c r="H452" s="334"/>
      <c r="I452" s="331"/>
      <c r="J452" s="359"/>
      <c r="K452" s="359"/>
      <c r="L452" s="359"/>
      <c r="M452" s="359"/>
      <c r="N452" s="332"/>
      <c r="O452" s="333"/>
      <c r="P452" s="331">
        <v>0</v>
      </c>
      <c r="Q452" s="332"/>
      <c r="R452" s="334"/>
      <c r="S452" s="335"/>
      <c r="T452" s="335"/>
      <c r="U452" s="335"/>
      <c r="V452" s="335"/>
      <c r="W452" s="335"/>
      <c r="X452" s="335"/>
      <c r="Y452" s="1352">
        <f t="shared" si="42"/>
        <v>0</v>
      </c>
      <c r="Z452" s="1365">
        <f t="shared" si="43"/>
        <v>0</v>
      </c>
      <c r="AA452" s="335">
        <f t="shared" si="44"/>
        <v>0</v>
      </c>
      <c r="AB452" s="335">
        <f t="shared" si="45"/>
        <v>0</v>
      </c>
      <c r="AC452" s="335">
        <f t="shared" si="46"/>
        <v>0</v>
      </c>
      <c r="AD452" s="335">
        <f t="shared" si="47"/>
        <v>0</v>
      </c>
      <c r="AE452" s="335">
        <f t="shared" si="48"/>
        <v>0</v>
      </c>
      <c r="AF452" s="423" t="s">
        <v>1105</v>
      </c>
      <c r="AG452" s="837"/>
      <c r="AH452" s="744">
        <f>SUM(Y452:Y535)</f>
        <v>31637147.060000002</v>
      </c>
      <c r="AI452" s="292" t="s">
        <v>2271</v>
      </c>
      <c r="AK452" s="300"/>
      <c r="AS452" s="452"/>
    </row>
    <row r="453" spans="1:45" s="299" customFormat="1" ht="27.6">
      <c r="A453" s="353">
        <v>320</v>
      </c>
      <c r="B453" s="352">
        <v>100</v>
      </c>
      <c r="C453" s="352"/>
      <c r="D453" s="352"/>
      <c r="E453" s="352"/>
      <c r="F453" s="352"/>
      <c r="G453" s="323" t="s">
        <v>1106</v>
      </c>
      <c r="H453" s="334"/>
      <c r="I453" s="331"/>
      <c r="J453" s="359"/>
      <c r="K453" s="359"/>
      <c r="L453" s="359"/>
      <c r="M453" s="359"/>
      <c r="N453" s="332"/>
      <c r="O453" s="333"/>
      <c r="P453" s="331">
        <v>0</v>
      </c>
      <c r="Q453" s="332"/>
      <c r="R453" s="334"/>
      <c r="S453" s="331"/>
      <c r="T453" s="331"/>
      <c r="U453" s="331"/>
      <c r="V453" s="331"/>
      <c r="W453" s="331"/>
      <c r="X453" s="331"/>
      <c r="Y453" s="1352">
        <f t="shared" si="42"/>
        <v>0</v>
      </c>
      <c r="Z453" s="1353">
        <f t="shared" si="43"/>
        <v>0</v>
      </c>
      <c r="AA453" s="331">
        <f t="shared" si="44"/>
        <v>0</v>
      </c>
      <c r="AB453" s="331">
        <f t="shared" si="45"/>
        <v>0</v>
      </c>
      <c r="AC453" s="331">
        <f t="shared" si="46"/>
        <v>0</v>
      </c>
      <c r="AD453" s="331">
        <f t="shared" si="47"/>
        <v>0</v>
      </c>
      <c r="AE453" s="331">
        <f t="shared" si="48"/>
        <v>0</v>
      </c>
      <c r="AF453" s="355" t="s">
        <v>1107</v>
      </c>
      <c r="AG453" s="838"/>
      <c r="AH453" s="744"/>
      <c r="AI453" s="292"/>
      <c r="AJ453" s="742"/>
      <c r="AK453" s="300"/>
      <c r="AS453" s="452"/>
    </row>
    <row r="454" spans="1:45" s="299" customFormat="1" ht="27.6">
      <c r="A454" s="353">
        <v>320</v>
      </c>
      <c r="B454" s="352">
        <v>100</v>
      </c>
      <c r="C454" s="352">
        <v>100</v>
      </c>
      <c r="D454" s="352"/>
      <c r="E454" s="352"/>
      <c r="F454" s="352"/>
      <c r="G454" s="323" t="s">
        <v>1108</v>
      </c>
      <c r="H454" s="334"/>
      <c r="I454" s="331"/>
      <c r="J454" s="359"/>
      <c r="K454" s="359"/>
      <c r="L454" s="359"/>
      <c r="M454" s="359"/>
      <c r="N454" s="332"/>
      <c r="O454" s="333"/>
      <c r="P454" s="331">
        <v>0</v>
      </c>
      <c r="Q454" s="332"/>
      <c r="R454" s="334"/>
      <c r="S454" s="331"/>
      <c r="T454" s="331"/>
      <c r="U454" s="331"/>
      <c r="V454" s="331"/>
      <c r="W454" s="331"/>
      <c r="X454" s="331"/>
      <c r="Y454" s="1352">
        <f t="shared" si="42"/>
        <v>0</v>
      </c>
      <c r="Z454" s="1353">
        <f t="shared" si="43"/>
        <v>0</v>
      </c>
      <c r="AA454" s="331">
        <f t="shared" si="44"/>
        <v>0</v>
      </c>
      <c r="AB454" s="331">
        <f t="shared" si="45"/>
        <v>0</v>
      </c>
      <c r="AC454" s="331">
        <f t="shared" si="46"/>
        <v>0</v>
      </c>
      <c r="AD454" s="331">
        <f t="shared" si="47"/>
        <v>0</v>
      </c>
      <c r="AE454" s="331">
        <f t="shared" si="48"/>
        <v>0</v>
      </c>
      <c r="AF454" s="355" t="s">
        <v>1109</v>
      </c>
      <c r="AG454" s="838"/>
      <c r="AH454" s="744"/>
      <c r="AI454" s="292"/>
      <c r="AK454" s="300"/>
      <c r="AS454" s="452"/>
    </row>
    <row r="455" spans="1:45" s="299" customFormat="1" ht="27.6">
      <c r="A455" s="353">
        <v>320</v>
      </c>
      <c r="B455" s="352">
        <v>100</v>
      </c>
      <c r="C455" s="352">
        <v>100</v>
      </c>
      <c r="D455" s="352">
        <v>100</v>
      </c>
      <c r="E455" s="352"/>
      <c r="F455" s="352"/>
      <c r="G455" s="323" t="s">
        <v>1110</v>
      </c>
      <c r="H455" s="334"/>
      <c r="I455" s="331"/>
      <c r="J455" s="359"/>
      <c r="K455" s="359"/>
      <c r="L455" s="359"/>
      <c r="M455" s="359"/>
      <c r="N455" s="332"/>
      <c r="O455" s="333"/>
      <c r="P455" s="331">
        <v>0</v>
      </c>
      <c r="Q455" s="332"/>
      <c r="R455" s="334"/>
      <c r="S455" s="331"/>
      <c r="T455" s="331"/>
      <c r="U455" s="331"/>
      <c r="V455" s="331"/>
      <c r="W455" s="331"/>
      <c r="X455" s="331"/>
      <c r="Y455" s="1352">
        <f t="shared" ref="Y455:Y518" si="49">+H455+O455+R455</f>
        <v>0</v>
      </c>
      <c r="Z455" s="1353">
        <f t="shared" ref="Z455:Z518" si="50">+I455+S455</f>
        <v>0</v>
      </c>
      <c r="AA455" s="331">
        <f t="shared" ref="AA455:AA518" si="51">+J455+T455</f>
        <v>0</v>
      </c>
      <c r="AB455" s="331">
        <f t="shared" ref="AB455:AB518" si="52">+K455+P455+U455</f>
        <v>0</v>
      </c>
      <c r="AC455" s="331">
        <f t="shared" ref="AC455:AC518" si="53">+L455+V455</f>
        <v>0</v>
      </c>
      <c r="AD455" s="331">
        <f t="shared" ref="AD455:AD518" si="54">+M455+W455</f>
        <v>0</v>
      </c>
      <c r="AE455" s="331">
        <f t="shared" ref="AE455:AE518" si="55">+N455+X455+Q455</f>
        <v>0</v>
      </c>
      <c r="AF455" s="355" t="s">
        <v>1111</v>
      </c>
      <c r="AG455" s="838"/>
      <c r="AH455" s="744"/>
      <c r="AI455" s="292"/>
      <c r="AK455" s="300"/>
      <c r="AS455" s="452"/>
    </row>
    <row r="456" spans="1:45" s="299" customFormat="1">
      <c r="A456" s="353">
        <v>320</v>
      </c>
      <c r="B456" s="352">
        <v>100</v>
      </c>
      <c r="C456" s="352">
        <v>100</v>
      </c>
      <c r="D456" s="352">
        <v>100</v>
      </c>
      <c r="E456" s="357">
        <v>10</v>
      </c>
      <c r="F456" s="357"/>
      <c r="G456" s="409" t="s">
        <v>1112</v>
      </c>
      <c r="H456" s="329"/>
      <c r="I456" s="326"/>
      <c r="J456" s="358"/>
      <c r="K456" s="358"/>
      <c r="L456" s="358"/>
      <c r="M456" s="358"/>
      <c r="N456" s="327"/>
      <c r="O456" s="328"/>
      <c r="P456" s="326">
        <v>0</v>
      </c>
      <c r="Q456" s="327"/>
      <c r="R456" s="313">
        <v>6842201.9100000001</v>
      </c>
      <c r="S456" s="311">
        <v>8262.77</v>
      </c>
      <c r="T456" s="311"/>
      <c r="U456" s="311">
        <v>6840894.1500000004</v>
      </c>
      <c r="V456" s="311">
        <v>55074.25</v>
      </c>
      <c r="W456" s="311">
        <v>4268.5</v>
      </c>
      <c r="X456" s="311">
        <v>6576374</v>
      </c>
      <c r="Y456" s="1350">
        <f t="shared" si="49"/>
        <v>6842201.9100000001</v>
      </c>
      <c r="Z456" s="1357">
        <f t="shared" si="50"/>
        <v>8262.77</v>
      </c>
      <c r="AA456" s="311">
        <f t="shared" si="51"/>
        <v>0</v>
      </c>
      <c r="AB456" s="311">
        <f t="shared" si="52"/>
        <v>6840894.1500000004</v>
      </c>
      <c r="AC456" s="311">
        <f t="shared" si="53"/>
        <v>55074.25</v>
      </c>
      <c r="AD456" s="311">
        <f t="shared" si="54"/>
        <v>4268.5</v>
      </c>
      <c r="AE456" s="311">
        <f t="shared" si="55"/>
        <v>6576374</v>
      </c>
      <c r="AF456" s="355"/>
      <c r="AG456" s="838"/>
      <c r="AH456" s="744"/>
      <c r="AI456" s="292"/>
      <c r="AK456" s="300"/>
      <c r="AS456" s="452"/>
    </row>
    <row r="457" spans="1:45" s="299" customFormat="1">
      <c r="A457" s="353">
        <v>320</v>
      </c>
      <c r="B457" s="352">
        <v>100</v>
      </c>
      <c r="C457" s="352">
        <v>100</v>
      </c>
      <c r="D457" s="352">
        <v>100</v>
      </c>
      <c r="E457" s="357">
        <v>20</v>
      </c>
      <c r="F457" s="357"/>
      <c r="G457" s="409" t="s">
        <v>1113</v>
      </c>
      <c r="H457" s="329"/>
      <c r="I457" s="326"/>
      <c r="J457" s="358"/>
      <c r="K457" s="358"/>
      <c r="L457" s="358"/>
      <c r="M457" s="358"/>
      <c r="N457" s="327"/>
      <c r="O457" s="328"/>
      <c r="P457" s="326">
        <v>0</v>
      </c>
      <c r="Q457" s="327"/>
      <c r="R457" s="313">
        <v>2362708.4300000002</v>
      </c>
      <c r="S457" s="311">
        <v>1456.2</v>
      </c>
      <c r="T457" s="311"/>
      <c r="U457" s="311">
        <v>2256792.8800000004</v>
      </c>
      <c r="V457" s="311">
        <v>1304.06</v>
      </c>
      <c r="W457" s="311">
        <v>1500</v>
      </c>
      <c r="X457" s="311">
        <v>2218981</v>
      </c>
      <c r="Y457" s="1350">
        <f t="shared" si="49"/>
        <v>2362708.4300000002</v>
      </c>
      <c r="Z457" s="1357">
        <f t="shared" si="50"/>
        <v>1456.2</v>
      </c>
      <c r="AA457" s="311">
        <f t="shared" si="51"/>
        <v>0</v>
      </c>
      <c r="AB457" s="311">
        <f t="shared" si="52"/>
        <v>2256792.8800000004</v>
      </c>
      <c r="AC457" s="311">
        <f t="shared" si="53"/>
        <v>1304.06</v>
      </c>
      <c r="AD457" s="311">
        <f t="shared" si="54"/>
        <v>1500</v>
      </c>
      <c r="AE457" s="311">
        <f t="shared" si="55"/>
        <v>2218981</v>
      </c>
      <c r="AF457" s="355"/>
      <c r="AG457" s="838"/>
      <c r="AH457" s="744"/>
      <c r="AI457" s="292"/>
      <c r="AK457" s="300"/>
      <c r="AS457" s="452"/>
    </row>
    <row r="458" spans="1:45" s="299" customFormat="1">
      <c r="A458" s="353">
        <v>320</v>
      </c>
      <c r="B458" s="352">
        <v>100</v>
      </c>
      <c r="C458" s="352">
        <v>100</v>
      </c>
      <c r="D458" s="352">
        <v>100</v>
      </c>
      <c r="E458" s="352">
        <v>30</v>
      </c>
      <c r="F458" s="352"/>
      <c r="G458" s="411" t="s">
        <v>1114</v>
      </c>
      <c r="H458" s="334"/>
      <c r="I458" s="331"/>
      <c r="J458" s="359"/>
      <c r="K458" s="359"/>
      <c r="L458" s="359"/>
      <c r="M458" s="359"/>
      <c r="N458" s="332"/>
      <c r="O458" s="333"/>
      <c r="P458" s="331">
        <v>0</v>
      </c>
      <c r="Q458" s="332"/>
      <c r="R458" s="531"/>
      <c r="S458" s="415"/>
      <c r="T458" s="415"/>
      <c r="U458" s="415">
        <v>0</v>
      </c>
      <c r="V458" s="415"/>
      <c r="W458" s="415"/>
      <c r="X458" s="415">
        <v>0</v>
      </c>
      <c r="Y458" s="1352">
        <f t="shared" si="49"/>
        <v>0</v>
      </c>
      <c r="Z458" s="1366">
        <f t="shared" si="50"/>
        <v>0</v>
      </c>
      <c r="AA458" s="415">
        <f t="shared" si="51"/>
        <v>0</v>
      </c>
      <c r="AB458" s="415">
        <f t="shared" si="52"/>
        <v>0</v>
      </c>
      <c r="AC458" s="415">
        <f t="shared" si="53"/>
        <v>0</v>
      </c>
      <c r="AD458" s="415">
        <f t="shared" si="54"/>
        <v>0</v>
      </c>
      <c r="AE458" s="415">
        <f t="shared" si="55"/>
        <v>0</v>
      </c>
      <c r="AF458" s="355"/>
      <c r="AG458" s="838"/>
      <c r="AH458" s="744"/>
      <c r="AI458" s="292"/>
      <c r="AK458" s="300"/>
      <c r="AS458" s="452"/>
    </row>
    <row r="459" spans="1:45" s="299" customFormat="1">
      <c r="A459" s="353">
        <v>320</v>
      </c>
      <c r="B459" s="352">
        <v>100</v>
      </c>
      <c r="C459" s="352">
        <v>100</v>
      </c>
      <c r="D459" s="352">
        <v>100</v>
      </c>
      <c r="E459" s="352">
        <v>30</v>
      </c>
      <c r="F459" s="357">
        <v>5</v>
      </c>
      <c r="G459" s="409" t="s">
        <v>1115</v>
      </c>
      <c r="H459" s="329"/>
      <c r="I459" s="326"/>
      <c r="J459" s="358"/>
      <c r="K459" s="358"/>
      <c r="L459" s="358"/>
      <c r="M459" s="358"/>
      <c r="N459" s="327"/>
      <c r="O459" s="328"/>
      <c r="P459" s="326">
        <v>0</v>
      </c>
      <c r="Q459" s="327"/>
      <c r="R459" s="313">
        <v>509565.57</v>
      </c>
      <c r="S459" s="311">
        <v>45162.71</v>
      </c>
      <c r="T459" s="311"/>
      <c r="U459" s="311">
        <v>567521.23</v>
      </c>
      <c r="V459" s="311">
        <v>45091.38</v>
      </c>
      <c r="W459" s="311"/>
      <c r="X459" s="311">
        <v>276205</v>
      </c>
      <c r="Y459" s="1350">
        <f t="shared" si="49"/>
        <v>509565.57</v>
      </c>
      <c r="Z459" s="1357">
        <f t="shared" si="50"/>
        <v>45162.71</v>
      </c>
      <c r="AA459" s="311">
        <f t="shared" si="51"/>
        <v>0</v>
      </c>
      <c r="AB459" s="311">
        <f t="shared" si="52"/>
        <v>567521.23</v>
      </c>
      <c r="AC459" s="311">
        <f t="shared" si="53"/>
        <v>45091.38</v>
      </c>
      <c r="AD459" s="311">
        <f t="shared" si="54"/>
        <v>0</v>
      </c>
      <c r="AE459" s="311">
        <f t="shared" si="55"/>
        <v>276205</v>
      </c>
      <c r="AF459" s="355"/>
      <c r="AG459" s="838"/>
      <c r="AH459" s="744"/>
      <c r="AI459" s="292"/>
      <c r="AK459" s="300"/>
      <c r="AS459" s="452"/>
    </row>
    <row r="460" spans="1:45" s="299" customFormat="1">
      <c r="A460" s="353">
        <v>320</v>
      </c>
      <c r="B460" s="352">
        <v>100</v>
      </c>
      <c r="C460" s="352">
        <v>100</v>
      </c>
      <c r="D460" s="352">
        <v>100</v>
      </c>
      <c r="E460" s="352">
        <v>30</v>
      </c>
      <c r="F460" s="357">
        <v>10</v>
      </c>
      <c r="G460" s="409" t="s">
        <v>1116</v>
      </c>
      <c r="H460" s="329"/>
      <c r="I460" s="326"/>
      <c r="J460" s="358"/>
      <c r="K460" s="358"/>
      <c r="L460" s="358"/>
      <c r="M460" s="358"/>
      <c r="N460" s="327"/>
      <c r="O460" s="328"/>
      <c r="P460" s="326">
        <v>0</v>
      </c>
      <c r="Q460" s="327"/>
      <c r="R460" s="313"/>
      <c r="S460" s="311"/>
      <c r="T460" s="311"/>
      <c r="U460" s="311">
        <v>5103.54</v>
      </c>
      <c r="V460" s="311"/>
      <c r="W460" s="311"/>
      <c r="X460" s="311">
        <v>0</v>
      </c>
      <c r="Y460" s="1350">
        <f t="shared" si="49"/>
        <v>0</v>
      </c>
      <c r="Z460" s="1357">
        <f t="shared" si="50"/>
        <v>0</v>
      </c>
      <c r="AA460" s="311">
        <f t="shared" si="51"/>
        <v>0</v>
      </c>
      <c r="AB460" s="311">
        <f t="shared" si="52"/>
        <v>5103.54</v>
      </c>
      <c r="AC460" s="311">
        <f t="shared" si="53"/>
        <v>0</v>
      </c>
      <c r="AD460" s="311">
        <f t="shared" si="54"/>
        <v>0</v>
      </c>
      <c r="AE460" s="311">
        <f t="shared" si="55"/>
        <v>0</v>
      </c>
      <c r="AF460" s="355"/>
      <c r="AG460" s="838"/>
      <c r="AH460" s="744"/>
      <c r="AI460" s="292"/>
      <c r="AK460" s="300"/>
      <c r="AS460" s="452"/>
    </row>
    <row r="461" spans="1:45" s="299" customFormat="1">
      <c r="A461" s="353">
        <v>320</v>
      </c>
      <c r="B461" s="352">
        <v>100</v>
      </c>
      <c r="C461" s="352">
        <v>100</v>
      </c>
      <c r="D461" s="352">
        <v>100</v>
      </c>
      <c r="E461" s="352">
        <v>40</v>
      </c>
      <c r="F461" s="352"/>
      <c r="G461" s="411" t="s">
        <v>1117</v>
      </c>
      <c r="H461" s="334"/>
      <c r="I461" s="331"/>
      <c r="J461" s="359"/>
      <c r="K461" s="359"/>
      <c r="L461" s="359"/>
      <c r="M461" s="359"/>
      <c r="N461" s="332"/>
      <c r="O461" s="333"/>
      <c r="P461" s="331">
        <v>0</v>
      </c>
      <c r="Q461" s="332"/>
      <c r="R461" s="531"/>
      <c r="S461" s="415"/>
      <c r="T461" s="415"/>
      <c r="U461" s="415">
        <v>0</v>
      </c>
      <c r="V461" s="415"/>
      <c r="W461" s="415"/>
      <c r="X461" s="415">
        <v>0</v>
      </c>
      <c r="Y461" s="1352">
        <f t="shared" si="49"/>
        <v>0</v>
      </c>
      <c r="Z461" s="1366">
        <f t="shared" si="50"/>
        <v>0</v>
      </c>
      <c r="AA461" s="415">
        <f t="shared" si="51"/>
        <v>0</v>
      </c>
      <c r="AB461" s="415">
        <f t="shared" si="52"/>
        <v>0</v>
      </c>
      <c r="AC461" s="415">
        <f t="shared" si="53"/>
        <v>0</v>
      </c>
      <c r="AD461" s="415">
        <f t="shared" si="54"/>
        <v>0</v>
      </c>
      <c r="AE461" s="415">
        <f t="shared" si="55"/>
        <v>0</v>
      </c>
      <c r="AF461" s="355"/>
      <c r="AG461" s="838"/>
      <c r="AH461" s="744"/>
      <c r="AI461" s="292"/>
      <c r="AK461" s="300"/>
      <c r="AS461" s="452"/>
    </row>
    <row r="462" spans="1:45" s="299" customFormat="1">
      <c r="A462" s="353">
        <v>320</v>
      </c>
      <c r="B462" s="352">
        <v>100</v>
      </c>
      <c r="C462" s="352">
        <v>100</v>
      </c>
      <c r="D462" s="352">
        <v>100</v>
      </c>
      <c r="E462" s="352">
        <v>40</v>
      </c>
      <c r="F462" s="357">
        <v>5</v>
      </c>
      <c r="G462" s="409" t="s">
        <v>1118</v>
      </c>
      <c r="H462" s="329"/>
      <c r="I462" s="326"/>
      <c r="J462" s="358"/>
      <c r="K462" s="358"/>
      <c r="L462" s="358"/>
      <c r="M462" s="358"/>
      <c r="N462" s="327"/>
      <c r="O462" s="328"/>
      <c r="P462" s="326">
        <v>0</v>
      </c>
      <c r="Q462" s="327"/>
      <c r="R462" s="313">
        <v>512062.2</v>
      </c>
      <c r="S462" s="311">
        <v>6279.29</v>
      </c>
      <c r="T462" s="311"/>
      <c r="U462" s="311">
        <v>456620.70999999996</v>
      </c>
      <c r="V462" s="311"/>
      <c r="W462" s="311"/>
      <c r="X462" s="311">
        <v>382735</v>
      </c>
      <c r="Y462" s="1350">
        <f t="shared" si="49"/>
        <v>512062.2</v>
      </c>
      <c r="Z462" s="1357">
        <f t="shared" si="50"/>
        <v>6279.29</v>
      </c>
      <c r="AA462" s="311">
        <f t="shared" si="51"/>
        <v>0</v>
      </c>
      <c r="AB462" s="311">
        <f t="shared" si="52"/>
        <v>456620.70999999996</v>
      </c>
      <c r="AC462" s="311">
        <f t="shared" si="53"/>
        <v>0</v>
      </c>
      <c r="AD462" s="311">
        <f t="shared" si="54"/>
        <v>0</v>
      </c>
      <c r="AE462" s="311">
        <f t="shared" si="55"/>
        <v>382735</v>
      </c>
      <c r="AF462" s="355"/>
      <c r="AG462" s="838"/>
      <c r="AH462" s="744"/>
      <c r="AI462" s="292"/>
      <c r="AK462" s="300"/>
      <c r="AS462" s="452"/>
    </row>
    <row r="463" spans="1:45" s="299" customFormat="1">
      <c r="A463" s="353">
        <v>320</v>
      </c>
      <c r="B463" s="352">
        <v>100</v>
      </c>
      <c r="C463" s="352">
        <v>100</v>
      </c>
      <c r="D463" s="352">
        <v>100</v>
      </c>
      <c r="E463" s="352">
        <v>40</v>
      </c>
      <c r="F463" s="357">
        <v>10</v>
      </c>
      <c r="G463" s="409" t="s">
        <v>1119</v>
      </c>
      <c r="H463" s="329"/>
      <c r="I463" s="326"/>
      <c r="J463" s="358"/>
      <c r="K463" s="358"/>
      <c r="L463" s="358"/>
      <c r="M463" s="358"/>
      <c r="N463" s="327"/>
      <c r="O463" s="328"/>
      <c r="P463" s="326">
        <v>0</v>
      </c>
      <c r="Q463" s="327"/>
      <c r="R463" s="313"/>
      <c r="S463" s="311"/>
      <c r="T463" s="311"/>
      <c r="U463" s="311">
        <v>0</v>
      </c>
      <c r="V463" s="311"/>
      <c r="W463" s="311"/>
      <c r="X463" s="311">
        <v>0</v>
      </c>
      <c r="Y463" s="1350">
        <f t="shared" si="49"/>
        <v>0</v>
      </c>
      <c r="Z463" s="1357">
        <f t="shared" si="50"/>
        <v>0</v>
      </c>
      <c r="AA463" s="311">
        <f t="shared" si="51"/>
        <v>0</v>
      </c>
      <c r="AB463" s="311">
        <f t="shared" si="52"/>
        <v>0</v>
      </c>
      <c r="AC463" s="311">
        <f t="shared" si="53"/>
        <v>0</v>
      </c>
      <c r="AD463" s="311">
        <f t="shared" si="54"/>
        <v>0</v>
      </c>
      <c r="AE463" s="311">
        <f t="shared" si="55"/>
        <v>0</v>
      </c>
      <c r="AF463" s="355"/>
      <c r="AG463" s="838"/>
      <c r="AH463" s="744"/>
      <c r="AI463" s="292"/>
      <c r="AK463" s="300"/>
      <c r="AS463" s="452"/>
    </row>
    <row r="464" spans="1:45" s="299" customFormat="1">
      <c r="A464" s="353">
        <v>320</v>
      </c>
      <c r="B464" s="352">
        <v>100</v>
      </c>
      <c r="C464" s="352">
        <v>100</v>
      </c>
      <c r="D464" s="352">
        <v>100</v>
      </c>
      <c r="E464" s="352">
        <v>50</v>
      </c>
      <c r="F464" s="352"/>
      <c r="G464" s="411" t="s">
        <v>1120</v>
      </c>
      <c r="H464" s="334"/>
      <c r="I464" s="331"/>
      <c r="J464" s="359"/>
      <c r="K464" s="359"/>
      <c r="L464" s="359"/>
      <c r="M464" s="359"/>
      <c r="N464" s="332"/>
      <c r="O464" s="333"/>
      <c r="P464" s="331">
        <v>0</v>
      </c>
      <c r="Q464" s="332"/>
      <c r="R464" s="531"/>
      <c r="S464" s="415"/>
      <c r="T464" s="415"/>
      <c r="U464" s="415">
        <v>0</v>
      </c>
      <c r="V464" s="415"/>
      <c r="W464" s="415"/>
      <c r="X464" s="415">
        <v>0</v>
      </c>
      <c r="Y464" s="1352">
        <f t="shared" si="49"/>
        <v>0</v>
      </c>
      <c r="Z464" s="1366">
        <f t="shared" si="50"/>
        <v>0</v>
      </c>
      <c r="AA464" s="415">
        <f t="shared" si="51"/>
        <v>0</v>
      </c>
      <c r="AB464" s="415">
        <f t="shared" si="52"/>
        <v>0</v>
      </c>
      <c r="AC464" s="415">
        <f t="shared" si="53"/>
        <v>0</v>
      </c>
      <c r="AD464" s="415">
        <f t="shared" si="54"/>
        <v>0</v>
      </c>
      <c r="AE464" s="415">
        <f t="shared" si="55"/>
        <v>0</v>
      </c>
      <c r="AF464" s="355"/>
      <c r="AG464" s="838"/>
      <c r="AH464" s="744"/>
      <c r="AI464" s="292"/>
      <c r="AK464" s="300"/>
      <c r="AS464" s="452"/>
    </row>
    <row r="465" spans="1:45" s="299" customFormat="1">
      <c r="A465" s="353">
        <v>320</v>
      </c>
      <c r="B465" s="352">
        <v>100</v>
      </c>
      <c r="C465" s="352">
        <v>100</v>
      </c>
      <c r="D465" s="352">
        <v>100</v>
      </c>
      <c r="E465" s="352">
        <v>50</v>
      </c>
      <c r="F465" s="357">
        <v>5</v>
      </c>
      <c r="G465" s="409" t="s">
        <v>1121</v>
      </c>
      <c r="H465" s="329"/>
      <c r="I465" s="326"/>
      <c r="J465" s="358"/>
      <c r="K465" s="358"/>
      <c r="L465" s="358"/>
      <c r="M465" s="358"/>
      <c r="N465" s="327"/>
      <c r="O465" s="328"/>
      <c r="P465" s="326">
        <v>0</v>
      </c>
      <c r="Q465" s="327"/>
      <c r="R465" s="313"/>
      <c r="S465" s="311"/>
      <c r="T465" s="311"/>
      <c r="U465" s="311">
        <v>0</v>
      </c>
      <c r="V465" s="311"/>
      <c r="W465" s="311"/>
      <c r="X465" s="311">
        <v>0</v>
      </c>
      <c r="Y465" s="1350">
        <f t="shared" si="49"/>
        <v>0</v>
      </c>
      <c r="Z465" s="1357">
        <f t="shared" si="50"/>
        <v>0</v>
      </c>
      <c r="AA465" s="311">
        <f t="shared" si="51"/>
        <v>0</v>
      </c>
      <c r="AB465" s="311">
        <f t="shared" si="52"/>
        <v>0</v>
      </c>
      <c r="AC465" s="311">
        <f t="shared" si="53"/>
        <v>0</v>
      </c>
      <c r="AD465" s="311">
        <f t="shared" si="54"/>
        <v>0</v>
      </c>
      <c r="AE465" s="311">
        <f t="shared" si="55"/>
        <v>0</v>
      </c>
      <c r="AF465" s="355"/>
      <c r="AG465" s="838"/>
      <c r="AH465" s="744"/>
      <c r="AI465" s="292"/>
      <c r="AK465" s="300"/>
      <c r="AS465" s="452"/>
    </row>
    <row r="466" spans="1:45" s="299" customFormat="1">
      <c r="A466" s="353">
        <v>320</v>
      </c>
      <c r="B466" s="352">
        <v>100</v>
      </c>
      <c r="C466" s="352">
        <v>100</v>
      </c>
      <c r="D466" s="352">
        <v>100</v>
      </c>
      <c r="E466" s="352">
        <v>50</v>
      </c>
      <c r="F466" s="357">
        <v>10</v>
      </c>
      <c r="G466" s="409" t="s">
        <v>1122</v>
      </c>
      <c r="H466" s="329"/>
      <c r="I466" s="326"/>
      <c r="J466" s="358"/>
      <c r="K466" s="358"/>
      <c r="L466" s="358"/>
      <c r="M466" s="358"/>
      <c r="N466" s="327"/>
      <c r="O466" s="328"/>
      <c r="P466" s="326">
        <v>0</v>
      </c>
      <c r="Q466" s="327"/>
      <c r="R466" s="313"/>
      <c r="S466" s="311"/>
      <c r="T466" s="311"/>
      <c r="U466" s="311">
        <v>0</v>
      </c>
      <c r="V466" s="311"/>
      <c r="W466" s="311"/>
      <c r="X466" s="311">
        <v>0</v>
      </c>
      <c r="Y466" s="1350">
        <f t="shared" si="49"/>
        <v>0</v>
      </c>
      <c r="Z466" s="1357">
        <f t="shared" si="50"/>
        <v>0</v>
      </c>
      <c r="AA466" s="311">
        <f t="shared" si="51"/>
        <v>0</v>
      </c>
      <c r="AB466" s="311">
        <f t="shared" si="52"/>
        <v>0</v>
      </c>
      <c r="AC466" s="311">
        <f t="shared" si="53"/>
        <v>0</v>
      </c>
      <c r="AD466" s="311">
        <f t="shared" si="54"/>
        <v>0</v>
      </c>
      <c r="AE466" s="311">
        <f t="shared" si="55"/>
        <v>0</v>
      </c>
      <c r="AF466" s="355"/>
      <c r="AG466" s="838"/>
      <c r="AH466" s="744"/>
      <c r="AI466" s="292"/>
      <c r="AK466" s="300"/>
      <c r="AS466" s="452"/>
    </row>
    <row r="467" spans="1:45" s="299" customFormat="1">
      <c r="A467" s="353">
        <v>320</v>
      </c>
      <c r="B467" s="352">
        <v>100</v>
      </c>
      <c r="C467" s="352">
        <v>100</v>
      </c>
      <c r="D467" s="352">
        <v>100</v>
      </c>
      <c r="E467" s="352">
        <v>50</v>
      </c>
      <c r="F467" s="357">
        <v>15</v>
      </c>
      <c r="G467" s="409" t="s">
        <v>1123</v>
      </c>
      <c r="H467" s="329"/>
      <c r="I467" s="326"/>
      <c r="J467" s="358"/>
      <c r="K467" s="358"/>
      <c r="L467" s="358"/>
      <c r="M467" s="358"/>
      <c r="N467" s="327"/>
      <c r="O467" s="328"/>
      <c r="P467" s="326">
        <v>0</v>
      </c>
      <c r="Q467" s="327"/>
      <c r="R467" s="532">
        <v>12802.46</v>
      </c>
      <c r="S467" s="413"/>
      <c r="T467" s="413"/>
      <c r="U467" s="413">
        <v>9233.4499999999989</v>
      </c>
      <c r="V467" s="413"/>
      <c r="W467" s="413"/>
      <c r="X467" s="413">
        <v>25000</v>
      </c>
      <c r="Y467" s="1350">
        <f t="shared" si="49"/>
        <v>12802.46</v>
      </c>
      <c r="Z467" s="1367">
        <f t="shared" si="50"/>
        <v>0</v>
      </c>
      <c r="AA467" s="413">
        <f t="shared" si="51"/>
        <v>0</v>
      </c>
      <c r="AB467" s="413">
        <f t="shared" si="52"/>
        <v>9233.4499999999989</v>
      </c>
      <c r="AC467" s="413">
        <f t="shared" si="53"/>
        <v>0</v>
      </c>
      <c r="AD467" s="413">
        <f t="shared" si="54"/>
        <v>0</v>
      </c>
      <c r="AE467" s="413">
        <f t="shared" si="55"/>
        <v>25000</v>
      </c>
      <c r="AF467" s="355"/>
      <c r="AG467" s="838"/>
      <c r="AH467" s="744"/>
      <c r="AI467" s="292"/>
      <c r="AK467" s="300"/>
      <c r="AS467" s="452"/>
    </row>
    <row r="468" spans="1:45" s="299" customFormat="1">
      <c r="A468" s="353">
        <v>320</v>
      </c>
      <c r="B468" s="352">
        <v>100</v>
      </c>
      <c r="C468" s="352">
        <v>100</v>
      </c>
      <c r="D468" s="352">
        <v>100</v>
      </c>
      <c r="E468" s="352">
        <v>50</v>
      </c>
      <c r="F468" s="357">
        <v>20</v>
      </c>
      <c r="G468" s="409" t="s">
        <v>1124</v>
      </c>
      <c r="H468" s="329"/>
      <c r="I468" s="326"/>
      <c r="J468" s="358"/>
      <c r="K468" s="358"/>
      <c r="L468" s="358"/>
      <c r="M468" s="358"/>
      <c r="N468" s="327"/>
      <c r="O468" s="328"/>
      <c r="P468" s="326">
        <v>0</v>
      </c>
      <c r="Q468" s="327"/>
      <c r="R468" s="313"/>
      <c r="S468" s="311"/>
      <c r="T468" s="311"/>
      <c r="U468" s="311">
        <v>0</v>
      </c>
      <c r="V468" s="311"/>
      <c r="W468" s="311"/>
      <c r="X468" s="311">
        <v>0</v>
      </c>
      <c r="Y468" s="1350">
        <f t="shared" si="49"/>
        <v>0</v>
      </c>
      <c r="Z468" s="1357">
        <f t="shared" si="50"/>
        <v>0</v>
      </c>
      <c r="AA468" s="311">
        <f t="shared" si="51"/>
        <v>0</v>
      </c>
      <c r="AB468" s="311">
        <f t="shared" si="52"/>
        <v>0</v>
      </c>
      <c r="AC468" s="311">
        <f t="shared" si="53"/>
        <v>0</v>
      </c>
      <c r="AD468" s="311">
        <f t="shared" si="54"/>
        <v>0</v>
      </c>
      <c r="AE468" s="311">
        <f t="shared" si="55"/>
        <v>0</v>
      </c>
      <c r="AF468" s="355"/>
      <c r="AG468" s="838"/>
      <c r="AH468" s="744"/>
      <c r="AI468" s="292"/>
      <c r="AK468" s="300"/>
      <c r="AS468" s="452"/>
    </row>
    <row r="469" spans="1:45" s="299" customFormat="1">
      <c r="A469" s="353">
        <v>320</v>
      </c>
      <c r="B469" s="352">
        <v>100</v>
      </c>
      <c r="C469" s="352">
        <v>100</v>
      </c>
      <c r="D469" s="352">
        <v>100</v>
      </c>
      <c r="E469" s="352">
        <v>90</v>
      </c>
      <c r="F469" s="352"/>
      <c r="G469" s="411" t="s">
        <v>1125</v>
      </c>
      <c r="H469" s="334"/>
      <c r="I469" s="331"/>
      <c r="J469" s="359"/>
      <c r="K469" s="359"/>
      <c r="L469" s="359"/>
      <c r="M469" s="359"/>
      <c r="N469" s="332"/>
      <c r="O469" s="333"/>
      <c r="P469" s="331">
        <v>0</v>
      </c>
      <c r="Q469" s="332"/>
      <c r="R469" s="531"/>
      <c r="S469" s="415"/>
      <c r="T469" s="415"/>
      <c r="U469" s="415">
        <v>0</v>
      </c>
      <c r="V469" s="415"/>
      <c r="W469" s="415"/>
      <c r="X469" s="415">
        <v>0</v>
      </c>
      <c r="Y469" s="1352">
        <f t="shared" si="49"/>
        <v>0</v>
      </c>
      <c r="Z469" s="1366">
        <f t="shared" si="50"/>
        <v>0</v>
      </c>
      <c r="AA469" s="415">
        <f t="shared" si="51"/>
        <v>0</v>
      </c>
      <c r="AB469" s="415">
        <f t="shared" si="52"/>
        <v>0</v>
      </c>
      <c r="AC469" s="415">
        <f t="shared" si="53"/>
        <v>0</v>
      </c>
      <c r="AD469" s="415">
        <f t="shared" si="54"/>
        <v>0</v>
      </c>
      <c r="AE469" s="415">
        <f t="shared" si="55"/>
        <v>0</v>
      </c>
      <c r="AF469" s="355"/>
      <c r="AG469" s="838"/>
      <c r="AH469" s="744"/>
      <c r="AI469" s="292"/>
      <c r="AK469" s="300"/>
      <c r="AS469" s="452"/>
    </row>
    <row r="470" spans="1:45" s="299" customFormat="1">
      <c r="A470" s="353">
        <v>320</v>
      </c>
      <c r="B470" s="352">
        <v>100</v>
      </c>
      <c r="C470" s="352">
        <v>100</v>
      </c>
      <c r="D470" s="352">
        <v>100</v>
      </c>
      <c r="E470" s="352">
        <v>90</v>
      </c>
      <c r="F470" s="357">
        <v>5</v>
      </c>
      <c r="G470" s="409" t="s">
        <v>1126</v>
      </c>
      <c r="H470" s="329"/>
      <c r="I470" s="326"/>
      <c r="J470" s="358"/>
      <c r="K470" s="358"/>
      <c r="L470" s="358"/>
      <c r="M470" s="358"/>
      <c r="N470" s="327"/>
      <c r="O470" s="328"/>
      <c r="P470" s="326">
        <v>0</v>
      </c>
      <c r="Q470" s="327"/>
      <c r="R470" s="313">
        <v>2898978.58</v>
      </c>
      <c r="S470" s="311">
        <v>14443.74</v>
      </c>
      <c r="T470" s="311"/>
      <c r="U470" s="311">
        <v>2895315.16</v>
      </c>
      <c r="V470" s="311">
        <v>27108.5</v>
      </c>
      <c r="W470" s="311">
        <v>1610.57</v>
      </c>
      <c r="X470" s="311">
        <v>2675901</v>
      </c>
      <c r="Y470" s="1350">
        <f t="shared" si="49"/>
        <v>2898978.58</v>
      </c>
      <c r="Z470" s="1357">
        <f t="shared" si="50"/>
        <v>14443.74</v>
      </c>
      <c r="AA470" s="311">
        <f t="shared" si="51"/>
        <v>0</v>
      </c>
      <c r="AB470" s="311">
        <f t="shared" si="52"/>
        <v>2895315.16</v>
      </c>
      <c r="AC470" s="311">
        <f t="shared" si="53"/>
        <v>27108.5</v>
      </c>
      <c r="AD470" s="311">
        <f t="shared" si="54"/>
        <v>1610.57</v>
      </c>
      <c r="AE470" s="311">
        <f t="shared" si="55"/>
        <v>2675901</v>
      </c>
      <c r="AF470" s="355"/>
      <c r="AG470" s="838"/>
      <c r="AH470" s="744"/>
      <c r="AI470" s="292"/>
      <c r="AK470" s="300"/>
      <c r="AS470" s="452"/>
    </row>
    <row r="471" spans="1:45" s="299" customFormat="1">
      <c r="A471" s="353">
        <v>320</v>
      </c>
      <c r="B471" s="352">
        <v>100</v>
      </c>
      <c r="C471" s="352">
        <v>100</v>
      </c>
      <c r="D471" s="352">
        <v>100</v>
      </c>
      <c r="E471" s="352">
        <v>90</v>
      </c>
      <c r="F471" s="357">
        <v>10</v>
      </c>
      <c r="G471" s="409" t="s">
        <v>1127</v>
      </c>
      <c r="H471" s="329"/>
      <c r="I471" s="326"/>
      <c r="J471" s="358"/>
      <c r="K471" s="358"/>
      <c r="L471" s="358"/>
      <c r="M471" s="358"/>
      <c r="N471" s="327"/>
      <c r="O471" s="328"/>
      <c r="P471" s="326">
        <v>0</v>
      </c>
      <c r="Q471" s="327"/>
      <c r="R471" s="533"/>
      <c r="S471" s="420"/>
      <c r="T471" s="420"/>
      <c r="U471" s="420">
        <v>0</v>
      </c>
      <c r="V471" s="420"/>
      <c r="W471" s="420"/>
      <c r="X471" s="420">
        <v>0</v>
      </c>
      <c r="Y471" s="1350">
        <f t="shared" si="49"/>
        <v>0</v>
      </c>
      <c r="Z471" s="1368">
        <f t="shared" si="50"/>
        <v>0</v>
      </c>
      <c r="AA471" s="420">
        <f t="shared" si="51"/>
        <v>0</v>
      </c>
      <c r="AB471" s="420">
        <f t="shared" si="52"/>
        <v>0</v>
      </c>
      <c r="AC471" s="420">
        <f t="shared" si="53"/>
        <v>0</v>
      </c>
      <c r="AD471" s="420">
        <f t="shared" si="54"/>
        <v>0</v>
      </c>
      <c r="AE471" s="420">
        <f t="shared" si="55"/>
        <v>0</v>
      </c>
      <c r="AF471" s="355"/>
      <c r="AG471" s="838"/>
      <c r="AH471" s="744"/>
      <c r="AI471" s="292"/>
      <c r="AK471" s="300"/>
      <c r="AS471" s="452"/>
    </row>
    <row r="472" spans="1:45" s="299" customFormat="1" ht="27.6">
      <c r="A472" s="353">
        <v>320</v>
      </c>
      <c r="B472" s="352">
        <v>100</v>
      </c>
      <c r="C472" s="352">
        <v>100</v>
      </c>
      <c r="D472" s="352">
        <v>200</v>
      </c>
      <c r="E472" s="352"/>
      <c r="F472" s="352"/>
      <c r="G472" s="323" t="s">
        <v>1128</v>
      </c>
      <c r="H472" s="334"/>
      <c r="I472" s="331"/>
      <c r="J472" s="359"/>
      <c r="K472" s="359"/>
      <c r="L472" s="359"/>
      <c r="M472" s="359"/>
      <c r="N472" s="332"/>
      <c r="O472" s="333"/>
      <c r="P472" s="331">
        <v>0</v>
      </c>
      <c r="Q472" s="332"/>
      <c r="R472" s="534"/>
      <c r="S472" s="422"/>
      <c r="T472" s="422"/>
      <c r="U472" s="422">
        <v>0</v>
      </c>
      <c r="V472" s="422"/>
      <c r="W472" s="422"/>
      <c r="X472" s="422">
        <v>0</v>
      </c>
      <c r="Y472" s="1352">
        <f t="shared" si="49"/>
        <v>0</v>
      </c>
      <c r="Z472" s="1369">
        <f t="shared" si="50"/>
        <v>0</v>
      </c>
      <c r="AA472" s="422">
        <f t="shared" si="51"/>
        <v>0</v>
      </c>
      <c r="AB472" s="422">
        <f t="shared" si="52"/>
        <v>0</v>
      </c>
      <c r="AC472" s="422">
        <f t="shared" si="53"/>
        <v>0</v>
      </c>
      <c r="AD472" s="422">
        <f t="shared" si="54"/>
        <v>0</v>
      </c>
      <c r="AE472" s="422">
        <f t="shared" si="55"/>
        <v>0</v>
      </c>
      <c r="AF472" s="355" t="s">
        <v>1129</v>
      </c>
      <c r="AG472" s="838"/>
      <c r="AH472" s="744"/>
      <c r="AI472" s="292"/>
      <c r="AK472" s="300"/>
      <c r="AS472" s="452"/>
    </row>
    <row r="473" spans="1:45" s="299" customFormat="1">
      <c r="A473" s="353">
        <v>320</v>
      </c>
      <c r="B473" s="352">
        <v>100</v>
      </c>
      <c r="C473" s="352">
        <v>100</v>
      </c>
      <c r="D473" s="352">
        <v>200</v>
      </c>
      <c r="E473" s="357">
        <v>10</v>
      </c>
      <c r="F473" s="357"/>
      <c r="G473" s="409" t="s">
        <v>1112</v>
      </c>
      <c r="H473" s="329"/>
      <c r="I473" s="326"/>
      <c r="J473" s="358"/>
      <c r="K473" s="358"/>
      <c r="L473" s="358"/>
      <c r="M473" s="358"/>
      <c r="N473" s="327"/>
      <c r="O473" s="802"/>
      <c r="P473" s="418">
        <v>56081</v>
      </c>
      <c r="Q473" s="419">
        <f>56081</f>
        <v>56081</v>
      </c>
      <c r="R473" s="313">
        <v>412121.75</v>
      </c>
      <c r="S473" s="311">
        <v>47603.46</v>
      </c>
      <c r="T473" s="311"/>
      <c r="U473" s="311">
        <f>411320.93-P473</f>
        <v>355239.93</v>
      </c>
      <c r="V473" s="311">
        <v>48617.51</v>
      </c>
      <c r="W473" s="311"/>
      <c r="X473" s="311">
        <v>529130</v>
      </c>
      <c r="Y473" s="1350">
        <f t="shared" si="49"/>
        <v>412121.75</v>
      </c>
      <c r="Z473" s="1357">
        <f t="shared" si="50"/>
        <v>47603.46</v>
      </c>
      <c r="AA473" s="311">
        <f t="shared" si="51"/>
        <v>0</v>
      </c>
      <c r="AB473" s="311">
        <f t="shared" si="52"/>
        <v>411320.93</v>
      </c>
      <c r="AC473" s="311">
        <f t="shared" si="53"/>
        <v>48617.51</v>
      </c>
      <c r="AD473" s="311">
        <f t="shared" si="54"/>
        <v>0</v>
      </c>
      <c r="AE473" s="311">
        <f t="shared" si="55"/>
        <v>585211</v>
      </c>
      <c r="AF473" s="355"/>
      <c r="AG473" s="838"/>
      <c r="AH473" s="744"/>
      <c r="AI473" s="292"/>
      <c r="AK473" s="300"/>
      <c r="AS473" s="452"/>
    </row>
    <row r="474" spans="1:45" s="299" customFormat="1">
      <c r="A474" s="353">
        <v>320</v>
      </c>
      <c r="B474" s="352">
        <v>100</v>
      </c>
      <c r="C474" s="352">
        <v>100</v>
      </c>
      <c r="D474" s="352">
        <v>200</v>
      </c>
      <c r="E474" s="357">
        <v>20</v>
      </c>
      <c r="F474" s="357"/>
      <c r="G474" s="409" t="s">
        <v>1113</v>
      </c>
      <c r="H474" s="329"/>
      <c r="I474" s="326"/>
      <c r="J474" s="358"/>
      <c r="K474" s="358"/>
      <c r="L474" s="358"/>
      <c r="M474" s="358"/>
      <c r="N474" s="327"/>
      <c r="O474" s="802"/>
      <c r="P474" s="418">
        <v>23390</v>
      </c>
      <c r="Q474" s="419">
        <f>8392+14998</f>
        <v>23390</v>
      </c>
      <c r="R474" s="313">
        <v>127389.95</v>
      </c>
      <c r="S474" s="311">
        <f>10476.63+21358.62</f>
        <v>31835.25</v>
      </c>
      <c r="T474" s="311"/>
      <c r="U474" s="311">
        <f>98458.34-P474</f>
        <v>75068.34</v>
      </c>
      <c r="V474" s="311">
        <v>9752.7000000000007</v>
      </c>
      <c r="W474" s="311"/>
      <c r="X474" s="311">
        <v>123280</v>
      </c>
      <c r="Y474" s="1350">
        <f t="shared" si="49"/>
        <v>127389.95</v>
      </c>
      <c r="Z474" s="1357">
        <f t="shared" si="50"/>
        <v>31835.25</v>
      </c>
      <c r="AA474" s="311">
        <f t="shared" si="51"/>
        <v>0</v>
      </c>
      <c r="AB474" s="311">
        <f t="shared" si="52"/>
        <v>98458.34</v>
      </c>
      <c r="AC474" s="311">
        <f t="shared" si="53"/>
        <v>9752.7000000000007</v>
      </c>
      <c r="AD474" s="311">
        <f t="shared" si="54"/>
        <v>0</v>
      </c>
      <c r="AE474" s="311">
        <f t="shared" si="55"/>
        <v>146670</v>
      </c>
      <c r="AF474" s="355"/>
      <c r="AG474" s="838"/>
      <c r="AH474" s="744"/>
      <c r="AI474" s="292"/>
      <c r="AK474" s="300"/>
      <c r="AS474" s="452"/>
    </row>
    <row r="475" spans="1:45" s="299" customFormat="1">
      <c r="A475" s="353">
        <v>320</v>
      </c>
      <c r="B475" s="352">
        <v>100</v>
      </c>
      <c r="C475" s="352">
        <v>100</v>
      </c>
      <c r="D475" s="352">
        <v>200</v>
      </c>
      <c r="E475" s="352">
        <v>30</v>
      </c>
      <c r="F475" s="352"/>
      <c r="G475" s="411" t="s">
        <v>1114</v>
      </c>
      <c r="H475" s="334"/>
      <c r="I475" s="331"/>
      <c r="J475" s="359"/>
      <c r="K475" s="359"/>
      <c r="L475" s="359"/>
      <c r="M475" s="359"/>
      <c r="N475" s="332"/>
      <c r="O475" s="333"/>
      <c r="P475" s="331"/>
      <c r="Q475" s="332"/>
      <c r="R475" s="535"/>
      <c r="S475" s="421"/>
      <c r="T475" s="421"/>
      <c r="U475" s="421"/>
      <c r="V475" s="421"/>
      <c r="W475" s="421"/>
      <c r="X475" s="421">
        <v>0</v>
      </c>
      <c r="Y475" s="1352">
        <f t="shared" si="49"/>
        <v>0</v>
      </c>
      <c r="Z475" s="1370">
        <f t="shared" si="50"/>
        <v>0</v>
      </c>
      <c r="AA475" s="421">
        <f t="shared" si="51"/>
        <v>0</v>
      </c>
      <c r="AB475" s="421">
        <f t="shared" si="52"/>
        <v>0</v>
      </c>
      <c r="AC475" s="421">
        <f t="shared" si="53"/>
        <v>0</v>
      </c>
      <c r="AD475" s="421">
        <f t="shared" si="54"/>
        <v>0</v>
      </c>
      <c r="AE475" s="421">
        <f t="shared" si="55"/>
        <v>0</v>
      </c>
      <c r="AF475" s="355"/>
      <c r="AG475" s="838"/>
      <c r="AH475" s="744"/>
      <c r="AI475" s="292"/>
      <c r="AK475" s="300"/>
      <c r="AS475" s="452"/>
    </row>
    <row r="476" spans="1:45" s="299" customFormat="1">
      <c r="A476" s="353">
        <v>320</v>
      </c>
      <c r="B476" s="352">
        <v>100</v>
      </c>
      <c r="C476" s="352">
        <v>100</v>
      </c>
      <c r="D476" s="352">
        <v>200</v>
      </c>
      <c r="E476" s="352">
        <v>30</v>
      </c>
      <c r="F476" s="357">
        <v>5</v>
      </c>
      <c r="G476" s="409" t="s">
        <v>1115</v>
      </c>
      <c r="H476" s="329"/>
      <c r="I476" s="326"/>
      <c r="J476" s="358"/>
      <c r="K476" s="358"/>
      <c r="L476" s="358"/>
      <c r="M476" s="358"/>
      <c r="N476" s="327"/>
      <c r="O476" s="328"/>
      <c r="P476" s="326"/>
      <c r="Q476" s="327"/>
      <c r="R476" s="313">
        <v>72921.710000000006</v>
      </c>
      <c r="S476" s="311">
        <f>5752.75+1957.06</f>
        <v>7709.8099999999995</v>
      </c>
      <c r="T476" s="311"/>
      <c r="U476" s="311">
        <v>31869.63</v>
      </c>
      <c r="V476" s="311">
        <v>4800</v>
      </c>
      <c r="W476" s="311"/>
      <c r="X476" s="311">
        <v>20649</v>
      </c>
      <c r="Y476" s="1350">
        <f t="shared" si="49"/>
        <v>72921.710000000006</v>
      </c>
      <c r="Z476" s="1357">
        <f t="shared" si="50"/>
        <v>7709.8099999999995</v>
      </c>
      <c r="AA476" s="311">
        <f t="shared" si="51"/>
        <v>0</v>
      </c>
      <c r="AB476" s="311">
        <f t="shared" si="52"/>
        <v>31869.63</v>
      </c>
      <c r="AC476" s="311">
        <f t="shared" si="53"/>
        <v>4800</v>
      </c>
      <c r="AD476" s="311">
        <f t="shared" si="54"/>
        <v>0</v>
      </c>
      <c r="AE476" s="311">
        <f t="shared" si="55"/>
        <v>20649</v>
      </c>
      <c r="AF476" s="355"/>
      <c r="AG476" s="838"/>
      <c r="AH476" s="744"/>
      <c r="AI476" s="292"/>
      <c r="AK476" s="300"/>
      <c r="AS476" s="452"/>
    </row>
    <row r="477" spans="1:45" s="299" customFormat="1">
      <c r="A477" s="353">
        <v>320</v>
      </c>
      <c r="B477" s="352">
        <v>100</v>
      </c>
      <c r="C477" s="352">
        <v>100</v>
      </c>
      <c r="D477" s="352">
        <v>200</v>
      </c>
      <c r="E477" s="352">
        <v>30</v>
      </c>
      <c r="F477" s="357">
        <v>10</v>
      </c>
      <c r="G477" s="409" t="s">
        <v>1116</v>
      </c>
      <c r="H477" s="329"/>
      <c r="I477" s="326"/>
      <c r="J477" s="358"/>
      <c r="K477" s="358"/>
      <c r="L477" s="358"/>
      <c r="M477" s="358"/>
      <c r="N477" s="327"/>
      <c r="O477" s="328"/>
      <c r="P477" s="326"/>
      <c r="Q477" s="327"/>
      <c r="R477" s="533">
        <v>22417.55</v>
      </c>
      <c r="S477" s="420"/>
      <c r="T477" s="420"/>
      <c r="U477" s="420">
        <v>0</v>
      </c>
      <c r="V477" s="420"/>
      <c r="W477" s="420"/>
      <c r="X477" s="420">
        <v>19449</v>
      </c>
      <c r="Y477" s="1350">
        <f t="shared" si="49"/>
        <v>22417.55</v>
      </c>
      <c r="Z477" s="1368">
        <f t="shared" si="50"/>
        <v>0</v>
      </c>
      <c r="AA477" s="420">
        <f t="shared" si="51"/>
        <v>0</v>
      </c>
      <c r="AB477" s="420">
        <f t="shared" si="52"/>
        <v>0</v>
      </c>
      <c r="AC477" s="420">
        <f t="shared" si="53"/>
        <v>0</v>
      </c>
      <c r="AD477" s="420">
        <f t="shared" si="54"/>
        <v>0</v>
      </c>
      <c r="AE477" s="420">
        <f t="shared" si="55"/>
        <v>19449</v>
      </c>
      <c r="AF477" s="355"/>
      <c r="AG477" s="838"/>
      <c r="AH477" s="744"/>
      <c r="AI477" s="292"/>
      <c r="AK477" s="300"/>
      <c r="AS477" s="452"/>
    </row>
    <row r="478" spans="1:45" s="299" customFormat="1">
      <c r="A478" s="353">
        <v>320</v>
      </c>
      <c r="B478" s="352">
        <v>100</v>
      </c>
      <c r="C478" s="352">
        <v>100</v>
      </c>
      <c r="D478" s="352">
        <v>200</v>
      </c>
      <c r="E478" s="352">
        <v>40</v>
      </c>
      <c r="F478" s="352"/>
      <c r="G478" s="411" t="s">
        <v>1117</v>
      </c>
      <c r="H478" s="334"/>
      <c r="I478" s="331"/>
      <c r="J478" s="359"/>
      <c r="K478" s="359"/>
      <c r="L478" s="359"/>
      <c r="M478" s="359"/>
      <c r="N478" s="332"/>
      <c r="O478" s="333"/>
      <c r="P478" s="331"/>
      <c r="Q478" s="332"/>
      <c r="R478" s="535"/>
      <c r="S478" s="421"/>
      <c r="T478" s="421"/>
      <c r="U478" s="421"/>
      <c r="V478" s="421"/>
      <c r="W478" s="421"/>
      <c r="X478" s="421">
        <v>0</v>
      </c>
      <c r="Y478" s="1352">
        <f t="shared" si="49"/>
        <v>0</v>
      </c>
      <c r="Z478" s="1370">
        <f t="shared" si="50"/>
        <v>0</v>
      </c>
      <c r="AA478" s="421">
        <f t="shared" si="51"/>
        <v>0</v>
      </c>
      <c r="AB478" s="421">
        <f t="shared" si="52"/>
        <v>0</v>
      </c>
      <c r="AC478" s="421">
        <f t="shared" si="53"/>
        <v>0</v>
      </c>
      <c r="AD478" s="421">
        <f t="shared" si="54"/>
        <v>0</v>
      </c>
      <c r="AE478" s="421">
        <f t="shared" si="55"/>
        <v>0</v>
      </c>
      <c r="AF478" s="355"/>
      <c r="AG478" s="838"/>
      <c r="AH478" s="744"/>
      <c r="AI478" s="292"/>
      <c r="AK478" s="300"/>
      <c r="AS478" s="452"/>
    </row>
    <row r="479" spans="1:45" s="299" customFormat="1">
      <c r="A479" s="353">
        <v>320</v>
      </c>
      <c r="B479" s="352">
        <v>100</v>
      </c>
      <c r="C479" s="352">
        <v>100</v>
      </c>
      <c r="D479" s="352">
        <v>200</v>
      </c>
      <c r="E479" s="352">
        <v>40</v>
      </c>
      <c r="F479" s="357">
        <v>5</v>
      </c>
      <c r="G479" s="409" t="s">
        <v>1118</v>
      </c>
      <c r="H479" s="329"/>
      <c r="I479" s="326"/>
      <c r="J479" s="358"/>
      <c r="K479" s="358"/>
      <c r="L479" s="358"/>
      <c r="M479" s="358"/>
      <c r="N479" s="327"/>
      <c r="O479" s="328"/>
      <c r="P479" s="326"/>
      <c r="Q479" s="327"/>
      <c r="R479" s="313">
        <v>40938.39</v>
      </c>
      <c r="S479" s="311">
        <f>2738.27+3090.35</f>
        <v>5828.62</v>
      </c>
      <c r="T479" s="311"/>
      <c r="U479" s="311">
        <v>34446.79</v>
      </c>
      <c r="V479" s="311"/>
      <c r="W479" s="311"/>
      <c r="X479" s="311">
        <v>25298</v>
      </c>
      <c r="Y479" s="1350">
        <f t="shared" si="49"/>
        <v>40938.39</v>
      </c>
      <c r="Z479" s="1357">
        <f t="shared" si="50"/>
        <v>5828.62</v>
      </c>
      <c r="AA479" s="311">
        <f t="shared" si="51"/>
        <v>0</v>
      </c>
      <c r="AB479" s="311">
        <f t="shared" si="52"/>
        <v>34446.79</v>
      </c>
      <c r="AC479" s="311">
        <f t="shared" si="53"/>
        <v>0</v>
      </c>
      <c r="AD479" s="311">
        <f t="shared" si="54"/>
        <v>0</v>
      </c>
      <c r="AE479" s="311">
        <f t="shared" si="55"/>
        <v>25298</v>
      </c>
      <c r="AF479" s="355"/>
      <c r="AG479" s="838"/>
      <c r="AH479" s="744"/>
      <c r="AI479" s="292"/>
      <c r="AK479" s="300"/>
      <c r="AS479" s="452"/>
    </row>
    <row r="480" spans="1:45" s="299" customFormat="1">
      <c r="A480" s="353">
        <v>320</v>
      </c>
      <c r="B480" s="352">
        <v>100</v>
      </c>
      <c r="C480" s="352">
        <v>100</v>
      </c>
      <c r="D480" s="352">
        <v>200</v>
      </c>
      <c r="E480" s="352">
        <v>40</v>
      </c>
      <c r="F480" s="357">
        <v>10</v>
      </c>
      <c r="G480" s="409" t="s">
        <v>1119</v>
      </c>
      <c r="H480" s="329"/>
      <c r="I480" s="326"/>
      <c r="J480" s="358"/>
      <c r="K480" s="358"/>
      <c r="L480" s="358"/>
      <c r="M480" s="358"/>
      <c r="N480" s="327"/>
      <c r="O480" s="328"/>
      <c r="P480" s="326"/>
      <c r="Q480" s="327"/>
      <c r="R480" s="533"/>
      <c r="S480" s="420"/>
      <c r="T480" s="420"/>
      <c r="U480" s="420"/>
      <c r="V480" s="420"/>
      <c r="W480" s="420"/>
      <c r="X480" s="420">
        <v>3000</v>
      </c>
      <c r="Y480" s="1350">
        <f t="shared" si="49"/>
        <v>0</v>
      </c>
      <c r="Z480" s="1368">
        <f t="shared" si="50"/>
        <v>0</v>
      </c>
      <c r="AA480" s="420">
        <f t="shared" si="51"/>
        <v>0</v>
      </c>
      <c r="AB480" s="420">
        <f t="shared" si="52"/>
        <v>0</v>
      </c>
      <c r="AC480" s="420">
        <f t="shared" si="53"/>
        <v>0</v>
      </c>
      <c r="AD480" s="420">
        <f t="shared" si="54"/>
        <v>0</v>
      </c>
      <c r="AE480" s="420">
        <f t="shared" si="55"/>
        <v>3000</v>
      </c>
      <c r="AF480" s="355"/>
      <c r="AG480" s="838"/>
      <c r="AH480" s="744"/>
      <c r="AI480" s="292"/>
      <c r="AK480" s="300"/>
      <c r="AS480" s="452"/>
    </row>
    <row r="481" spans="1:45" s="299" customFormat="1">
      <c r="A481" s="353">
        <v>320</v>
      </c>
      <c r="B481" s="352">
        <v>100</v>
      </c>
      <c r="C481" s="352">
        <v>100</v>
      </c>
      <c r="D481" s="352">
        <v>200</v>
      </c>
      <c r="E481" s="352">
        <v>50</v>
      </c>
      <c r="F481" s="352"/>
      <c r="G481" s="411" t="s">
        <v>1120</v>
      </c>
      <c r="H481" s="334"/>
      <c r="I481" s="331"/>
      <c r="J481" s="359"/>
      <c r="K481" s="359"/>
      <c r="L481" s="359"/>
      <c r="M481" s="359"/>
      <c r="N481" s="332"/>
      <c r="O481" s="333"/>
      <c r="P481" s="331"/>
      <c r="Q481" s="332"/>
      <c r="R481" s="535"/>
      <c r="S481" s="421"/>
      <c r="T481" s="421"/>
      <c r="U481" s="421"/>
      <c r="V481" s="421"/>
      <c r="W481" s="421"/>
      <c r="X481" s="421">
        <v>0</v>
      </c>
      <c r="Y481" s="1352">
        <f t="shared" si="49"/>
        <v>0</v>
      </c>
      <c r="Z481" s="1370">
        <f t="shared" si="50"/>
        <v>0</v>
      </c>
      <c r="AA481" s="421">
        <f t="shared" si="51"/>
        <v>0</v>
      </c>
      <c r="AB481" s="421">
        <f t="shared" si="52"/>
        <v>0</v>
      </c>
      <c r="AC481" s="421">
        <f t="shared" si="53"/>
        <v>0</v>
      </c>
      <c r="AD481" s="421">
        <f t="shared" si="54"/>
        <v>0</v>
      </c>
      <c r="AE481" s="421">
        <f t="shared" si="55"/>
        <v>0</v>
      </c>
      <c r="AF481" s="355"/>
      <c r="AG481" s="838"/>
      <c r="AH481" s="744"/>
      <c r="AI481" s="292"/>
      <c r="AK481" s="300"/>
      <c r="AS481" s="452"/>
    </row>
    <row r="482" spans="1:45" s="299" customFormat="1">
      <c r="A482" s="353">
        <v>320</v>
      </c>
      <c r="B482" s="352">
        <v>100</v>
      </c>
      <c r="C482" s="352">
        <v>100</v>
      </c>
      <c r="D482" s="352">
        <v>200</v>
      </c>
      <c r="E482" s="352">
        <v>50</v>
      </c>
      <c r="F482" s="357">
        <v>5</v>
      </c>
      <c r="G482" s="409" t="s">
        <v>1121</v>
      </c>
      <c r="H482" s="329"/>
      <c r="I482" s="326"/>
      <c r="J482" s="358"/>
      <c r="K482" s="358"/>
      <c r="L482" s="358"/>
      <c r="M482" s="358"/>
      <c r="N482" s="327"/>
      <c r="O482" s="328"/>
      <c r="P482" s="326"/>
      <c r="Q482" s="327"/>
      <c r="R482" s="533"/>
      <c r="S482" s="420"/>
      <c r="T482" s="420"/>
      <c r="U482" s="420"/>
      <c r="V482" s="420"/>
      <c r="W482" s="420"/>
      <c r="X482" s="420">
        <v>0</v>
      </c>
      <c r="Y482" s="1350">
        <f t="shared" si="49"/>
        <v>0</v>
      </c>
      <c r="Z482" s="1368">
        <f t="shared" si="50"/>
        <v>0</v>
      </c>
      <c r="AA482" s="420">
        <f t="shared" si="51"/>
        <v>0</v>
      </c>
      <c r="AB482" s="420">
        <f t="shared" si="52"/>
        <v>0</v>
      </c>
      <c r="AC482" s="420">
        <f t="shared" si="53"/>
        <v>0</v>
      </c>
      <c r="AD482" s="420">
        <f t="shared" si="54"/>
        <v>0</v>
      </c>
      <c r="AE482" s="420">
        <f t="shared" si="55"/>
        <v>0</v>
      </c>
      <c r="AF482" s="355"/>
      <c r="AG482" s="838"/>
      <c r="AH482" s="744"/>
      <c r="AI482" s="292"/>
      <c r="AK482" s="300"/>
      <c r="AS482" s="452"/>
    </row>
    <row r="483" spans="1:45" s="299" customFormat="1">
      <c r="A483" s="353">
        <v>320</v>
      </c>
      <c r="B483" s="352">
        <v>100</v>
      </c>
      <c r="C483" s="352">
        <v>100</v>
      </c>
      <c r="D483" s="352">
        <v>200</v>
      </c>
      <c r="E483" s="352">
        <v>50</v>
      </c>
      <c r="F483" s="357">
        <v>10</v>
      </c>
      <c r="G483" s="409" t="s">
        <v>1122</v>
      </c>
      <c r="H483" s="329"/>
      <c r="I483" s="326"/>
      <c r="J483" s="358"/>
      <c r="K483" s="358"/>
      <c r="L483" s="358"/>
      <c r="M483" s="358"/>
      <c r="N483" s="327"/>
      <c r="O483" s="328"/>
      <c r="P483" s="326"/>
      <c r="Q483" s="327"/>
      <c r="R483" s="533"/>
      <c r="S483" s="420"/>
      <c r="T483" s="420"/>
      <c r="U483" s="420"/>
      <c r="V483" s="420"/>
      <c r="W483" s="420"/>
      <c r="X483" s="420">
        <v>0</v>
      </c>
      <c r="Y483" s="1350">
        <f t="shared" si="49"/>
        <v>0</v>
      </c>
      <c r="Z483" s="1368">
        <f t="shared" si="50"/>
        <v>0</v>
      </c>
      <c r="AA483" s="420">
        <f t="shared" si="51"/>
        <v>0</v>
      </c>
      <c r="AB483" s="420">
        <f t="shared" si="52"/>
        <v>0</v>
      </c>
      <c r="AC483" s="420">
        <f t="shared" si="53"/>
        <v>0</v>
      </c>
      <c r="AD483" s="420">
        <f t="shared" si="54"/>
        <v>0</v>
      </c>
      <c r="AE483" s="420">
        <f t="shared" si="55"/>
        <v>0</v>
      </c>
      <c r="AF483" s="355"/>
      <c r="AG483" s="838"/>
      <c r="AH483" s="744"/>
      <c r="AI483" s="292"/>
      <c r="AK483" s="300"/>
      <c r="AS483" s="452"/>
    </row>
    <row r="484" spans="1:45" s="299" customFormat="1">
      <c r="A484" s="353">
        <v>320</v>
      </c>
      <c r="B484" s="352">
        <v>100</v>
      </c>
      <c r="C484" s="352">
        <v>100</v>
      </c>
      <c r="D484" s="352">
        <v>200</v>
      </c>
      <c r="E484" s="352">
        <v>50</v>
      </c>
      <c r="F484" s="357">
        <v>15</v>
      </c>
      <c r="G484" s="409" t="s">
        <v>1123</v>
      </c>
      <c r="H484" s="329"/>
      <c r="I484" s="326"/>
      <c r="J484" s="358"/>
      <c r="K484" s="358"/>
      <c r="L484" s="358"/>
      <c r="M484" s="358"/>
      <c r="N484" s="327"/>
      <c r="O484" s="328"/>
      <c r="P484" s="326"/>
      <c r="Q484" s="327"/>
      <c r="R484" s="532">
        <v>1793.84</v>
      </c>
      <c r="S484" s="413"/>
      <c r="T484" s="413"/>
      <c r="U484" s="413">
        <v>1693.84</v>
      </c>
      <c r="V484" s="413"/>
      <c r="W484" s="413"/>
      <c r="X484" s="413"/>
      <c r="Y484" s="1350">
        <f t="shared" si="49"/>
        <v>1793.84</v>
      </c>
      <c r="Z484" s="1367">
        <f t="shared" si="50"/>
        <v>0</v>
      </c>
      <c r="AA484" s="413">
        <f t="shared" si="51"/>
        <v>0</v>
      </c>
      <c r="AB484" s="413">
        <f t="shared" si="52"/>
        <v>1693.84</v>
      </c>
      <c r="AC484" s="413">
        <f t="shared" si="53"/>
        <v>0</v>
      </c>
      <c r="AD484" s="413">
        <f t="shared" si="54"/>
        <v>0</v>
      </c>
      <c r="AE484" s="413">
        <f t="shared" si="55"/>
        <v>0</v>
      </c>
      <c r="AF484" s="355"/>
      <c r="AG484" s="838"/>
      <c r="AH484" s="744"/>
      <c r="AI484" s="292"/>
      <c r="AK484" s="300"/>
      <c r="AS484" s="452"/>
    </row>
    <row r="485" spans="1:45" s="299" customFormat="1">
      <c r="A485" s="353">
        <v>320</v>
      </c>
      <c r="B485" s="352">
        <v>100</v>
      </c>
      <c r="C485" s="352">
        <v>100</v>
      </c>
      <c r="D485" s="352">
        <v>200</v>
      </c>
      <c r="E485" s="352">
        <v>50</v>
      </c>
      <c r="F485" s="357">
        <v>20</v>
      </c>
      <c r="G485" s="409" t="s">
        <v>1124</v>
      </c>
      <c r="H485" s="329"/>
      <c r="I485" s="326"/>
      <c r="J485" s="358"/>
      <c r="K485" s="358"/>
      <c r="L485" s="358"/>
      <c r="M485" s="358"/>
      <c r="N485" s="327"/>
      <c r="O485" s="328"/>
      <c r="P485" s="326"/>
      <c r="Q485" s="327"/>
      <c r="R485" s="533"/>
      <c r="S485" s="420"/>
      <c r="T485" s="420"/>
      <c r="U485" s="420"/>
      <c r="V485" s="420"/>
      <c r="W485" s="420"/>
      <c r="X485" s="420"/>
      <c r="Y485" s="1350">
        <f t="shared" si="49"/>
        <v>0</v>
      </c>
      <c r="Z485" s="1368">
        <f t="shared" si="50"/>
        <v>0</v>
      </c>
      <c r="AA485" s="420">
        <f t="shared" si="51"/>
        <v>0</v>
      </c>
      <c r="AB485" s="420">
        <f t="shared" si="52"/>
        <v>0</v>
      </c>
      <c r="AC485" s="420">
        <f t="shared" si="53"/>
        <v>0</v>
      </c>
      <c r="AD485" s="420">
        <f t="shared" si="54"/>
        <v>0</v>
      </c>
      <c r="AE485" s="420">
        <f t="shared" si="55"/>
        <v>0</v>
      </c>
      <c r="AF485" s="355"/>
      <c r="AG485" s="838"/>
      <c r="AH485" s="744"/>
      <c r="AI485" s="292"/>
      <c r="AK485" s="300"/>
      <c r="AS485" s="452"/>
    </row>
    <row r="486" spans="1:45" s="299" customFormat="1">
      <c r="A486" s="353">
        <v>320</v>
      </c>
      <c r="B486" s="352">
        <v>100</v>
      </c>
      <c r="C486" s="352">
        <v>100</v>
      </c>
      <c r="D486" s="352">
        <v>200</v>
      </c>
      <c r="E486" s="352">
        <v>90</v>
      </c>
      <c r="F486" s="352"/>
      <c r="G486" s="411" t="s">
        <v>1125</v>
      </c>
      <c r="H486" s="334"/>
      <c r="I486" s="331"/>
      <c r="J486" s="359"/>
      <c r="K486" s="359"/>
      <c r="L486" s="359"/>
      <c r="M486" s="359"/>
      <c r="N486" s="332"/>
      <c r="O486" s="333"/>
      <c r="P486" s="331"/>
      <c r="Q486" s="332"/>
      <c r="R486" s="535"/>
      <c r="S486" s="421"/>
      <c r="T486" s="421"/>
      <c r="U486" s="421"/>
      <c r="V486" s="421"/>
      <c r="W486" s="421"/>
      <c r="X486" s="421">
        <v>0</v>
      </c>
      <c r="Y486" s="1352">
        <f t="shared" si="49"/>
        <v>0</v>
      </c>
      <c r="Z486" s="1370">
        <f t="shared" si="50"/>
        <v>0</v>
      </c>
      <c r="AA486" s="421">
        <f t="shared" si="51"/>
        <v>0</v>
      </c>
      <c r="AB486" s="421">
        <f t="shared" si="52"/>
        <v>0</v>
      </c>
      <c r="AC486" s="421">
        <f t="shared" si="53"/>
        <v>0</v>
      </c>
      <c r="AD486" s="421">
        <f t="shared" si="54"/>
        <v>0</v>
      </c>
      <c r="AE486" s="421">
        <f t="shared" si="55"/>
        <v>0</v>
      </c>
      <c r="AF486" s="355"/>
      <c r="AG486" s="838"/>
      <c r="AH486" s="744"/>
      <c r="AI486" s="292"/>
      <c r="AK486" s="300"/>
      <c r="AS486" s="452"/>
    </row>
    <row r="487" spans="1:45" s="299" customFormat="1">
      <c r="A487" s="353">
        <v>320</v>
      </c>
      <c r="B487" s="352">
        <v>100</v>
      </c>
      <c r="C487" s="352">
        <v>100</v>
      </c>
      <c r="D487" s="352">
        <v>200</v>
      </c>
      <c r="E487" s="352">
        <v>90</v>
      </c>
      <c r="F487" s="357">
        <v>5</v>
      </c>
      <c r="G487" s="409" t="s">
        <v>1126</v>
      </c>
      <c r="H487" s="329"/>
      <c r="I487" s="326"/>
      <c r="J487" s="358"/>
      <c r="K487" s="358"/>
      <c r="L487" s="358"/>
      <c r="M487" s="358"/>
      <c r="N487" s="327"/>
      <c r="O487" s="328"/>
      <c r="P487" s="326"/>
      <c r="Q487" s="327"/>
      <c r="R487" s="533">
        <v>190383.6</v>
      </c>
      <c r="S487" s="311">
        <f>20012.59+7227.2</f>
        <v>27239.79</v>
      </c>
      <c r="T487" s="420"/>
      <c r="U487" s="420">
        <v>170904.68700000001</v>
      </c>
      <c r="V487" s="420">
        <v>17504.07</v>
      </c>
      <c r="W487" s="420"/>
      <c r="X487" s="420">
        <v>240814</v>
      </c>
      <c r="Y487" s="1350">
        <f t="shared" si="49"/>
        <v>190383.6</v>
      </c>
      <c r="Z487" s="1368">
        <f t="shared" si="50"/>
        <v>27239.79</v>
      </c>
      <c r="AA487" s="420">
        <f t="shared" si="51"/>
        <v>0</v>
      </c>
      <c r="AB487" s="420">
        <f t="shared" si="52"/>
        <v>170904.68700000001</v>
      </c>
      <c r="AC487" s="420">
        <f t="shared" si="53"/>
        <v>17504.07</v>
      </c>
      <c r="AD487" s="420">
        <f t="shared" si="54"/>
        <v>0</v>
      </c>
      <c r="AE487" s="420">
        <f t="shared" si="55"/>
        <v>240814</v>
      </c>
      <c r="AF487" s="355"/>
      <c r="AG487" s="838"/>
      <c r="AH487" s="744"/>
      <c r="AI487" s="292"/>
      <c r="AK487" s="300"/>
      <c r="AS487" s="452"/>
    </row>
    <row r="488" spans="1:45" s="299" customFormat="1">
      <c r="A488" s="353">
        <v>320</v>
      </c>
      <c r="B488" s="352">
        <v>100</v>
      </c>
      <c r="C488" s="352">
        <v>100</v>
      </c>
      <c r="D488" s="352">
        <v>200</v>
      </c>
      <c r="E488" s="352">
        <v>90</v>
      </c>
      <c r="F488" s="357">
        <v>10</v>
      </c>
      <c r="G488" s="409" t="s">
        <v>1127</v>
      </c>
      <c r="H488" s="329"/>
      <c r="I488" s="326"/>
      <c r="J488" s="358"/>
      <c r="K488" s="358"/>
      <c r="L488" s="358"/>
      <c r="M488" s="358"/>
      <c r="N488" s="327"/>
      <c r="O488" s="802"/>
      <c r="P488" s="418"/>
      <c r="Q488" s="419"/>
      <c r="R488" s="313">
        <v>7025.1</v>
      </c>
      <c r="S488" s="311"/>
      <c r="T488" s="311"/>
      <c r="U488" s="311">
        <v>0</v>
      </c>
      <c r="V488" s="311"/>
      <c r="W488" s="311"/>
      <c r="X488" s="311">
        <v>9513</v>
      </c>
      <c r="Y488" s="1350">
        <f t="shared" si="49"/>
        <v>7025.1</v>
      </c>
      <c r="Z488" s="1357">
        <f t="shared" si="50"/>
        <v>0</v>
      </c>
      <c r="AA488" s="311">
        <f t="shared" si="51"/>
        <v>0</v>
      </c>
      <c r="AB488" s="311">
        <f t="shared" si="52"/>
        <v>0</v>
      </c>
      <c r="AC488" s="311">
        <f t="shared" si="53"/>
        <v>0</v>
      </c>
      <c r="AD488" s="311">
        <f t="shared" si="54"/>
        <v>0</v>
      </c>
      <c r="AE488" s="311">
        <f t="shared" si="55"/>
        <v>9513</v>
      </c>
      <c r="AF488" s="355"/>
      <c r="AG488" s="838"/>
      <c r="AH488" s="744"/>
      <c r="AI488" s="292"/>
      <c r="AK488" s="300"/>
      <c r="AS488" s="452"/>
    </row>
    <row r="489" spans="1:45" s="299" customFormat="1" ht="27.6">
      <c r="A489" s="353">
        <v>320</v>
      </c>
      <c r="B489" s="352">
        <v>100</v>
      </c>
      <c r="C489" s="352">
        <v>100</v>
      </c>
      <c r="D489" s="357">
        <v>300</v>
      </c>
      <c r="E489" s="357"/>
      <c r="F489" s="357"/>
      <c r="G489" s="315" t="s">
        <v>1130</v>
      </c>
      <c r="H489" s="329"/>
      <c r="I489" s="326"/>
      <c r="J489" s="358"/>
      <c r="K489" s="358"/>
      <c r="L489" s="358"/>
      <c r="M489" s="358"/>
      <c r="N489" s="327"/>
      <c r="O489" s="328"/>
      <c r="P489" s="326"/>
      <c r="Q489" s="327"/>
      <c r="R489" s="536"/>
      <c r="S489" s="412"/>
      <c r="T489" s="412"/>
      <c r="U489" s="412">
        <v>0</v>
      </c>
      <c r="V489" s="412"/>
      <c r="W489" s="412"/>
      <c r="X489" s="412">
        <v>0</v>
      </c>
      <c r="Y489" s="1350">
        <f t="shared" si="49"/>
        <v>0</v>
      </c>
      <c r="Z489" s="1371">
        <f t="shared" si="50"/>
        <v>0</v>
      </c>
      <c r="AA489" s="412">
        <f t="shared" si="51"/>
        <v>0</v>
      </c>
      <c r="AB489" s="412">
        <f t="shared" si="52"/>
        <v>0</v>
      </c>
      <c r="AC489" s="412">
        <f t="shared" si="53"/>
        <v>0</v>
      </c>
      <c r="AD489" s="412">
        <f t="shared" si="54"/>
        <v>0</v>
      </c>
      <c r="AE489" s="412">
        <f t="shared" si="55"/>
        <v>0</v>
      </c>
      <c r="AF489" s="355" t="s">
        <v>1131</v>
      </c>
      <c r="AG489" s="838"/>
      <c r="AH489" s="744"/>
      <c r="AI489" s="292"/>
      <c r="AK489" s="300"/>
      <c r="AS489" s="452"/>
    </row>
    <row r="490" spans="1:45" s="299" customFormat="1" ht="27.6">
      <c r="A490" s="353">
        <v>320</v>
      </c>
      <c r="B490" s="352">
        <v>100</v>
      </c>
      <c r="C490" s="352">
        <v>200</v>
      </c>
      <c r="D490" s="352"/>
      <c r="E490" s="352"/>
      <c r="F490" s="352"/>
      <c r="G490" s="323" t="s">
        <v>1132</v>
      </c>
      <c r="H490" s="334"/>
      <c r="I490" s="331"/>
      <c r="J490" s="359"/>
      <c r="K490" s="359"/>
      <c r="L490" s="359"/>
      <c r="M490" s="359"/>
      <c r="N490" s="332"/>
      <c r="O490" s="333"/>
      <c r="P490" s="331"/>
      <c r="Q490" s="332"/>
      <c r="R490" s="537"/>
      <c r="S490" s="416"/>
      <c r="T490" s="416"/>
      <c r="U490" s="416">
        <v>0</v>
      </c>
      <c r="V490" s="416"/>
      <c r="W490" s="416"/>
      <c r="X490" s="416">
        <v>0</v>
      </c>
      <c r="Y490" s="1352">
        <f t="shared" si="49"/>
        <v>0</v>
      </c>
      <c r="Z490" s="1372">
        <f t="shared" si="50"/>
        <v>0</v>
      </c>
      <c r="AA490" s="416">
        <f t="shared" si="51"/>
        <v>0</v>
      </c>
      <c r="AB490" s="416">
        <f t="shared" si="52"/>
        <v>0</v>
      </c>
      <c r="AC490" s="416">
        <f t="shared" si="53"/>
        <v>0</v>
      </c>
      <c r="AD490" s="416">
        <f t="shared" si="54"/>
        <v>0</v>
      </c>
      <c r="AE490" s="416">
        <f t="shared" si="55"/>
        <v>0</v>
      </c>
      <c r="AF490" s="355" t="s">
        <v>1133</v>
      </c>
      <c r="AG490" s="838"/>
      <c r="AH490" s="744"/>
      <c r="AI490" s="292"/>
      <c r="AK490" s="300"/>
      <c r="AS490" s="452"/>
    </row>
    <row r="491" spans="1:45" s="299" customFormat="1" ht="27.6">
      <c r="A491" s="353">
        <v>320</v>
      </c>
      <c r="B491" s="352">
        <v>100</v>
      </c>
      <c r="C491" s="352">
        <v>200</v>
      </c>
      <c r="D491" s="352">
        <v>100</v>
      </c>
      <c r="E491" s="352"/>
      <c r="F491" s="352"/>
      <c r="G491" s="323" t="s">
        <v>1134</v>
      </c>
      <c r="H491" s="334"/>
      <c r="I491" s="331"/>
      <c r="J491" s="359"/>
      <c r="K491" s="359"/>
      <c r="L491" s="359"/>
      <c r="M491" s="359"/>
      <c r="N491" s="332"/>
      <c r="O491" s="333"/>
      <c r="P491" s="331"/>
      <c r="Q491" s="332"/>
      <c r="R491" s="537"/>
      <c r="S491" s="416"/>
      <c r="T491" s="416"/>
      <c r="U491" s="416">
        <v>0</v>
      </c>
      <c r="V491" s="416"/>
      <c r="W491" s="416"/>
      <c r="X491" s="416">
        <v>0</v>
      </c>
      <c r="Y491" s="1352">
        <f t="shared" si="49"/>
        <v>0</v>
      </c>
      <c r="Z491" s="1372">
        <f t="shared" si="50"/>
        <v>0</v>
      </c>
      <c r="AA491" s="416">
        <f t="shared" si="51"/>
        <v>0</v>
      </c>
      <c r="AB491" s="416">
        <f t="shared" si="52"/>
        <v>0</v>
      </c>
      <c r="AC491" s="416">
        <f t="shared" si="53"/>
        <v>0</v>
      </c>
      <c r="AD491" s="416">
        <f t="shared" si="54"/>
        <v>0</v>
      </c>
      <c r="AE491" s="416">
        <f t="shared" si="55"/>
        <v>0</v>
      </c>
      <c r="AF491" s="355" t="s">
        <v>1135</v>
      </c>
      <c r="AG491" s="838"/>
      <c r="AH491" s="744"/>
      <c r="AI491" s="292"/>
      <c r="AK491" s="300"/>
      <c r="AS491" s="452"/>
    </row>
    <row r="492" spans="1:45" s="299" customFormat="1">
      <c r="A492" s="353">
        <v>320</v>
      </c>
      <c r="B492" s="352">
        <v>100</v>
      </c>
      <c r="C492" s="352">
        <v>200</v>
      </c>
      <c r="D492" s="352">
        <v>100</v>
      </c>
      <c r="E492" s="357">
        <v>10</v>
      </c>
      <c r="F492" s="357"/>
      <c r="G492" s="409" t="s">
        <v>1112</v>
      </c>
      <c r="H492" s="329"/>
      <c r="I492" s="326"/>
      <c r="J492" s="358"/>
      <c r="K492" s="358"/>
      <c r="L492" s="358"/>
      <c r="M492" s="358"/>
      <c r="N492" s="327"/>
      <c r="O492" s="328"/>
      <c r="P492" s="326"/>
      <c r="Q492" s="327"/>
      <c r="R492" s="313">
        <v>899703.36</v>
      </c>
      <c r="S492" s="311">
        <v>45741.32</v>
      </c>
      <c r="T492" s="311"/>
      <c r="U492" s="311">
        <v>898545.42999999993</v>
      </c>
      <c r="V492" s="311">
        <v>45741.33</v>
      </c>
      <c r="W492" s="311">
        <v>74684.490000000005</v>
      </c>
      <c r="X492" s="311">
        <v>740758</v>
      </c>
      <c r="Y492" s="1350">
        <f t="shared" si="49"/>
        <v>899703.36</v>
      </c>
      <c r="Z492" s="1357">
        <f t="shared" si="50"/>
        <v>45741.32</v>
      </c>
      <c r="AA492" s="311">
        <f t="shared" si="51"/>
        <v>0</v>
      </c>
      <c r="AB492" s="311">
        <f t="shared" si="52"/>
        <v>898545.42999999993</v>
      </c>
      <c r="AC492" s="311">
        <f t="shared" si="53"/>
        <v>45741.33</v>
      </c>
      <c r="AD492" s="311">
        <f t="shared" si="54"/>
        <v>74684.490000000005</v>
      </c>
      <c r="AE492" s="311">
        <f t="shared" si="55"/>
        <v>740758</v>
      </c>
      <c r="AF492" s="355"/>
      <c r="AG492" s="838"/>
      <c r="AH492" s="744"/>
      <c r="AI492" s="292"/>
      <c r="AK492" s="300"/>
      <c r="AS492" s="452"/>
    </row>
    <row r="493" spans="1:45" s="299" customFormat="1">
      <c r="A493" s="353">
        <v>320</v>
      </c>
      <c r="B493" s="352">
        <v>100</v>
      </c>
      <c r="C493" s="352">
        <v>200</v>
      </c>
      <c r="D493" s="352">
        <v>100</v>
      </c>
      <c r="E493" s="357">
        <v>20</v>
      </c>
      <c r="F493" s="357"/>
      <c r="G493" s="409" t="s">
        <v>1113</v>
      </c>
      <c r="H493" s="329"/>
      <c r="I493" s="326"/>
      <c r="J493" s="358"/>
      <c r="K493" s="358"/>
      <c r="L493" s="358"/>
      <c r="M493" s="358"/>
      <c r="N493" s="327"/>
      <c r="O493" s="328"/>
      <c r="P493" s="326"/>
      <c r="Q493" s="327"/>
      <c r="R493" s="313">
        <v>159273.06</v>
      </c>
      <c r="S493" s="311"/>
      <c r="T493" s="311"/>
      <c r="U493" s="311">
        <v>145692.28000000003</v>
      </c>
      <c r="V493" s="311"/>
      <c r="W493" s="311">
        <v>32000</v>
      </c>
      <c r="X493" s="311">
        <v>146623</v>
      </c>
      <c r="Y493" s="1350">
        <f t="shared" si="49"/>
        <v>159273.06</v>
      </c>
      <c r="Z493" s="1357">
        <f t="shared" si="50"/>
        <v>0</v>
      </c>
      <c r="AA493" s="311">
        <f t="shared" si="51"/>
        <v>0</v>
      </c>
      <c r="AB493" s="311">
        <f t="shared" si="52"/>
        <v>145692.28000000003</v>
      </c>
      <c r="AC493" s="311">
        <f t="shared" si="53"/>
        <v>0</v>
      </c>
      <c r="AD493" s="311">
        <f t="shared" si="54"/>
        <v>32000</v>
      </c>
      <c r="AE493" s="311">
        <f t="shared" si="55"/>
        <v>146623</v>
      </c>
      <c r="AF493" s="355"/>
      <c r="AG493" s="838"/>
      <c r="AH493" s="744"/>
      <c r="AI493" s="292"/>
      <c r="AK493" s="300"/>
      <c r="AS493" s="452"/>
    </row>
    <row r="494" spans="1:45" s="299" customFormat="1">
      <c r="A494" s="353">
        <v>320</v>
      </c>
      <c r="B494" s="352">
        <v>100</v>
      </c>
      <c r="C494" s="352">
        <v>200</v>
      </c>
      <c r="D494" s="352">
        <v>100</v>
      </c>
      <c r="E494" s="357">
        <v>30</v>
      </c>
      <c r="F494" s="357"/>
      <c r="G494" s="409" t="s">
        <v>1136</v>
      </c>
      <c r="H494" s="329"/>
      <c r="I494" s="326"/>
      <c r="J494" s="358"/>
      <c r="K494" s="358"/>
      <c r="L494" s="358"/>
      <c r="M494" s="358"/>
      <c r="N494" s="327"/>
      <c r="O494" s="328"/>
      <c r="P494" s="326"/>
      <c r="Q494" s="327"/>
      <c r="R494" s="313">
        <v>71835.41</v>
      </c>
      <c r="S494" s="311">
        <v>6600</v>
      </c>
      <c r="T494" s="311"/>
      <c r="U494" s="311">
        <v>97864.18</v>
      </c>
      <c r="V494" s="311">
        <v>6600</v>
      </c>
      <c r="W494" s="311"/>
      <c r="X494" s="311">
        <v>26571</v>
      </c>
      <c r="Y494" s="1350">
        <f t="shared" si="49"/>
        <v>71835.41</v>
      </c>
      <c r="Z494" s="1357">
        <f t="shared" si="50"/>
        <v>6600</v>
      </c>
      <c r="AA494" s="311">
        <f t="shared" si="51"/>
        <v>0</v>
      </c>
      <c r="AB494" s="311">
        <f t="shared" si="52"/>
        <v>97864.18</v>
      </c>
      <c r="AC494" s="311">
        <f t="shared" si="53"/>
        <v>6600</v>
      </c>
      <c r="AD494" s="311">
        <f t="shared" si="54"/>
        <v>0</v>
      </c>
      <c r="AE494" s="311">
        <f t="shared" si="55"/>
        <v>26571</v>
      </c>
      <c r="AF494" s="355"/>
      <c r="AG494" s="838"/>
      <c r="AH494" s="744"/>
      <c r="AI494" s="292"/>
      <c r="AK494" s="300"/>
      <c r="AS494" s="452"/>
    </row>
    <row r="495" spans="1:45" s="299" customFormat="1">
      <c r="A495" s="353">
        <v>320</v>
      </c>
      <c r="B495" s="352">
        <v>100</v>
      </c>
      <c r="C495" s="352">
        <v>200</v>
      </c>
      <c r="D495" s="352">
        <v>100</v>
      </c>
      <c r="E495" s="357">
        <v>40</v>
      </c>
      <c r="F495" s="357"/>
      <c r="G495" s="409" t="s">
        <v>1137</v>
      </c>
      <c r="H495" s="329"/>
      <c r="I495" s="326"/>
      <c r="J495" s="358"/>
      <c r="K495" s="358"/>
      <c r="L495" s="358"/>
      <c r="M495" s="358"/>
      <c r="N495" s="327"/>
      <c r="O495" s="328"/>
      <c r="P495" s="326"/>
      <c r="Q495" s="327"/>
      <c r="R495" s="313">
        <v>21758.59</v>
      </c>
      <c r="S495" s="311">
        <v>2824.11</v>
      </c>
      <c r="T495" s="311"/>
      <c r="U495" s="311">
        <v>18674.55</v>
      </c>
      <c r="V495" s="311">
        <v>8383.4500000000007</v>
      </c>
      <c r="W495" s="311"/>
      <c r="X495" s="311">
        <v>17749</v>
      </c>
      <c r="Y495" s="1350">
        <f t="shared" si="49"/>
        <v>21758.59</v>
      </c>
      <c r="Z495" s="1357">
        <f t="shared" si="50"/>
        <v>2824.11</v>
      </c>
      <c r="AA495" s="311">
        <f t="shared" si="51"/>
        <v>0</v>
      </c>
      <c r="AB495" s="311">
        <f t="shared" si="52"/>
        <v>18674.55</v>
      </c>
      <c r="AC495" s="311">
        <f t="shared" si="53"/>
        <v>8383.4500000000007</v>
      </c>
      <c r="AD495" s="311">
        <f t="shared" si="54"/>
        <v>0</v>
      </c>
      <c r="AE495" s="311">
        <f t="shared" si="55"/>
        <v>17749</v>
      </c>
      <c r="AF495" s="355"/>
      <c r="AG495" s="838"/>
      <c r="AH495" s="744"/>
      <c r="AI495" s="292"/>
      <c r="AK495" s="300"/>
      <c r="AS495" s="452"/>
    </row>
    <row r="496" spans="1:45" s="299" customFormat="1">
      <c r="A496" s="353">
        <v>320</v>
      </c>
      <c r="B496" s="352">
        <v>100</v>
      </c>
      <c r="C496" s="352">
        <v>200</v>
      </c>
      <c r="D496" s="352">
        <v>100</v>
      </c>
      <c r="E496" s="352">
        <v>50</v>
      </c>
      <c r="F496" s="352"/>
      <c r="G496" s="411" t="s">
        <v>1138</v>
      </c>
      <c r="H496" s="334"/>
      <c r="I496" s="331"/>
      <c r="J496" s="359"/>
      <c r="K496" s="359"/>
      <c r="L496" s="359"/>
      <c r="M496" s="359"/>
      <c r="N496" s="332"/>
      <c r="O496" s="333"/>
      <c r="P496" s="331"/>
      <c r="Q496" s="332"/>
      <c r="R496" s="531"/>
      <c r="S496" s="415"/>
      <c r="T496" s="415"/>
      <c r="U496" s="415"/>
      <c r="V496" s="415"/>
      <c r="W496" s="415"/>
      <c r="X496" s="415">
        <v>0</v>
      </c>
      <c r="Y496" s="1352">
        <f t="shared" si="49"/>
        <v>0</v>
      </c>
      <c r="Z496" s="1366">
        <f t="shared" si="50"/>
        <v>0</v>
      </c>
      <c r="AA496" s="415">
        <f t="shared" si="51"/>
        <v>0</v>
      </c>
      <c r="AB496" s="415">
        <f t="shared" si="52"/>
        <v>0</v>
      </c>
      <c r="AC496" s="415">
        <f t="shared" si="53"/>
        <v>0</v>
      </c>
      <c r="AD496" s="415">
        <f t="shared" si="54"/>
        <v>0</v>
      </c>
      <c r="AE496" s="415">
        <f t="shared" si="55"/>
        <v>0</v>
      </c>
      <c r="AF496" s="355"/>
      <c r="AG496" s="838"/>
      <c r="AH496" s="744"/>
      <c r="AI496" s="292"/>
      <c r="AK496" s="300"/>
      <c r="AS496" s="452"/>
    </row>
    <row r="497" spans="1:45" s="299" customFormat="1">
      <c r="A497" s="353">
        <v>320</v>
      </c>
      <c r="B497" s="352">
        <v>100</v>
      </c>
      <c r="C497" s="352">
        <v>200</v>
      </c>
      <c r="D497" s="352">
        <v>100</v>
      </c>
      <c r="E497" s="352">
        <v>50</v>
      </c>
      <c r="F497" s="357">
        <v>5</v>
      </c>
      <c r="G497" s="409" t="s">
        <v>1121</v>
      </c>
      <c r="H497" s="329"/>
      <c r="I497" s="326"/>
      <c r="J497" s="358"/>
      <c r="K497" s="358"/>
      <c r="L497" s="358"/>
      <c r="M497" s="358"/>
      <c r="N497" s="327"/>
      <c r="O497" s="328"/>
      <c r="P497" s="326"/>
      <c r="Q497" s="327"/>
      <c r="R497" s="538"/>
      <c r="S497" s="414"/>
      <c r="T497" s="414"/>
      <c r="U497" s="414"/>
      <c r="V497" s="414"/>
      <c r="W497" s="414"/>
      <c r="X497" s="414">
        <v>0</v>
      </c>
      <c r="Y497" s="1350">
        <f t="shared" si="49"/>
        <v>0</v>
      </c>
      <c r="Z497" s="1373">
        <f t="shared" si="50"/>
        <v>0</v>
      </c>
      <c r="AA497" s="414">
        <f t="shared" si="51"/>
        <v>0</v>
      </c>
      <c r="AB497" s="414">
        <f t="shared" si="52"/>
        <v>0</v>
      </c>
      <c r="AC497" s="414">
        <f t="shared" si="53"/>
        <v>0</v>
      </c>
      <c r="AD497" s="414">
        <f t="shared" si="54"/>
        <v>0</v>
      </c>
      <c r="AE497" s="414">
        <f t="shared" si="55"/>
        <v>0</v>
      </c>
      <c r="AF497" s="355"/>
      <c r="AG497" s="838"/>
      <c r="AH497" s="744"/>
      <c r="AI497" s="292"/>
      <c r="AK497" s="300"/>
      <c r="AS497" s="452"/>
    </row>
    <row r="498" spans="1:45" s="299" customFormat="1">
      <c r="A498" s="353">
        <v>320</v>
      </c>
      <c r="B498" s="352">
        <v>100</v>
      </c>
      <c r="C498" s="352">
        <v>200</v>
      </c>
      <c r="D498" s="352">
        <v>100</v>
      </c>
      <c r="E498" s="352">
        <v>50</v>
      </c>
      <c r="F498" s="357">
        <v>10</v>
      </c>
      <c r="G498" s="409" t="s">
        <v>1122</v>
      </c>
      <c r="H498" s="329"/>
      <c r="I498" s="326"/>
      <c r="J498" s="358"/>
      <c r="K498" s="358"/>
      <c r="L498" s="358"/>
      <c r="M498" s="358"/>
      <c r="N498" s="327"/>
      <c r="O498" s="328"/>
      <c r="P498" s="326"/>
      <c r="Q498" s="327"/>
      <c r="R498" s="538"/>
      <c r="S498" s="414"/>
      <c r="T498" s="414"/>
      <c r="U498" s="414"/>
      <c r="V498" s="414"/>
      <c r="W498" s="414"/>
      <c r="X498" s="414">
        <v>0</v>
      </c>
      <c r="Y498" s="1350">
        <f t="shared" si="49"/>
        <v>0</v>
      </c>
      <c r="Z498" s="1373">
        <f t="shared" si="50"/>
        <v>0</v>
      </c>
      <c r="AA498" s="414">
        <f t="shared" si="51"/>
        <v>0</v>
      </c>
      <c r="AB498" s="414">
        <f t="shared" si="52"/>
        <v>0</v>
      </c>
      <c r="AC498" s="414">
        <f t="shared" si="53"/>
        <v>0</v>
      </c>
      <c r="AD498" s="414">
        <f t="shared" si="54"/>
        <v>0</v>
      </c>
      <c r="AE498" s="414">
        <f t="shared" si="55"/>
        <v>0</v>
      </c>
      <c r="AF498" s="355"/>
      <c r="AG498" s="838"/>
      <c r="AH498" s="744"/>
      <c r="AI498" s="292"/>
      <c r="AK498" s="300"/>
      <c r="AS498" s="452"/>
    </row>
    <row r="499" spans="1:45" s="299" customFormat="1">
      <c r="A499" s="353">
        <v>320</v>
      </c>
      <c r="B499" s="352">
        <v>100</v>
      </c>
      <c r="C499" s="352">
        <v>200</v>
      </c>
      <c r="D499" s="352">
        <v>100</v>
      </c>
      <c r="E499" s="352">
        <v>50</v>
      </c>
      <c r="F499" s="357">
        <v>15</v>
      </c>
      <c r="G499" s="409" t="s">
        <v>1139</v>
      </c>
      <c r="H499" s="329"/>
      <c r="I499" s="326"/>
      <c r="J499" s="358"/>
      <c r="K499" s="358"/>
      <c r="L499" s="358"/>
      <c r="M499" s="358"/>
      <c r="N499" s="327"/>
      <c r="O499" s="328"/>
      <c r="P499" s="326"/>
      <c r="Q499" s="327"/>
      <c r="R499" s="532">
        <v>3179.1</v>
      </c>
      <c r="S499" s="413"/>
      <c r="T499" s="413"/>
      <c r="U499" s="413">
        <v>2382.27</v>
      </c>
      <c r="V499" s="413"/>
      <c r="W499" s="413"/>
      <c r="X499" s="413">
        <v>500</v>
      </c>
      <c r="Y499" s="1350">
        <f t="shared" si="49"/>
        <v>3179.1</v>
      </c>
      <c r="Z499" s="1367">
        <f t="shared" si="50"/>
        <v>0</v>
      </c>
      <c r="AA499" s="413">
        <f t="shared" si="51"/>
        <v>0</v>
      </c>
      <c r="AB499" s="413">
        <f t="shared" si="52"/>
        <v>2382.27</v>
      </c>
      <c r="AC499" s="413">
        <f t="shared" si="53"/>
        <v>0</v>
      </c>
      <c r="AD499" s="413">
        <f t="shared" si="54"/>
        <v>0</v>
      </c>
      <c r="AE499" s="413">
        <f t="shared" si="55"/>
        <v>500</v>
      </c>
      <c r="AF499" s="355"/>
      <c r="AG499" s="838"/>
      <c r="AH499" s="744"/>
      <c r="AI499" s="292"/>
      <c r="AK499" s="300"/>
      <c r="AS499" s="452"/>
    </row>
    <row r="500" spans="1:45" s="299" customFormat="1">
      <c r="A500" s="353">
        <v>320</v>
      </c>
      <c r="B500" s="352">
        <v>100</v>
      </c>
      <c r="C500" s="352">
        <v>200</v>
      </c>
      <c r="D500" s="352">
        <v>100</v>
      </c>
      <c r="E500" s="357">
        <v>90</v>
      </c>
      <c r="F500" s="357"/>
      <c r="G500" s="409" t="s">
        <v>1140</v>
      </c>
      <c r="H500" s="329"/>
      <c r="I500" s="326"/>
      <c r="J500" s="358"/>
      <c r="K500" s="358"/>
      <c r="L500" s="358"/>
      <c r="M500" s="358"/>
      <c r="N500" s="327"/>
      <c r="O500" s="328"/>
      <c r="P500" s="326"/>
      <c r="Q500" s="327"/>
      <c r="R500" s="313">
        <v>335853.43</v>
      </c>
      <c r="S500" s="311">
        <v>16531.84</v>
      </c>
      <c r="T500" s="311"/>
      <c r="U500" s="311">
        <v>324485.86</v>
      </c>
      <c r="V500" s="311">
        <v>16531.84</v>
      </c>
      <c r="W500" s="311">
        <v>25877.51</v>
      </c>
      <c r="X500" s="311">
        <v>292099</v>
      </c>
      <c r="Y500" s="1350">
        <f t="shared" si="49"/>
        <v>335853.43</v>
      </c>
      <c r="Z500" s="1357">
        <f t="shared" si="50"/>
        <v>16531.84</v>
      </c>
      <c r="AA500" s="311">
        <f t="shared" si="51"/>
        <v>0</v>
      </c>
      <c r="AB500" s="311">
        <f t="shared" si="52"/>
        <v>324485.86</v>
      </c>
      <c r="AC500" s="311">
        <f t="shared" si="53"/>
        <v>16531.84</v>
      </c>
      <c r="AD500" s="311">
        <f t="shared" si="54"/>
        <v>25877.51</v>
      </c>
      <c r="AE500" s="311">
        <f t="shared" si="55"/>
        <v>292099</v>
      </c>
      <c r="AF500" s="355"/>
      <c r="AG500" s="838"/>
      <c r="AH500" s="744"/>
      <c r="AI500" s="292"/>
      <c r="AK500" s="300"/>
      <c r="AS500" s="452"/>
    </row>
    <row r="501" spans="1:45" s="299" customFormat="1" ht="27.6">
      <c r="A501" s="353">
        <v>320</v>
      </c>
      <c r="B501" s="352">
        <v>100</v>
      </c>
      <c r="C501" s="352">
        <v>200</v>
      </c>
      <c r="D501" s="352">
        <v>200</v>
      </c>
      <c r="E501" s="352"/>
      <c r="F501" s="352"/>
      <c r="G501" s="323" t="s">
        <v>1141</v>
      </c>
      <c r="H501" s="334"/>
      <c r="I501" s="331"/>
      <c r="J501" s="359"/>
      <c r="K501" s="359"/>
      <c r="L501" s="359"/>
      <c r="M501" s="359"/>
      <c r="N501" s="332"/>
      <c r="O501" s="333"/>
      <c r="P501" s="331"/>
      <c r="Q501" s="332"/>
      <c r="R501" s="537"/>
      <c r="S501" s="416"/>
      <c r="T501" s="416"/>
      <c r="U501" s="416">
        <v>0</v>
      </c>
      <c r="V501" s="416"/>
      <c r="W501" s="416"/>
      <c r="X501" s="416">
        <v>0</v>
      </c>
      <c r="Y501" s="1352">
        <f t="shared" si="49"/>
        <v>0</v>
      </c>
      <c r="Z501" s="1372">
        <f t="shared" si="50"/>
        <v>0</v>
      </c>
      <c r="AA501" s="416">
        <f t="shared" si="51"/>
        <v>0</v>
      </c>
      <c r="AB501" s="416">
        <f t="shared" si="52"/>
        <v>0</v>
      </c>
      <c r="AC501" s="416">
        <f t="shared" si="53"/>
        <v>0</v>
      </c>
      <c r="AD501" s="416">
        <f t="shared" si="54"/>
        <v>0</v>
      </c>
      <c r="AE501" s="416">
        <f t="shared" si="55"/>
        <v>0</v>
      </c>
      <c r="AF501" s="355" t="s">
        <v>1142</v>
      </c>
      <c r="AG501" s="838"/>
      <c r="AH501" s="744"/>
      <c r="AI501" s="292"/>
      <c r="AK501" s="300"/>
      <c r="AS501" s="452"/>
    </row>
    <row r="502" spans="1:45" s="299" customFormat="1">
      <c r="A502" s="353">
        <v>320</v>
      </c>
      <c r="B502" s="352">
        <v>100</v>
      </c>
      <c r="C502" s="352">
        <v>200</v>
      </c>
      <c r="D502" s="352">
        <v>200</v>
      </c>
      <c r="E502" s="357">
        <v>10</v>
      </c>
      <c r="F502" s="357"/>
      <c r="G502" s="409" t="s">
        <v>1112</v>
      </c>
      <c r="H502" s="329"/>
      <c r="I502" s="326"/>
      <c r="J502" s="326"/>
      <c r="K502" s="326"/>
      <c r="L502" s="326"/>
      <c r="M502" s="326"/>
      <c r="N502" s="327"/>
      <c r="O502" s="802"/>
      <c r="P502" s="418">
        <v>22650</v>
      </c>
      <c r="Q502" s="419">
        <v>22650</v>
      </c>
      <c r="R502" s="313">
        <f>111296.93-O502</f>
        <v>111296.93</v>
      </c>
      <c r="S502" s="311">
        <v>3940.47</v>
      </c>
      <c r="T502" s="311"/>
      <c r="U502" s="311">
        <f>111461.08-P502</f>
        <v>88811.08</v>
      </c>
      <c r="V502" s="311">
        <v>3940.47</v>
      </c>
      <c r="W502" s="311"/>
      <c r="X502" s="311">
        <v>117407</v>
      </c>
      <c r="Y502" s="1374">
        <f t="shared" si="49"/>
        <v>111296.93</v>
      </c>
      <c r="Z502" s="1357">
        <f t="shared" si="50"/>
        <v>3940.47</v>
      </c>
      <c r="AA502" s="311">
        <f t="shared" si="51"/>
        <v>0</v>
      </c>
      <c r="AB502" s="311">
        <f t="shared" si="52"/>
        <v>111461.08</v>
      </c>
      <c r="AC502" s="311">
        <f t="shared" si="53"/>
        <v>3940.47</v>
      </c>
      <c r="AD502" s="311">
        <f t="shared" si="54"/>
        <v>0</v>
      </c>
      <c r="AE502" s="311">
        <f t="shared" si="55"/>
        <v>140057</v>
      </c>
      <c r="AF502" s="355"/>
      <c r="AG502" s="838"/>
      <c r="AH502" s="744"/>
      <c r="AI502" s="292"/>
      <c r="AK502" s="300"/>
      <c r="AS502" s="452"/>
    </row>
    <row r="503" spans="1:45" s="299" customFormat="1">
      <c r="A503" s="353">
        <v>320</v>
      </c>
      <c r="B503" s="352">
        <v>100</v>
      </c>
      <c r="C503" s="352">
        <v>200</v>
      </c>
      <c r="D503" s="352">
        <v>200</v>
      </c>
      <c r="E503" s="357">
        <v>20</v>
      </c>
      <c r="F503" s="357"/>
      <c r="G503" s="409" t="s">
        <v>1113</v>
      </c>
      <c r="H503" s="329"/>
      <c r="I503" s="326"/>
      <c r="J503" s="326"/>
      <c r="K503" s="326"/>
      <c r="L503" s="326"/>
      <c r="M503" s="326"/>
      <c r="N503" s="327"/>
      <c r="O503" s="802"/>
      <c r="P503" s="418">
        <v>152</v>
      </c>
      <c r="Q503" s="419">
        <v>152</v>
      </c>
      <c r="R503" s="313">
        <v>14656.09</v>
      </c>
      <c r="S503" s="311"/>
      <c r="T503" s="311"/>
      <c r="U503" s="311">
        <f>12807.7-P503</f>
        <v>12655.7</v>
      </c>
      <c r="V503" s="311"/>
      <c r="W503" s="311"/>
      <c r="X503" s="311">
        <v>1329</v>
      </c>
      <c r="Y503" s="1374">
        <f t="shared" si="49"/>
        <v>14656.09</v>
      </c>
      <c r="Z503" s="1357">
        <f t="shared" si="50"/>
        <v>0</v>
      </c>
      <c r="AA503" s="311">
        <f t="shared" si="51"/>
        <v>0</v>
      </c>
      <c r="AB503" s="311">
        <f t="shared" si="52"/>
        <v>12807.7</v>
      </c>
      <c r="AC503" s="311">
        <f t="shared" si="53"/>
        <v>0</v>
      </c>
      <c r="AD503" s="311">
        <f t="shared" si="54"/>
        <v>0</v>
      </c>
      <c r="AE503" s="311">
        <f t="shared" si="55"/>
        <v>1481</v>
      </c>
      <c r="AF503" s="355"/>
      <c r="AG503" s="838"/>
      <c r="AH503" s="744"/>
      <c r="AI503" s="292"/>
      <c r="AK503" s="300"/>
      <c r="AS503" s="452"/>
    </row>
    <row r="504" spans="1:45" s="299" customFormat="1">
      <c r="A504" s="353">
        <v>320</v>
      </c>
      <c r="B504" s="352">
        <v>100</v>
      </c>
      <c r="C504" s="352">
        <v>200</v>
      </c>
      <c r="D504" s="352">
        <v>200</v>
      </c>
      <c r="E504" s="357">
        <v>30</v>
      </c>
      <c r="F504" s="357"/>
      <c r="G504" s="409" t="s">
        <v>1136</v>
      </c>
      <c r="H504" s="329"/>
      <c r="I504" s="326"/>
      <c r="J504" s="326"/>
      <c r="K504" s="326"/>
      <c r="L504" s="326"/>
      <c r="M504" s="326"/>
      <c r="N504" s="327"/>
      <c r="O504" s="328"/>
      <c r="P504" s="326">
        <v>0</v>
      </c>
      <c r="Q504" s="327"/>
      <c r="R504" s="313">
        <v>12901.4</v>
      </c>
      <c r="S504" s="311">
        <f>2200+200</f>
        <v>2400</v>
      </c>
      <c r="T504" s="311"/>
      <c r="U504" s="311">
        <v>9544.1899999999987</v>
      </c>
      <c r="V504" s="311">
        <v>2200</v>
      </c>
      <c r="W504" s="311"/>
      <c r="X504" s="311">
        <v>1018</v>
      </c>
      <c r="Y504" s="1374">
        <f t="shared" si="49"/>
        <v>12901.4</v>
      </c>
      <c r="Z504" s="1357">
        <f t="shared" si="50"/>
        <v>2400</v>
      </c>
      <c r="AA504" s="311">
        <f t="shared" si="51"/>
        <v>0</v>
      </c>
      <c r="AB504" s="311">
        <f t="shared" si="52"/>
        <v>9544.1899999999987</v>
      </c>
      <c r="AC504" s="311">
        <f t="shared" si="53"/>
        <v>2200</v>
      </c>
      <c r="AD504" s="311">
        <f t="shared" si="54"/>
        <v>0</v>
      </c>
      <c r="AE504" s="311">
        <f t="shared" si="55"/>
        <v>1018</v>
      </c>
      <c r="AF504" s="355"/>
      <c r="AG504" s="838"/>
      <c r="AH504" s="744"/>
      <c r="AI504" s="292"/>
      <c r="AK504" s="300"/>
      <c r="AS504" s="452"/>
    </row>
    <row r="505" spans="1:45" s="299" customFormat="1">
      <c r="A505" s="353">
        <v>320</v>
      </c>
      <c r="B505" s="352">
        <v>100</v>
      </c>
      <c r="C505" s="352">
        <v>200</v>
      </c>
      <c r="D505" s="352">
        <v>200</v>
      </c>
      <c r="E505" s="357">
        <v>40</v>
      </c>
      <c r="F505" s="357"/>
      <c r="G505" s="409" t="s">
        <v>1137</v>
      </c>
      <c r="H505" s="329"/>
      <c r="I505" s="326"/>
      <c r="J505" s="326"/>
      <c r="K505" s="326"/>
      <c r="L505" s="326"/>
      <c r="M505" s="326"/>
      <c r="N505" s="327"/>
      <c r="O505" s="328"/>
      <c r="P505" s="326">
        <v>0</v>
      </c>
      <c r="Q505" s="327"/>
      <c r="R505" s="313">
        <v>4920.28</v>
      </c>
      <c r="S505" s="311">
        <f>161.4+100</f>
        <v>261.39999999999998</v>
      </c>
      <c r="T505" s="311"/>
      <c r="U505" s="311">
        <v>4482.5300000000007</v>
      </c>
      <c r="V505" s="311"/>
      <c r="W505" s="311"/>
      <c r="X505" s="311">
        <v>179</v>
      </c>
      <c r="Y505" s="1374">
        <f t="shared" si="49"/>
        <v>4920.28</v>
      </c>
      <c r="Z505" s="1357">
        <f t="shared" si="50"/>
        <v>261.39999999999998</v>
      </c>
      <c r="AA505" s="311">
        <f t="shared" si="51"/>
        <v>0</v>
      </c>
      <c r="AB505" s="311">
        <f t="shared" si="52"/>
        <v>4482.5300000000007</v>
      </c>
      <c r="AC505" s="311">
        <f t="shared" si="53"/>
        <v>0</v>
      </c>
      <c r="AD505" s="311">
        <f t="shared" si="54"/>
        <v>0</v>
      </c>
      <c r="AE505" s="311">
        <f t="shared" si="55"/>
        <v>179</v>
      </c>
      <c r="AF505" s="355"/>
      <c r="AG505" s="838"/>
      <c r="AH505" s="744"/>
      <c r="AI505" s="292"/>
      <c r="AK505" s="300"/>
      <c r="AS505" s="452"/>
    </row>
    <row r="506" spans="1:45" s="299" customFormat="1">
      <c r="A506" s="353">
        <v>320</v>
      </c>
      <c r="B506" s="352">
        <v>100</v>
      </c>
      <c r="C506" s="352">
        <v>200</v>
      </c>
      <c r="D506" s="352">
        <v>200</v>
      </c>
      <c r="E506" s="352">
        <v>50</v>
      </c>
      <c r="F506" s="352"/>
      <c r="G506" s="411" t="s">
        <v>1138</v>
      </c>
      <c r="H506" s="334"/>
      <c r="I506" s="335"/>
      <c r="J506" s="335"/>
      <c r="K506" s="335"/>
      <c r="L506" s="335"/>
      <c r="M506" s="335"/>
      <c r="N506" s="332"/>
      <c r="O506" s="333"/>
      <c r="P506" s="331">
        <v>0</v>
      </c>
      <c r="Q506" s="332"/>
      <c r="R506" s="531"/>
      <c r="S506" s="415"/>
      <c r="T506" s="415"/>
      <c r="U506" s="415"/>
      <c r="V506" s="415"/>
      <c r="W506" s="415"/>
      <c r="X506" s="415">
        <v>0</v>
      </c>
      <c r="Y506" s="1375">
        <f t="shared" si="49"/>
        <v>0</v>
      </c>
      <c r="Z506" s="1366">
        <f t="shared" si="50"/>
        <v>0</v>
      </c>
      <c r="AA506" s="415">
        <f t="shared" si="51"/>
        <v>0</v>
      </c>
      <c r="AB506" s="415">
        <f t="shared" si="52"/>
        <v>0</v>
      </c>
      <c r="AC506" s="415">
        <f t="shared" si="53"/>
        <v>0</v>
      </c>
      <c r="AD506" s="415">
        <f t="shared" si="54"/>
        <v>0</v>
      </c>
      <c r="AE506" s="415">
        <f t="shared" si="55"/>
        <v>0</v>
      </c>
      <c r="AF506" s="355"/>
      <c r="AG506" s="838"/>
      <c r="AH506" s="744"/>
      <c r="AI506" s="292"/>
      <c r="AK506" s="300"/>
      <c r="AS506" s="452"/>
    </row>
    <row r="507" spans="1:45" s="299" customFormat="1">
      <c r="A507" s="353">
        <v>320</v>
      </c>
      <c r="B507" s="352">
        <v>100</v>
      </c>
      <c r="C507" s="352">
        <v>200</v>
      </c>
      <c r="D507" s="352">
        <v>200</v>
      </c>
      <c r="E507" s="352">
        <v>50</v>
      </c>
      <c r="F507" s="357">
        <v>5</v>
      </c>
      <c r="G507" s="409" t="s">
        <v>1121</v>
      </c>
      <c r="H507" s="329"/>
      <c r="I507" s="326"/>
      <c r="J507" s="326"/>
      <c r="K507" s="326"/>
      <c r="L507" s="326"/>
      <c r="M507" s="326"/>
      <c r="N507" s="327"/>
      <c r="O507" s="328"/>
      <c r="P507" s="326">
        <v>0</v>
      </c>
      <c r="Q507" s="327"/>
      <c r="R507" s="538"/>
      <c r="S507" s="414"/>
      <c r="T507" s="414"/>
      <c r="U507" s="414"/>
      <c r="V507" s="414"/>
      <c r="W507" s="414"/>
      <c r="X507" s="414">
        <v>0</v>
      </c>
      <c r="Y507" s="1374">
        <f t="shared" si="49"/>
        <v>0</v>
      </c>
      <c r="Z507" s="1373">
        <f t="shared" si="50"/>
        <v>0</v>
      </c>
      <c r="AA507" s="414">
        <f t="shared" si="51"/>
        <v>0</v>
      </c>
      <c r="AB507" s="414">
        <f t="shared" si="52"/>
        <v>0</v>
      </c>
      <c r="AC507" s="414">
        <f t="shared" si="53"/>
        <v>0</v>
      </c>
      <c r="AD507" s="414">
        <f t="shared" si="54"/>
        <v>0</v>
      </c>
      <c r="AE507" s="414">
        <f t="shared" si="55"/>
        <v>0</v>
      </c>
      <c r="AF507" s="355"/>
      <c r="AG507" s="838"/>
      <c r="AH507" s="744"/>
      <c r="AI507" s="292"/>
      <c r="AK507" s="300"/>
      <c r="AS507" s="452"/>
    </row>
    <row r="508" spans="1:45" s="299" customFormat="1">
      <c r="A508" s="353">
        <v>320</v>
      </c>
      <c r="B508" s="352">
        <v>100</v>
      </c>
      <c r="C508" s="352">
        <v>200</v>
      </c>
      <c r="D508" s="352">
        <v>200</v>
      </c>
      <c r="E508" s="352">
        <v>50</v>
      </c>
      <c r="F508" s="357">
        <v>10</v>
      </c>
      <c r="G508" s="409" t="s">
        <v>1122</v>
      </c>
      <c r="H508" s="329"/>
      <c r="I508" s="326"/>
      <c r="J508" s="326"/>
      <c r="K508" s="326"/>
      <c r="L508" s="326"/>
      <c r="M508" s="326"/>
      <c r="N508" s="327"/>
      <c r="O508" s="328"/>
      <c r="P508" s="326">
        <v>0</v>
      </c>
      <c r="Q508" s="327"/>
      <c r="R508" s="538"/>
      <c r="S508" s="414"/>
      <c r="T508" s="414"/>
      <c r="U508" s="414"/>
      <c r="V508" s="414"/>
      <c r="W508" s="414"/>
      <c r="X508" s="414">
        <v>0</v>
      </c>
      <c r="Y508" s="1374">
        <f t="shared" si="49"/>
        <v>0</v>
      </c>
      <c r="Z508" s="1373">
        <f t="shared" si="50"/>
        <v>0</v>
      </c>
      <c r="AA508" s="414">
        <f t="shared" si="51"/>
        <v>0</v>
      </c>
      <c r="AB508" s="414">
        <f t="shared" si="52"/>
        <v>0</v>
      </c>
      <c r="AC508" s="414">
        <f t="shared" si="53"/>
        <v>0</v>
      </c>
      <c r="AD508" s="414">
        <f t="shared" si="54"/>
        <v>0</v>
      </c>
      <c r="AE508" s="414">
        <f t="shared" si="55"/>
        <v>0</v>
      </c>
      <c r="AF508" s="355"/>
      <c r="AG508" s="838"/>
      <c r="AH508" s="744"/>
      <c r="AI508" s="292"/>
      <c r="AK508" s="300"/>
      <c r="AS508" s="452"/>
    </row>
    <row r="509" spans="1:45" s="299" customFormat="1">
      <c r="A509" s="353">
        <v>320</v>
      </c>
      <c r="B509" s="352">
        <v>100</v>
      </c>
      <c r="C509" s="352">
        <v>200</v>
      </c>
      <c r="D509" s="352">
        <v>200</v>
      </c>
      <c r="E509" s="352">
        <v>50</v>
      </c>
      <c r="F509" s="357">
        <v>15</v>
      </c>
      <c r="G509" s="409" t="s">
        <v>1139</v>
      </c>
      <c r="H509" s="329"/>
      <c r="I509" s="326"/>
      <c r="J509" s="326"/>
      <c r="K509" s="326"/>
      <c r="L509" s="326"/>
      <c r="M509" s="326"/>
      <c r="N509" s="327"/>
      <c r="O509" s="328"/>
      <c r="P509" s="326">
        <v>0</v>
      </c>
      <c r="Q509" s="327"/>
      <c r="R509" s="532"/>
      <c r="S509" s="413"/>
      <c r="T509" s="413"/>
      <c r="U509" s="413">
        <v>0</v>
      </c>
      <c r="V509" s="413"/>
      <c r="W509" s="413"/>
      <c r="X509" s="413">
        <v>612</v>
      </c>
      <c r="Y509" s="1374">
        <f t="shared" si="49"/>
        <v>0</v>
      </c>
      <c r="Z509" s="1367">
        <f t="shared" si="50"/>
        <v>0</v>
      </c>
      <c r="AA509" s="413">
        <f t="shared" si="51"/>
        <v>0</v>
      </c>
      <c r="AB509" s="413">
        <f t="shared" si="52"/>
        <v>0</v>
      </c>
      <c r="AC509" s="413">
        <f t="shared" si="53"/>
        <v>0</v>
      </c>
      <c r="AD509" s="413">
        <f t="shared" si="54"/>
        <v>0</v>
      </c>
      <c r="AE509" s="413">
        <f t="shared" si="55"/>
        <v>612</v>
      </c>
      <c r="AF509" s="355"/>
      <c r="AG509" s="838"/>
      <c r="AH509" s="744"/>
      <c r="AI509" s="292"/>
      <c r="AK509" s="300"/>
      <c r="AS509" s="452"/>
    </row>
    <row r="510" spans="1:45" s="299" customFormat="1">
      <c r="A510" s="353">
        <v>320</v>
      </c>
      <c r="B510" s="352">
        <v>100</v>
      </c>
      <c r="C510" s="352">
        <v>200</v>
      </c>
      <c r="D510" s="352">
        <v>200</v>
      </c>
      <c r="E510" s="357">
        <v>90</v>
      </c>
      <c r="F510" s="357"/>
      <c r="G510" s="409" t="s">
        <v>1140</v>
      </c>
      <c r="H510" s="329"/>
      <c r="I510" s="326"/>
      <c r="J510" s="326"/>
      <c r="K510" s="326"/>
      <c r="L510" s="326"/>
      <c r="M510" s="326"/>
      <c r="N510" s="327"/>
      <c r="O510" s="802"/>
      <c r="P510" s="418">
        <v>6270</v>
      </c>
      <c r="Q510" s="419">
        <v>6270</v>
      </c>
      <c r="R510" s="313">
        <v>43820.15</v>
      </c>
      <c r="S510" s="311">
        <f>1827.41+75.13</f>
        <v>1902.54</v>
      </c>
      <c r="T510" s="311"/>
      <c r="U510" s="311">
        <f>38474.97-P510</f>
        <v>32204.97</v>
      </c>
      <c r="V510" s="311">
        <v>1652.54</v>
      </c>
      <c r="W510" s="311"/>
      <c r="X510" s="311">
        <v>45437</v>
      </c>
      <c r="Y510" s="1374">
        <f t="shared" si="49"/>
        <v>43820.15</v>
      </c>
      <c r="Z510" s="1357">
        <f t="shared" si="50"/>
        <v>1902.54</v>
      </c>
      <c r="AA510" s="311">
        <f t="shared" si="51"/>
        <v>0</v>
      </c>
      <c r="AB510" s="311">
        <f t="shared" si="52"/>
        <v>38474.97</v>
      </c>
      <c r="AC510" s="311">
        <f t="shared" si="53"/>
        <v>1652.54</v>
      </c>
      <c r="AD510" s="311">
        <f t="shared" si="54"/>
        <v>0</v>
      </c>
      <c r="AE510" s="311">
        <f t="shared" si="55"/>
        <v>51707</v>
      </c>
      <c r="AF510" s="355"/>
      <c r="AG510" s="838"/>
      <c r="AH510" s="744"/>
      <c r="AI510" s="292"/>
      <c r="AK510" s="300"/>
      <c r="AS510" s="452"/>
    </row>
    <row r="511" spans="1:45" s="299" customFormat="1" ht="27.6">
      <c r="A511" s="353">
        <v>320</v>
      </c>
      <c r="B511" s="352">
        <v>100</v>
      </c>
      <c r="C511" s="352">
        <v>200</v>
      </c>
      <c r="D511" s="357">
        <v>300</v>
      </c>
      <c r="E511" s="357"/>
      <c r="F511" s="357"/>
      <c r="G511" s="315" t="s">
        <v>1130</v>
      </c>
      <c r="H511" s="329"/>
      <c r="I511" s="326"/>
      <c r="J511" s="358"/>
      <c r="K511" s="358"/>
      <c r="L511" s="358"/>
      <c r="M511" s="358"/>
      <c r="N511" s="327"/>
      <c r="O511" s="328"/>
      <c r="P511" s="326">
        <v>0</v>
      </c>
      <c r="Q511" s="327"/>
      <c r="R511" s="536"/>
      <c r="S511" s="412"/>
      <c r="T511" s="412"/>
      <c r="U511" s="412">
        <v>0</v>
      </c>
      <c r="V511" s="412"/>
      <c r="W511" s="412"/>
      <c r="X511" s="412">
        <v>0</v>
      </c>
      <c r="Y511" s="1350">
        <f t="shared" si="49"/>
        <v>0</v>
      </c>
      <c r="Z511" s="1371">
        <f t="shared" si="50"/>
        <v>0</v>
      </c>
      <c r="AA511" s="412">
        <f t="shared" si="51"/>
        <v>0</v>
      </c>
      <c r="AB511" s="412">
        <f t="shared" si="52"/>
        <v>0</v>
      </c>
      <c r="AC511" s="412">
        <f t="shared" si="53"/>
        <v>0</v>
      </c>
      <c r="AD511" s="412">
        <f t="shared" si="54"/>
        <v>0</v>
      </c>
      <c r="AE511" s="412">
        <f t="shared" si="55"/>
        <v>0</v>
      </c>
      <c r="AF511" s="355" t="s">
        <v>1143</v>
      </c>
      <c r="AG511" s="838"/>
      <c r="AH511" s="744"/>
      <c r="AI511" s="292"/>
      <c r="AK511" s="300"/>
      <c r="AS511" s="452"/>
    </row>
    <row r="512" spans="1:45" s="299" customFormat="1" ht="27.6">
      <c r="A512" s="353">
        <v>320</v>
      </c>
      <c r="B512" s="352">
        <v>200</v>
      </c>
      <c r="C512" s="352"/>
      <c r="D512" s="352"/>
      <c r="E512" s="352"/>
      <c r="F512" s="352"/>
      <c r="G512" s="403" t="s">
        <v>1144</v>
      </c>
      <c r="H512" s="334"/>
      <c r="I512" s="331"/>
      <c r="J512" s="359"/>
      <c r="K512" s="359"/>
      <c r="L512" s="359"/>
      <c r="M512" s="359"/>
      <c r="N512" s="332"/>
      <c r="O512" s="333"/>
      <c r="P512" s="331">
        <v>0</v>
      </c>
      <c r="Q512" s="332"/>
      <c r="R512" s="537"/>
      <c r="S512" s="416"/>
      <c r="T512" s="416"/>
      <c r="U512" s="416">
        <v>0</v>
      </c>
      <c r="V512" s="416"/>
      <c r="W512" s="416"/>
      <c r="X512" s="416">
        <v>0</v>
      </c>
      <c r="Y512" s="1352">
        <f t="shared" si="49"/>
        <v>0</v>
      </c>
      <c r="Z512" s="1372">
        <f t="shared" si="50"/>
        <v>0</v>
      </c>
      <c r="AA512" s="416">
        <f t="shared" si="51"/>
        <v>0</v>
      </c>
      <c r="AB512" s="416">
        <f t="shared" si="52"/>
        <v>0</v>
      </c>
      <c r="AC512" s="416">
        <f t="shared" si="53"/>
        <v>0</v>
      </c>
      <c r="AD512" s="416">
        <f t="shared" si="54"/>
        <v>0</v>
      </c>
      <c r="AE512" s="416">
        <f t="shared" si="55"/>
        <v>0</v>
      </c>
      <c r="AF512" s="355" t="s">
        <v>1145</v>
      </c>
      <c r="AG512" s="838"/>
      <c r="AH512" s="744"/>
      <c r="AI512" s="292"/>
      <c r="AK512" s="300"/>
      <c r="AS512" s="452"/>
    </row>
    <row r="513" spans="1:45" s="299" customFormat="1" ht="27.6">
      <c r="A513" s="353">
        <v>320</v>
      </c>
      <c r="B513" s="352">
        <v>200</v>
      </c>
      <c r="C513" s="352">
        <v>100</v>
      </c>
      <c r="D513" s="352"/>
      <c r="E513" s="352"/>
      <c r="F513" s="352"/>
      <c r="G513" s="323" t="s">
        <v>1146</v>
      </c>
      <c r="H513" s="334"/>
      <c r="I513" s="331"/>
      <c r="J513" s="359"/>
      <c r="K513" s="359"/>
      <c r="L513" s="359"/>
      <c r="M513" s="359"/>
      <c r="N513" s="332"/>
      <c r="O513" s="333"/>
      <c r="P513" s="331">
        <v>0</v>
      </c>
      <c r="Q513" s="332"/>
      <c r="R513" s="537"/>
      <c r="S513" s="416"/>
      <c r="T513" s="416"/>
      <c r="U513" s="416">
        <v>0</v>
      </c>
      <c r="V513" s="416"/>
      <c r="W513" s="416"/>
      <c r="X513" s="416">
        <v>0</v>
      </c>
      <c r="Y513" s="1352">
        <f t="shared" si="49"/>
        <v>0</v>
      </c>
      <c r="Z513" s="1372">
        <f t="shared" si="50"/>
        <v>0</v>
      </c>
      <c r="AA513" s="416">
        <f t="shared" si="51"/>
        <v>0</v>
      </c>
      <c r="AB513" s="416">
        <f t="shared" si="52"/>
        <v>0</v>
      </c>
      <c r="AC513" s="416">
        <f t="shared" si="53"/>
        <v>0</v>
      </c>
      <c r="AD513" s="416">
        <f t="shared" si="54"/>
        <v>0</v>
      </c>
      <c r="AE513" s="416">
        <f t="shared" si="55"/>
        <v>0</v>
      </c>
      <c r="AF513" s="355" t="s">
        <v>1147</v>
      </c>
      <c r="AG513" s="838"/>
      <c r="AH513" s="744"/>
      <c r="AI513" s="292"/>
      <c r="AK513" s="300"/>
      <c r="AS513" s="452"/>
    </row>
    <row r="514" spans="1:45" s="299" customFormat="1">
      <c r="A514" s="353">
        <v>320</v>
      </c>
      <c r="B514" s="352">
        <v>200</v>
      </c>
      <c r="C514" s="352">
        <v>100</v>
      </c>
      <c r="D514" s="357">
        <v>100</v>
      </c>
      <c r="E514" s="357"/>
      <c r="F514" s="357"/>
      <c r="G514" s="409" t="s">
        <v>1112</v>
      </c>
      <c r="H514" s="329"/>
      <c r="I514" s="326"/>
      <c r="J514" s="358"/>
      <c r="K514" s="358"/>
      <c r="L514" s="358"/>
      <c r="M514" s="358"/>
      <c r="N514" s="327"/>
      <c r="O514" s="328"/>
      <c r="P514" s="326">
        <v>0</v>
      </c>
      <c r="Q514" s="327"/>
      <c r="R514" s="313">
        <v>8013844.8200000003</v>
      </c>
      <c r="S514" s="311">
        <v>258103.54</v>
      </c>
      <c r="T514" s="311"/>
      <c r="U514" s="311">
        <v>8011419.3799999999</v>
      </c>
      <c r="V514" s="311">
        <v>294859.17</v>
      </c>
      <c r="W514" s="311">
        <v>89301.4</v>
      </c>
      <c r="X514" s="311">
        <v>7735982</v>
      </c>
      <c r="Y514" s="1350">
        <f t="shared" si="49"/>
        <v>8013844.8200000003</v>
      </c>
      <c r="Z514" s="1357">
        <f t="shared" si="50"/>
        <v>258103.54</v>
      </c>
      <c r="AA514" s="311">
        <f t="shared" si="51"/>
        <v>0</v>
      </c>
      <c r="AB514" s="311">
        <f t="shared" si="52"/>
        <v>8011419.3799999999</v>
      </c>
      <c r="AC514" s="311">
        <f t="shared" si="53"/>
        <v>294859.17</v>
      </c>
      <c r="AD514" s="311">
        <f t="shared" si="54"/>
        <v>89301.4</v>
      </c>
      <c r="AE514" s="311">
        <f t="shared" si="55"/>
        <v>7735982</v>
      </c>
      <c r="AF514" s="355"/>
      <c r="AG514" s="838"/>
      <c r="AH514" s="744"/>
      <c r="AI514" s="292"/>
      <c r="AK514" s="300"/>
      <c r="AS514" s="452"/>
    </row>
    <row r="515" spans="1:45" s="299" customFormat="1">
      <c r="A515" s="353">
        <v>320</v>
      </c>
      <c r="B515" s="352">
        <v>200</v>
      </c>
      <c r="C515" s="352">
        <v>100</v>
      </c>
      <c r="D515" s="357">
        <v>200</v>
      </c>
      <c r="E515" s="357"/>
      <c r="F515" s="357"/>
      <c r="G515" s="409" t="s">
        <v>1148</v>
      </c>
      <c r="H515" s="329"/>
      <c r="I515" s="326"/>
      <c r="J515" s="358"/>
      <c r="K515" s="358"/>
      <c r="L515" s="358"/>
      <c r="M515" s="358"/>
      <c r="N515" s="327"/>
      <c r="O515" s="328"/>
      <c r="P515" s="326">
        <v>0</v>
      </c>
      <c r="Q515" s="327"/>
      <c r="R515" s="313">
        <v>108101.6</v>
      </c>
      <c r="S515" s="311">
        <v>3500</v>
      </c>
      <c r="T515" s="311"/>
      <c r="U515" s="311">
        <v>91411.67</v>
      </c>
      <c r="V515" s="311"/>
      <c r="W515" s="311"/>
      <c r="X515" s="311">
        <v>56923</v>
      </c>
      <c r="Y515" s="1350">
        <f t="shared" si="49"/>
        <v>108101.6</v>
      </c>
      <c r="Z515" s="1357">
        <f t="shared" si="50"/>
        <v>3500</v>
      </c>
      <c r="AA515" s="311">
        <f t="shared" si="51"/>
        <v>0</v>
      </c>
      <c r="AB515" s="311">
        <f t="shared" si="52"/>
        <v>91411.67</v>
      </c>
      <c r="AC515" s="311">
        <f t="shared" si="53"/>
        <v>0</v>
      </c>
      <c r="AD515" s="311">
        <f t="shared" si="54"/>
        <v>0</v>
      </c>
      <c r="AE515" s="311">
        <f t="shared" si="55"/>
        <v>56923</v>
      </c>
      <c r="AF515" s="355"/>
      <c r="AG515" s="838"/>
      <c r="AH515" s="744"/>
      <c r="AI515" s="292"/>
      <c r="AK515" s="300"/>
      <c r="AS515" s="452"/>
    </row>
    <row r="516" spans="1:45" s="299" customFormat="1">
      <c r="A516" s="353">
        <v>320</v>
      </c>
      <c r="B516" s="352">
        <v>200</v>
      </c>
      <c r="C516" s="352">
        <v>100</v>
      </c>
      <c r="D516" s="357">
        <v>300</v>
      </c>
      <c r="E516" s="357"/>
      <c r="F516" s="357"/>
      <c r="G516" s="409" t="s">
        <v>1149</v>
      </c>
      <c r="H516" s="329"/>
      <c r="I516" s="326"/>
      <c r="J516" s="358"/>
      <c r="K516" s="358"/>
      <c r="L516" s="358"/>
      <c r="M516" s="358"/>
      <c r="N516" s="327"/>
      <c r="O516" s="328"/>
      <c r="P516" s="326">
        <v>0</v>
      </c>
      <c r="Q516" s="327"/>
      <c r="R516" s="313">
        <v>551661.18000000005</v>
      </c>
      <c r="S516" s="311">
        <f>13729.2+10000</f>
        <v>23729.200000000001</v>
      </c>
      <c r="T516" s="311"/>
      <c r="U516" s="311">
        <v>1451266.13</v>
      </c>
      <c r="V516" s="311">
        <v>13729.21</v>
      </c>
      <c r="W516" s="311">
        <v>7000</v>
      </c>
      <c r="X516" s="311">
        <v>1374807</v>
      </c>
      <c r="Y516" s="1350">
        <f t="shared" si="49"/>
        <v>551661.18000000005</v>
      </c>
      <c r="Z516" s="1357">
        <f t="shared" si="50"/>
        <v>23729.200000000001</v>
      </c>
      <c r="AA516" s="311">
        <f t="shared" si="51"/>
        <v>0</v>
      </c>
      <c r="AB516" s="311">
        <f t="shared" si="52"/>
        <v>1451266.13</v>
      </c>
      <c r="AC516" s="311">
        <f t="shared" si="53"/>
        <v>13729.21</v>
      </c>
      <c r="AD516" s="311">
        <f t="shared" si="54"/>
        <v>7000</v>
      </c>
      <c r="AE516" s="311">
        <f t="shared" si="55"/>
        <v>1374807</v>
      </c>
      <c r="AF516" s="355"/>
      <c r="AG516" s="838"/>
      <c r="AH516" s="744"/>
      <c r="AI516" s="292"/>
      <c r="AK516" s="300"/>
      <c r="AS516" s="452"/>
    </row>
    <row r="517" spans="1:45" s="299" customFormat="1">
      <c r="A517" s="353">
        <v>320</v>
      </c>
      <c r="B517" s="352">
        <v>200</v>
      </c>
      <c r="C517" s="352">
        <v>100</v>
      </c>
      <c r="D517" s="357">
        <v>400</v>
      </c>
      <c r="E517" s="357"/>
      <c r="F517" s="357"/>
      <c r="G517" s="409" t="s">
        <v>1150</v>
      </c>
      <c r="H517" s="329"/>
      <c r="I517" s="326"/>
      <c r="J517" s="358"/>
      <c r="K517" s="358"/>
      <c r="L517" s="358"/>
      <c r="M517" s="358"/>
      <c r="N517" s="327"/>
      <c r="O517" s="328"/>
      <c r="P517" s="326">
        <v>0</v>
      </c>
      <c r="Q517" s="327"/>
      <c r="R517" s="313">
        <v>1857028.13</v>
      </c>
      <c r="S517" s="311">
        <f>151972.51+11000</f>
        <v>162972.51</v>
      </c>
      <c r="T517" s="311"/>
      <c r="U517" s="311">
        <v>858685.06</v>
      </c>
      <c r="V517" s="311">
        <v>151972.51</v>
      </c>
      <c r="W517" s="311"/>
      <c r="X517" s="311">
        <v>281825</v>
      </c>
      <c r="Y517" s="1350">
        <f t="shared" si="49"/>
        <v>1857028.13</v>
      </c>
      <c r="Z517" s="1357">
        <f t="shared" si="50"/>
        <v>162972.51</v>
      </c>
      <c r="AA517" s="311">
        <f t="shared" si="51"/>
        <v>0</v>
      </c>
      <c r="AB517" s="311">
        <f t="shared" si="52"/>
        <v>858685.06</v>
      </c>
      <c r="AC517" s="311">
        <f t="shared" si="53"/>
        <v>151972.51</v>
      </c>
      <c r="AD517" s="311">
        <f t="shared" si="54"/>
        <v>0</v>
      </c>
      <c r="AE517" s="311">
        <f t="shared" si="55"/>
        <v>281825</v>
      </c>
      <c r="AF517" s="355"/>
      <c r="AG517" s="838"/>
      <c r="AH517" s="744"/>
      <c r="AI517" s="292"/>
      <c r="AK517" s="300"/>
      <c r="AS517" s="452"/>
    </row>
    <row r="518" spans="1:45" s="299" customFormat="1">
      <c r="A518" s="353">
        <v>320</v>
      </c>
      <c r="B518" s="352">
        <v>200</v>
      </c>
      <c r="C518" s="352">
        <v>100</v>
      </c>
      <c r="D518" s="357">
        <v>500</v>
      </c>
      <c r="E518" s="357"/>
      <c r="F518" s="357"/>
      <c r="G518" s="409" t="s">
        <v>1137</v>
      </c>
      <c r="H518" s="329"/>
      <c r="I518" s="326"/>
      <c r="J518" s="358"/>
      <c r="K518" s="358"/>
      <c r="L518" s="358"/>
      <c r="M518" s="358"/>
      <c r="N518" s="327"/>
      <c r="O518" s="328"/>
      <c r="P518" s="326">
        <v>0</v>
      </c>
      <c r="Q518" s="327"/>
      <c r="R518" s="313">
        <v>715032.52</v>
      </c>
      <c r="S518" s="311">
        <v>48898.6</v>
      </c>
      <c r="T518" s="311"/>
      <c r="U518" s="311">
        <v>640707.04</v>
      </c>
      <c r="V518" s="311">
        <v>48898.6</v>
      </c>
      <c r="W518" s="311"/>
      <c r="X518" s="311">
        <v>652798</v>
      </c>
      <c r="Y518" s="1350">
        <f t="shared" si="49"/>
        <v>715032.52</v>
      </c>
      <c r="Z518" s="1357">
        <f t="shared" si="50"/>
        <v>48898.6</v>
      </c>
      <c r="AA518" s="311">
        <f t="shared" si="51"/>
        <v>0</v>
      </c>
      <c r="AB518" s="311">
        <f t="shared" si="52"/>
        <v>640707.04</v>
      </c>
      <c r="AC518" s="311">
        <f t="shared" si="53"/>
        <v>48898.6</v>
      </c>
      <c r="AD518" s="311">
        <f t="shared" si="54"/>
        <v>0</v>
      </c>
      <c r="AE518" s="311">
        <f t="shared" si="55"/>
        <v>652798</v>
      </c>
      <c r="AF518" s="355"/>
      <c r="AG518" s="838"/>
      <c r="AH518" s="744"/>
      <c r="AI518" s="292"/>
      <c r="AK518" s="300"/>
      <c r="AS518" s="452"/>
    </row>
    <row r="519" spans="1:45" s="299" customFormat="1">
      <c r="A519" s="353">
        <v>320</v>
      </c>
      <c r="B519" s="352">
        <v>200</v>
      </c>
      <c r="C519" s="352">
        <v>100</v>
      </c>
      <c r="D519" s="352">
        <v>600</v>
      </c>
      <c r="E519" s="352"/>
      <c r="F519" s="352"/>
      <c r="G519" s="411" t="s">
        <v>1120</v>
      </c>
      <c r="H519" s="329"/>
      <c r="I519" s="326"/>
      <c r="J519" s="358"/>
      <c r="K519" s="358"/>
      <c r="L519" s="358"/>
      <c r="M519" s="358"/>
      <c r="N519" s="327"/>
      <c r="O519" s="328"/>
      <c r="P519" s="326">
        <v>0</v>
      </c>
      <c r="Q519" s="327"/>
      <c r="R519" s="313"/>
      <c r="S519" s="311"/>
      <c r="T519" s="311"/>
      <c r="U519" s="311"/>
      <c r="V519" s="311"/>
      <c r="W519" s="311"/>
      <c r="X519" s="311">
        <v>0</v>
      </c>
      <c r="Y519" s="1350">
        <f t="shared" ref="Y519:Y582" si="56">+H519+O519+R519</f>
        <v>0</v>
      </c>
      <c r="Z519" s="1357">
        <f t="shared" ref="Z519:Z582" si="57">+I519+S519</f>
        <v>0</v>
      </c>
      <c r="AA519" s="311">
        <f t="shared" ref="AA519:AA582" si="58">+J519+T519</f>
        <v>0</v>
      </c>
      <c r="AB519" s="311">
        <f t="shared" ref="AB519:AB582" si="59">+K519+P519+U519</f>
        <v>0</v>
      </c>
      <c r="AC519" s="311">
        <f t="shared" ref="AC519:AC582" si="60">+L519+V519</f>
        <v>0</v>
      </c>
      <c r="AD519" s="311">
        <f t="shared" ref="AD519:AD582" si="61">+M519+W519</f>
        <v>0</v>
      </c>
      <c r="AE519" s="311">
        <f t="shared" ref="AE519:AE582" si="62">+N519+X519+Q519</f>
        <v>0</v>
      </c>
      <c r="AF519" s="355"/>
      <c r="AG519" s="838"/>
      <c r="AH519" s="744"/>
      <c r="AI519" s="292"/>
      <c r="AK519" s="300"/>
      <c r="AS519" s="452"/>
    </row>
    <row r="520" spans="1:45" s="299" customFormat="1">
      <c r="A520" s="353">
        <v>320</v>
      </c>
      <c r="B520" s="352">
        <v>200</v>
      </c>
      <c r="C520" s="352">
        <v>100</v>
      </c>
      <c r="D520" s="352">
        <v>600</v>
      </c>
      <c r="E520" s="357">
        <v>5</v>
      </c>
      <c r="F520" s="357"/>
      <c r="G520" s="409" t="s">
        <v>1121</v>
      </c>
      <c r="H520" s="329"/>
      <c r="I520" s="326"/>
      <c r="J520" s="358"/>
      <c r="K520" s="358"/>
      <c r="L520" s="358"/>
      <c r="M520" s="358"/>
      <c r="N520" s="327"/>
      <c r="O520" s="328"/>
      <c r="P520" s="326">
        <v>0</v>
      </c>
      <c r="Q520" s="327"/>
      <c r="R520" s="313"/>
      <c r="S520" s="311"/>
      <c r="T520" s="311"/>
      <c r="U520" s="311"/>
      <c r="V520" s="311"/>
      <c r="W520" s="311"/>
      <c r="X520" s="311">
        <v>0</v>
      </c>
      <c r="Y520" s="1350">
        <f t="shared" si="56"/>
        <v>0</v>
      </c>
      <c r="Z520" s="1357">
        <f t="shared" si="57"/>
        <v>0</v>
      </c>
      <c r="AA520" s="311">
        <f t="shared" si="58"/>
        <v>0</v>
      </c>
      <c r="AB520" s="311">
        <f t="shared" si="59"/>
        <v>0</v>
      </c>
      <c r="AC520" s="311">
        <f t="shared" si="60"/>
        <v>0</v>
      </c>
      <c r="AD520" s="311">
        <f t="shared" si="61"/>
        <v>0</v>
      </c>
      <c r="AE520" s="311">
        <f t="shared" si="62"/>
        <v>0</v>
      </c>
      <c r="AF520" s="355"/>
      <c r="AG520" s="838"/>
      <c r="AH520" s="744"/>
      <c r="AI520" s="292"/>
      <c r="AK520" s="300"/>
      <c r="AS520" s="452"/>
    </row>
    <row r="521" spans="1:45" s="299" customFormat="1">
      <c r="A521" s="353">
        <v>320</v>
      </c>
      <c r="B521" s="352">
        <v>200</v>
      </c>
      <c r="C521" s="352">
        <v>100</v>
      </c>
      <c r="D521" s="352">
        <v>600</v>
      </c>
      <c r="E521" s="357">
        <v>10</v>
      </c>
      <c r="F521" s="357"/>
      <c r="G521" s="409" t="s">
        <v>1122</v>
      </c>
      <c r="H521" s="329"/>
      <c r="I521" s="326"/>
      <c r="J521" s="358"/>
      <c r="K521" s="358"/>
      <c r="L521" s="358"/>
      <c r="M521" s="358"/>
      <c r="N521" s="327"/>
      <c r="O521" s="328"/>
      <c r="P521" s="326">
        <v>0</v>
      </c>
      <c r="Q521" s="327"/>
      <c r="R521" s="313"/>
      <c r="S521" s="311"/>
      <c r="T521" s="311"/>
      <c r="U521" s="311"/>
      <c r="V521" s="311"/>
      <c r="W521" s="311"/>
      <c r="X521" s="311">
        <v>0</v>
      </c>
      <c r="Y521" s="1350">
        <f t="shared" si="56"/>
        <v>0</v>
      </c>
      <c r="Z521" s="1357">
        <f t="shared" si="57"/>
        <v>0</v>
      </c>
      <c r="AA521" s="311">
        <f t="shared" si="58"/>
        <v>0</v>
      </c>
      <c r="AB521" s="311">
        <f t="shared" si="59"/>
        <v>0</v>
      </c>
      <c r="AC521" s="311">
        <f t="shared" si="60"/>
        <v>0</v>
      </c>
      <c r="AD521" s="311">
        <f t="shared" si="61"/>
        <v>0</v>
      </c>
      <c r="AE521" s="311">
        <f t="shared" si="62"/>
        <v>0</v>
      </c>
      <c r="AF521" s="355"/>
      <c r="AG521" s="838"/>
      <c r="AH521" s="744"/>
      <c r="AI521" s="292"/>
      <c r="AK521" s="300"/>
      <c r="AS521" s="452"/>
    </row>
    <row r="522" spans="1:45" s="299" customFormat="1">
      <c r="A522" s="353">
        <v>320</v>
      </c>
      <c r="B522" s="352">
        <v>200</v>
      </c>
      <c r="C522" s="352">
        <v>100</v>
      </c>
      <c r="D522" s="352">
        <v>600</v>
      </c>
      <c r="E522" s="357">
        <v>15</v>
      </c>
      <c r="F522" s="357"/>
      <c r="G522" s="409" t="s">
        <v>1151</v>
      </c>
      <c r="H522" s="329"/>
      <c r="I522" s="326"/>
      <c r="J522" s="358"/>
      <c r="K522" s="358"/>
      <c r="L522" s="358"/>
      <c r="M522" s="358"/>
      <c r="N522" s="327"/>
      <c r="O522" s="328"/>
      <c r="P522" s="326">
        <v>0</v>
      </c>
      <c r="Q522" s="327"/>
      <c r="R522" s="532">
        <v>198.87</v>
      </c>
      <c r="S522" s="413"/>
      <c r="T522" s="413"/>
      <c r="U522" s="413">
        <v>198.87</v>
      </c>
      <c r="V522" s="413"/>
      <c r="W522" s="413"/>
      <c r="X522" s="413">
        <v>7247</v>
      </c>
      <c r="Y522" s="1350">
        <f t="shared" si="56"/>
        <v>198.87</v>
      </c>
      <c r="Z522" s="1367">
        <f t="shared" si="57"/>
        <v>0</v>
      </c>
      <c r="AA522" s="413">
        <f t="shared" si="58"/>
        <v>0</v>
      </c>
      <c r="AB522" s="413">
        <f t="shared" si="59"/>
        <v>198.87</v>
      </c>
      <c r="AC522" s="413">
        <f t="shared" si="60"/>
        <v>0</v>
      </c>
      <c r="AD522" s="413">
        <f t="shared" si="61"/>
        <v>0</v>
      </c>
      <c r="AE522" s="413">
        <f t="shared" si="62"/>
        <v>7247</v>
      </c>
      <c r="AF522" s="355"/>
      <c r="AG522" s="838"/>
      <c r="AH522" s="744"/>
      <c r="AI522" s="292"/>
      <c r="AK522" s="300"/>
      <c r="AS522" s="452"/>
    </row>
    <row r="523" spans="1:45" s="299" customFormat="1">
      <c r="A523" s="353">
        <v>320</v>
      </c>
      <c r="B523" s="352">
        <v>200</v>
      </c>
      <c r="C523" s="352">
        <v>100</v>
      </c>
      <c r="D523" s="357">
        <v>700</v>
      </c>
      <c r="E523" s="357"/>
      <c r="F523" s="357"/>
      <c r="G523" s="409" t="s">
        <v>1140</v>
      </c>
      <c r="H523" s="329"/>
      <c r="I523" s="326"/>
      <c r="J523" s="358"/>
      <c r="K523" s="358"/>
      <c r="L523" s="358"/>
      <c r="M523" s="358"/>
      <c r="N523" s="327"/>
      <c r="O523" s="328"/>
      <c r="P523" s="326">
        <v>0</v>
      </c>
      <c r="Q523" s="327"/>
      <c r="R523" s="313">
        <v>3229611.97</v>
      </c>
      <c r="S523" s="311">
        <f>128218.01+13916.54</f>
        <v>142134.54999999999</v>
      </c>
      <c r="T523" s="311"/>
      <c r="U523" s="311">
        <v>3197398.27</v>
      </c>
      <c r="V523" s="311">
        <v>136667.57999999999</v>
      </c>
      <c r="W523" s="311">
        <v>26887.35</v>
      </c>
      <c r="X523" s="311">
        <v>2950660</v>
      </c>
      <c r="Y523" s="1350">
        <f t="shared" si="56"/>
        <v>3229611.97</v>
      </c>
      <c r="Z523" s="1357">
        <f t="shared" si="57"/>
        <v>142134.54999999999</v>
      </c>
      <c r="AA523" s="311">
        <f t="shared" si="58"/>
        <v>0</v>
      </c>
      <c r="AB523" s="311">
        <f t="shared" si="59"/>
        <v>3197398.27</v>
      </c>
      <c r="AC523" s="311">
        <f t="shared" si="60"/>
        <v>136667.57999999999</v>
      </c>
      <c r="AD523" s="311">
        <f t="shared" si="61"/>
        <v>26887.35</v>
      </c>
      <c r="AE523" s="311">
        <f t="shared" si="62"/>
        <v>2950660</v>
      </c>
      <c r="AF523" s="355"/>
      <c r="AG523" s="838"/>
      <c r="AH523" s="744"/>
      <c r="AI523" s="292"/>
      <c r="AK523" s="300"/>
      <c r="AS523" s="452"/>
    </row>
    <row r="524" spans="1:45" s="299" customFormat="1" ht="27.6">
      <c r="A524" s="353">
        <v>320</v>
      </c>
      <c r="B524" s="352">
        <v>200</v>
      </c>
      <c r="C524" s="352">
        <v>200</v>
      </c>
      <c r="D524" s="352"/>
      <c r="E524" s="352"/>
      <c r="F524" s="352"/>
      <c r="G524" s="323" t="s">
        <v>1152</v>
      </c>
      <c r="H524" s="334"/>
      <c r="I524" s="331"/>
      <c r="J524" s="359"/>
      <c r="K524" s="359"/>
      <c r="L524" s="359"/>
      <c r="M524" s="359"/>
      <c r="N524" s="332"/>
      <c r="O524" s="333"/>
      <c r="P524" s="331">
        <v>0</v>
      </c>
      <c r="Q524" s="332"/>
      <c r="R524" s="537"/>
      <c r="S524" s="416"/>
      <c r="T524" s="416"/>
      <c r="U524" s="416"/>
      <c r="V524" s="416"/>
      <c r="W524" s="416"/>
      <c r="X524" s="416">
        <v>0</v>
      </c>
      <c r="Y524" s="1352">
        <f t="shared" si="56"/>
        <v>0</v>
      </c>
      <c r="Z524" s="1372">
        <f t="shared" si="57"/>
        <v>0</v>
      </c>
      <c r="AA524" s="416">
        <f t="shared" si="58"/>
        <v>0</v>
      </c>
      <c r="AB524" s="416">
        <f t="shared" si="59"/>
        <v>0</v>
      </c>
      <c r="AC524" s="416">
        <f t="shared" si="60"/>
        <v>0</v>
      </c>
      <c r="AD524" s="416">
        <f t="shared" si="61"/>
        <v>0</v>
      </c>
      <c r="AE524" s="416">
        <f t="shared" si="62"/>
        <v>0</v>
      </c>
      <c r="AF524" s="355" t="s">
        <v>1153</v>
      </c>
      <c r="AG524" s="838"/>
      <c r="AH524" s="744"/>
      <c r="AI524" s="292"/>
      <c r="AK524" s="300"/>
      <c r="AS524" s="452"/>
    </row>
    <row r="525" spans="1:45" s="299" customFormat="1">
      <c r="A525" s="353">
        <v>320</v>
      </c>
      <c r="B525" s="352">
        <v>200</v>
      </c>
      <c r="C525" s="352">
        <v>200</v>
      </c>
      <c r="D525" s="357">
        <v>100</v>
      </c>
      <c r="E525" s="357"/>
      <c r="F525" s="357"/>
      <c r="G525" s="409" t="s">
        <v>1112</v>
      </c>
      <c r="H525" s="329"/>
      <c r="I525" s="326"/>
      <c r="J525" s="358"/>
      <c r="K525" s="358"/>
      <c r="L525" s="358"/>
      <c r="M525" s="358"/>
      <c r="N525" s="363"/>
      <c r="O525" s="803"/>
      <c r="P525" s="393">
        <v>683201.83</v>
      </c>
      <c r="Q525" s="392">
        <f>779320+433500</f>
        <v>1212820</v>
      </c>
      <c r="R525" s="313">
        <v>972441.75</v>
      </c>
      <c r="S525" s="311">
        <v>122269.22</v>
      </c>
      <c r="T525" s="311"/>
      <c r="U525" s="311">
        <f>970596.85-P525</f>
        <v>287395.02</v>
      </c>
      <c r="V525" s="311">
        <v>105322.99380000001</v>
      </c>
      <c r="W525" s="311">
        <v>9991.3700000000008</v>
      </c>
      <c r="X525" s="311">
        <v>383902</v>
      </c>
      <c r="Y525" s="1350">
        <f t="shared" si="56"/>
        <v>972441.75</v>
      </c>
      <c r="Z525" s="1357">
        <f t="shared" si="57"/>
        <v>122269.22</v>
      </c>
      <c r="AA525" s="311">
        <f t="shared" si="58"/>
        <v>0</v>
      </c>
      <c r="AB525" s="311">
        <f t="shared" si="59"/>
        <v>970596.85</v>
      </c>
      <c r="AC525" s="311">
        <f t="shared" si="60"/>
        <v>105322.99380000001</v>
      </c>
      <c r="AD525" s="311">
        <f t="shared" si="61"/>
        <v>9991.3700000000008</v>
      </c>
      <c r="AE525" s="311">
        <f t="shared" si="62"/>
        <v>1596722</v>
      </c>
      <c r="AF525" s="355"/>
      <c r="AG525" s="838"/>
      <c r="AH525" s="744"/>
      <c r="AI525" s="292"/>
      <c r="AK525" s="300"/>
      <c r="AS525" s="452"/>
    </row>
    <row r="526" spans="1:45" s="299" customFormat="1">
      <c r="A526" s="353">
        <v>320</v>
      </c>
      <c r="B526" s="352">
        <v>200</v>
      </c>
      <c r="C526" s="352">
        <v>200</v>
      </c>
      <c r="D526" s="357">
        <v>200</v>
      </c>
      <c r="E526" s="357"/>
      <c r="F526" s="357"/>
      <c r="G526" s="409" t="s">
        <v>1148</v>
      </c>
      <c r="H526" s="329"/>
      <c r="I526" s="326"/>
      <c r="J526" s="358"/>
      <c r="K526" s="358"/>
      <c r="L526" s="358"/>
      <c r="M526" s="358"/>
      <c r="N526" s="327"/>
      <c r="O526" s="328"/>
      <c r="P526" s="326"/>
      <c r="Q526" s="327"/>
      <c r="R526" s="313">
        <v>8393.18</v>
      </c>
      <c r="S526" s="311">
        <f>7259.57+23752.95</f>
        <v>31012.52</v>
      </c>
      <c r="T526" s="311"/>
      <c r="U526" s="311">
        <v>8004.12</v>
      </c>
      <c r="V526" s="311">
        <v>7259.57</v>
      </c>
      <c r="W526" s="311"/>
      <c r="X526" s="311">
        <v>2996</v>
      </c>
      <c r="Y526" s="1350">
        <f t="shared" si="56"/>
        <v>8393.18</v>
      </c>
      <c r="Z526" s="1357">
        <f t="shared" si="57"/>
        <v>31012.52</v>
      </c>
      <c r="AA526" s="311">
        <f t="shared" si="58"/>
        <v>0</v>
      </c>
      <c r="AB526" s="311">
        <f t="shared" si="59"/>
        <v>8004.12</v>
      </c>
      <c r="AC526" s="311">
        <f t="shared" si="60"/>
        <v>7259.57</v>
      </c>
      <c r="AD526" s="311">
        <f t="shared" si="61"/>
        <v>0</v>
      </c>
      <c r="AE526" s="311">
        <f t="shared" si="62"/>
        <v>2996</v>
      </c>
      <c r="AF526" s="355"/>
      <c r="AG526" s="838"/>
      <c r="AH526" s="744"/>
      <c r="AI526" s="292"/>
      <c r="AK526" s="300"/>
      <c r="AS526" s="452"/>
    </row>
    <row r="527" spans="1:45" s="299" customFormat="1">
      <c r="A527" s="353">
        <v>320</v>
      </c>
      <c r="B527" s="352">
        <v>200</v>
      </c>
      <c r="C527" s="352">
        <v>200</v>
      </c>
      <c r="D527" s="357">
        <v>300</v>
      </c>
      <c r="E527" s="357"/>
      <c r="F527" s="357"/>
      <c r="G527" s="409" t="s">
        <v>1149</v>
      </c>
      <c r="H527" s="329"/>
      <c r="I527" s="326"/>
      <c r="J527" s="358"/>
      <c r="K527" s="358"/>
      <c r="L527" s="358"/>
      <c r="M527" s="358"/>
      <c r="N527" s="327"/>
      <c r="O527" s="328"/>
      <c r="P527" s="326">
        <v>0</v>
      </c>
      <c r="Q527" s="327">
        <v>0</v>
      </c>
      <c r="R527" s="313">
        <v>12372.26</v>
      </c>
      <c r="S527" s="311">
        <f>3859.64+10000</f>
        <v>13859.64</v>
      </c>
      <c r="T527" s="311"/>
      <c r="U527" s="311">
        <v>112390.41</v>
      </c>
      <c r="V527" s="311">
        <v>3744.97</v>
      </c>
      <c r="W527" s="311">
        <v>600</v>
      </c>
      <c r="X527" s="311">
        <v>72358</v>
      </c>
      <c r="Y527" s="1350">
        <f t="shared" si="56"/>
        <v>12372.26</v>
      </c>
      <c r="Z527" s="1357">
        <f t="shared" si="57"/>
        <v>13859.64</v>
      </c>
      <c r="AA527" s="311">
        <f t="shared" si="58"/>
        <v>0</v>
      </c>
      <c r="AB527" s="311">
        <f t="shared" si="59"/>
        <v>112390.41</v>
      </c>
      <c r="AC527" s="311">
        <f t="shared" si="60"/>
        <v>3744.97</v>
      </c>
      <c r="AD527" s="311">
        <f t="shared" si="61"/>
        <v>600</v>
      </c>
      <c r="AE527" s="311">
        <f t="shared" si="62"/>
        <v>72358</v>
      </c>
      <c r="AF527" s="355"/>
      <c r="AG527" s="838"/>
      <c r="AH527" s="744"/>
      <c r="AI527" s="292"/>
      <c r="AK527" s="300"/>
      <c r="AS527" s="452"/>
    </row>
    <row r="528" spans="1:45" s="299" customFormat="1">
      <c r="A528" s="353">
        <v>320</v>
      </c>
      <c r="B528" s="352">
        <v>200</v>
      </c>
      <c r="C528" s="352">
        <v>200</v>
      </c>
      <c r="D528" s="357">
        <v>400</v>
      </c>
      <c r="E528" s="357"/>
      <c r="F528" s="357"/>
      <c r="G528" s="409" t="s">
        <v>1150</v>
      </c>
      <c r="H528" s="329"/>
      <c r="I528" s="326"/>
      <c r="J528" s="358"/>
      <c r="K528" s="358"/>
      <c r="L528" s="358"/>
      <c r="M528" s="358"/>
      <c r="N528" s="327"/>
      <c r="O528" s="328"/>
      <c r="P528" s="326">
        <v>0</v>
      </c>
      <c r="Q528" s="327">
        <v>0</v>
      </c>
      <c r="R528" s="313">
        <v>74126.27</v>
      </c>
      <c r="S528" s="311">
        <f>4250+36344.34</f>
        <v>40594.339999999997</v>
      </c>
      <c r="T528" s="311"/>
      <c r="U528" s="311">
        <v>22930.93</v>
      </c>
      <c r="V528" s="311">
        <v>4250</v>
      </c>
      <c r="W528" s="311"/>
      <c r="X528" s="311">
        <v>14542</v>
      </c>
      <c r="Y528" s="1350">
        <f t="shared" si="56"/>
        <v>74126.27</v>
      </c>
      <c r="Z528" s="1357">
        <f t="shared" si="57"/>
        <v>40594.339999999997</v>
      </c>
      <c r="AA528" s="311">
        <f t="shared" si="58"/>
        <v>0</v>
      </c>
      <c r="AB528" s="311">
        <f t="shared" si="59"/>
        <v>22930.93</v>
      </c>
      <c r="AC528" s="311">
        <f t="shared" si="60"/>
        <v>4250</v>
      </c>
      <c r="AD528" s="311">
        <f t="shared" si="61"/>
        <v>0</v>
      </c>
      <c r="AE528" s="311">
        <f t="shared" si="62"/>
        <v>14542</v>
      </c>
      <c r="AF528" s="355"/>
      <c r="AG528" s="838"/>
      <c r="AH528" s="744"/>
      <c r="AI528" s="292"/>
      <c r="AK528" s="300"/>
      <c r="AS528" s="452"/>
    </row>
    <row r="529" spans="1:45" s="299" customFormat="1">
      <c r="A529" s="353">
        <v>320</v>
      </c>
      <c r="B529" s="352">
        <v>200</v>
      </c>
      <c r="C529" s="352">
        <v>200</v>
      </c>
      <c r="D529" s="357">
        <v>500</v>
      </c>
      <c r="E529" s="357"/>
      <c r="F529" s="357"/>
      <c r="G529" s="409" t="s">
        <v>1137</v>
      </c>
      <c r="H529" s="329"/>
      <c r="I529" s="326"/>
      <c r="J529" s="358"/>
      <c r="K529" s="358"/>
      <c r="L529" s="358"/>
      <c r="M529" s="358"/>
      <c r="N529" s="327"/>
      <c r="O529" s="328"/>
      <c r="P529" s="326">
        <v>0</v>
      </c>
      <c r="Q529" s="327">
        <v>0</v>
      </c>
      <c r="R529" s="313">
        <v>49469.82</v>
      </c>
      <c r="S529" s="311">
        <v>1434.48</v>
      </c>
      <c r="T529" s="311"/>
      <c r="U529" s="311">
        <v>18766.989999999998</v>
      </c>
      <c r="V529" s="311">
        <v>1434.48</v>
      </c>
      <c r="W529" s="311"/>
      <c r="X529" s="311">
        <v>34358</v>
      </c>
      <c r="Y529" s="1350">
        <f t="shared" si="56"/>
        <v>49469.82</v>
      </c>
      <c r="Z529" s="1357">
        <f t="shared" si="57"/>
        <v>1434.48</v>
      </c>
      <c r="AA529" s="311">
        <f t="shared" si="58"/>
        <v>0</v>
      </c>
      <c r="AB529" s="311">
        <f t="shared" si="59"/>
        <v>18766.989999999998</v>
      </c>
      <c r="AC529" s="311">
        <f t="shared" si="60"/>
        <v>1434.48</v>
      </c>
      <c r="AD529" s="311">
        <f t="shared" si="61"/>
        <v>0</v>
      </c>
      <c r="AE529" s="311">
        <f t="shared" si="62"/>
        <v>34358</v>
      </c>
      <c r="AF529" s="355"/>
      <c r="AG529" s="838"/>
      <c r="AH529" s="744"/>
      <c r="AI529" s="292"/>
      <c r="AK529" s="300"/>
      <c r="AS529" s="452"/>
    </row>
    <row r="530" spans="1:45" s="299" customFormat="1">
      <c r="A530" s="353">
        <v>320</v>
      </c>
      <c r="B530" s="352">
        <v>200</v>
      </c>
      <c r="C530" s="352">
        <v>200</v>
      </c>
      <c r="D530" s="352">
        <v>600</v>
      </c>
      <c r="E530" s="352"/>
      <c r="F530" s="352"/>
      <c r="G530" s="411" t="s">
        <v>1120</v>
      </c>
      <c r="H530" s="334"/>
      <c r="I530" s="331"/>
      <c r="J530" s="359"/>
      <c r="K530" s="359"/>
      <c r="L530" s="359"/>
      <c r="M530" s="359"/>
      <c r="N530" s="332"/>
      <c r="O530" s="333"/>
      <c r="P530" s="331">
        <v>0</v>
      </c>
      <c r="Q530" s="332">
        <v>0</v>
      </c>
      <c r="R530" s="537"/>
      <c r="S530" s="416"/>
      <c r="T530" s="416"/>
      <c r="U530" s="416"/>
      <c r="V530" s="416"/>
      <c r="W530" s="416"/>
      <c r="X530" s="416">
        <v>0</v>
      </c>
      <c r="Y530" s="1352">
        <f t="shared" si="56"/>
        <v>0</v>
      </c>
      <c r="Z530" s="1372">
        <f t="shared" si="57"/>
        <v>0</v>
      </c>
      <c r="AA530" s="416">
        <f t="shared" si="58"/>
        <v>0</v>
      </c>
      <c r="AB530" s="416">
        <f t="shared" si="59"/>
        <v>0</v>
      </c>
      <c r="AC530" s="416">
        <f t="shared" si="60"/>
        <v>0</v>
      </c>
      <c r="AD530" s="416">
        <f t="shared" si="61"/>
        <v>0</v>
      </c>
      <c r="AE530" s="416">
        <f t="shared" si="62"/>
        <v>0</v>
      </c>
      <c r="AF530" s="355"/>
      <c r="AG530" s="838"/>
      <c r="AH530" s="744"/>
      <c r="AI530" s="292"/>
      <c r="AK530" s="300"/>
      <c r="AS530" s="452"/>
    </row>
    <row r="531" spans="1:45" s="299" customFormat="1">
      <c r="A531" s="353">
        <v>320</v>
      </c>
      <c r="B531" s="352">
        <v>200</v>
      </c>
      <c r="C531" s="352">
        <v>200</v>
      </c>
      <c r="D531" s="352">
        <v>600</v>
      </c>
      <c r="E531" s="357">
        <v>5</v>
      </c>
      <c r="F531" s="357"/>
      <c r="G531" s="409" t="s">
        <v>1121</v>
      </c>
      <c r="H531" s="329"/>
      <c r="I531" s="326"/>
      <c r="J531" s="358"/>
      <c r="K531" s="358"/>
      <c r="L531" s="358"/>
      <c r="M531" s="358"/>
      <c r="N531" s="327"/>
      <c r="O531" s="328"/>
      <c r="P531" s="326">
        <v>0</v>
      </c>
      <c r="Q531" s="327">
        <v>0</v>
      </c>
      <c r="R531" s="313"/>
      <c r="S531" s="311"/>
      <c r="T531" s="311"/>
      <c r="U531" s="311"/>
      <c r="V531" s="311"/>
      <c r="W531" s="311"/>
      <c r="X531" s="311">
        <v>0</v>
      </c>
      <c r="Y531" s="1350">
        <f t="shared" si="56"/>
        <v>0</v>
      </c>
      <c r="Z531" s="1357">
        <f t="shared" si="57"/>
        <v>0</v>
      </c>
      <c r="AA531" s="311">
        <f t="shared" si="58"/>
        <v>0</v>
      </c>
      <c r="AB531" s="311">
        <f t="shared" si="59"/>
        <v>0</v>
      </c>
      <c r="AC531" s="311">
        <f t="shared" si="60"/>
        <v>0</v>
      </c>
      <c r="AD531" s="311">
        <f t="shared" si="61"/>
        <v>0</v>
      </c>
      <c r="AE531" s="311">
        <f t="shared" si="62"/>
        <v>0</v>
      </c>
      <c r="AF531" s="355"/>
      <c r="AG531" s="838"/>
      <c r="AH531" s="744"/>
      <c r="AI531" s="292"/>
      <c r="AK531" s="300"/>
      <c r="AS531" s="452"/>
    </row>
    <row r="532" spans="1:45" s="299" customFormat="1">
      <c r="A532" s="353">
        <v>320</v>
      </c>
      <c r="B532" s="352">
        <v>200</v>
      </c>
      <c r="C532" s="352">
        <v>200</v>
      </c>
      <c r="D532" s="352">
        <v>600</v>
      </c>
      <c r="E532" s="357">
        <v>10</v>
      </c>
      <c r="F532" s="357"/>
      <c r="G532" s="409" t="s">
        <v>1122</v>
      </c>
      <c r="H532" s="329"/>
      <c r="I532" s="326"/>
      <c r="J532" s="358"/>
      <c r="K532" s="358"/>
      <c r="L532" s="358"/>
      <c r="M532" s="358"/>
      <c r="N532" s="327"/>
      <c r="O532" s="328"/>
      <c r="P532" s="326">
        <v>0</v>
      </c>
      <c r="Q532" s="327">
        <v>0</v>
      </c>
      <c r="R532" s="313"/>
      <c r="S532" s="311"/>
      <c r="T532" s="311"/>
      <c r="U532" s="311"/>
      <c r="V532" s="311"/>
      <c r="W532" s="311"/>
      <c r="X532" s="311">
        <v>0</v>
      </c>
      <c r="Y532" s="1350">
        <f t="shared" si="56"/>
        <v>0</v>
      </c>
      <c r="Z532" s="1357">
        <f t="shared" si="57"/>
        <v>0</v>
      </c>
      <c r="AA532" s="311">
        <f t="shared" si="58"/>
        <v>0</v>
      </c>
      <c r="AB532" s="311">
        <f t="shared" si="59"/>
        <v>0</v>
      </c>
      <c r="AC532" s="311">
        <f t="shared" si="60"/>
        <v>0</v>
      </c>
      <c r="AD532" s="311">
        <f t="shared" si="61"/>
        <v>0</v>
      </c>
      <c r="AE532" s="311">
        <f t="shared" si="62"/>
        <v>0</v>
      </c>
      <c r="AF532" s="355"/>
      <c r="AG532" s="838"/>
      <c r="AH532" s="744"/>
      <c r="AI532" s="292"/>
      <c r="AK532" s="300"/>
      <c r="AS532" s="452"/>
    </row>
    <row r="533" spans="1:45" s="299" customFormat="1">
      <c r="A533" s="353">
        <v>320</v>
      </c>
      <c r="B533" s="352">
        <v>200</v>
      </c>
      <c r="C533" s="352">
        <v>200</v>
      </c>
      <c r="D533" s="352">
        <v>600</v>
      </c>
      <c r="E533" s="357">
        <v>15</v>
      </c>
      <c r="F533" s="357"/>
      <c r="G533" s="409" t="s">
        <v>1151</v>
      </c>
      <c r="H533" s="329"/>
      <c r="I533" s="326"/>
      <c r="J533" s="358"/>
      <c r="K533" s="358"/>
      <c r="L533" s="358"/>
      <c r="M533" s="358"/>
      <c r="N533" s="327"/>
      <c r="O533" s="328"/>
      <c r="P533" s="326">
        <v>0</v>
      </c>
      <c r="Q533" s="327">
        <v>0</v>
      </c>
      <c r="R533" s="532">
        <v>8.1</v>
      </c>
      <c r="S533" s="413"/>
      <c r="T533" s="413"/>
      <c r="U533" s="413">
        <v>8.1</v>
      </c>
      <c r="V533" s="413"/>
      <c r="W533" s="413"/>
      <c r="X533" s="413">
        <v>185</v>
      </c>
      <c r="Y533" s="1350">
        <f t="shared" si="56"/>
        <v>8.1</v>
      </c>
      <c r="Z533" s="1367">
        <f t="shared" si="57"/>
        <v>0</v>
      </c>
      <c r="AA533" s="413">
        <f t="shared" si="58"/>
        <v>0</v>
      </c>
      <c r="AB533" s="413">
        <f t="shared" si="59"/>
        <v>8.1</v>
      </c>
      <c r="AC533" s="413">
        <f t="shared" si="60"/>
        <v>0</v>
      </c>
      <c r="AD533" s="413">
        <f t="shared" si="61"/>
        <v>0</v>
      </c>
      <c r="AE533" s="413">
        <f t="shared" si="62"/>
        <v>185</v>
      </c>
      <c r="AF533" s="355"/>
      <c r="AG533" s="838"/>
      <c r="AH533" s="744"/>
      <c r="AI533" s="292"/>
      <c r="AK533" s="300"/>
      <c r="AS533" s="452"/>
    </row>
    <row r="534" spans="1:45" s="299" customFormat="1">
      <c r="A534" s="353">
        <v>320</v>
      </c>
      <c r="B534" s="352">
        <v>200</v>
      </c>
      <c r="C534" s="352">
        <v>200</v>
      </c>
      <c r="D534" s="357">
        <v>700</v>
      </c>
      <c r="E534" s="357"/>
      <c r="F534" s="357"/>
      <c r="G534" s="409" t="s">
        <v>1140</v>
      </c>
      <c r="H534" s="329"/>
      <c r="I534" s="326"/>
      <c r="J534" s="358"/>
      <c r="K534" s="358"/>
      <c r="L534" s="358"/>
      <c r="M534" s="358"/>
      <c r="N534" s="363"/>
      <c r="O534" s="803"/>
      <c r="P534" s="393">
        <v>216646.26</v>
      </c>
      <c r="Q534" s="392">
        <f>217586+121033</f>
        <v>338619</v>
      </c>
      <c r="R534" s="313">
        <v>352347.75</v>
      </c>
      <c r="S534" s="311">
        <f>38359.24+12495.02</f>
        <v>50854.259999999995</v>
      </c>
      <c r="T534" s="311"/>
      <c r="U534" s="311">
        <f>358703.56-P534</f>
        <v>142057.29999999999</v>
      </c>
      <c r="V534" s="311">
        <v>33627.870000000003</v>
      </c>
      <c r="W534" s="311">
        <v>2957.11</v>
      </c>
      <c r="X534" s="311">
        <v>161215</v>
      </c>
      <c r="Y534" s="1350">
        <f t="shared" si="56"/>
        <v>352347.75</v>
      </c>
      <c r="Z534" s="1357">
        <f t="shared" si="57"/>
        <v>50854.259999999995</v>
      </c>
      <c r="AA534" s="311">
        <f t="shared" si="58"/>
        <v>0</v>
      </c>
      <c r="AB534" s="311">
        <f t="shared" si="59"/>
        <v>358703.56</v>
      </c>
      <c r="AC534" s="311">
        <f t="shared" si="60"/>
        <v>33627.870000000003</v>
      </c>
      <c r="AD534" s="311">
        <f t="shared" si="61"/>
        <v>2957.11</v>
      </c>
      <c r="AE534" s="311">
        <f t="shared" si="62"/>
        <v>499834</v>
      </c>
      <c r="AF534" s="355"/>
      <c r="AG534" s="838"/>
      <c r="AH534" s="744"/>
      <c r="AI534" s="292"/>
      <c r="AK534" s="300"/>
      <c r="AS534" s="452"/>
    </row>
    <row r="535" spans="1:45" s="292" customFormat="1" ht="27.6">
      <c r="A535" s="353">
        <v>320</v>
      </c>
      <c r="B535" s="352">
        <v>200</v>
      </c>
      <c r="C535" s="357">
        <v>300</v>
      </c>
      <c r="D535" s="357"/>
      <c r="E535" s="357"/>
      <c r="F535" s="357"/>
      <c r="G535" s="315" t="s">
        <v>1154</v>
      </c>
      <c r="H535" s="329"/>
      <c r="I535" s="326"/>
      <c r="J535" s="358"/>
      <c r="K535" s="358"/>
      <c r="L535" s="358"/>
      <c r="M535" s="358"/>
      <c r="N535" s="327"/>
      <c r="O535" s="328"/>
      <c r="P535" s="326">
        <v>0</v>
      </c>
      <c r="Q535" s="327"/>
      <c r="R535" s="313"/>
      <c r="S535" s="311"/>
      <c r="T535" s="311"/>
      <c r="U535" s="311">
        <v>0</v>
      </c>
      <c r="V535" s="311"/>
      <c r="W535" s="311"/>
      <c r="X535" s="311">
        <v>0</v>
      </c>
      <c r="Y535" s="1350">
        <f t="shared" si="56"/>
        <v>0</v>
      </c>
      <c r="Z535" s="1357">
        <f t="shared" si="57"/>
        <v>0</v>
      </c>
      <c r="AA535" s="311">
        <f t="shared" si="58"/>
        <v>0</v>
      </c>
      <c r="AB535" s="311">
        <f t="shared" si="59"/>
        <v>0</v>
      </c>
      <c r="AC535" s="311">
        <f t="shared" si="60"/>
        <v>0</v>
      </c>
      <c r="AD535" s="311">
        <f t="shared" si="61"/>
        <v>0</v>
      </c>
      <c r="AE535" s="311">
        <f t="shared" si="62"/>
        <v>0</v>
      </c>
      <c r="AF535" s="355" t="s">
        <v>1155</v>
      </c>
      <c r="AG535" s="838"/>
      <c r="AH535" s="744"/>
      <c r="AK535" s="293"/>
      <c r="AS535" s="744"/>
    </row>
    <row r="536" spans="1:45" s="299" customFormat="1">
      <c r="A536" s="338">
        <v>325</v>
      </c>
      <c r="B536" s="337">
        <v>0</v>
      </c>
      <c r="C536" s="337">
        <v>0</v>
      </c>
      <c r="D536" s="337">
        <v>0</v>
      </c>
      <c r="E536" s="337">
        <v>0</v>
      </c>
      <c r="F536" s="337">
        <v>0</v>
      </c>
      <c r="G536" s="391" t="s">
        <v>1156</v>
      </c>
      <c r="H536" s="334"/>
      <c r="I536" s="331"/>
      <c r="J536" s="359"/>
      <c r="K536" s="359"/>
      <c r="L536" s="359"/>
      <c r="M536" s="359"/>
      <c r="N536" s="332"/>
      <c r="O536" s="333"/>
      <c r="P536" s="331">
        <v>0</v>
      </c>
      <c r="Q536" s="332"/>
      <c r="R536" s="539"/>
      <c r="S536" s="417"/>
      <c r="T536" s="417"/>
      <c r="U536" s="417">
        <v>0</v>
      </c>
      <c r="V536" s="417"/>
      <c r="W536" s="417"/>
      <c r="X536" s="417"/>
      <c r="Y536" s="1352">
        <f t="shared" si="56"/>
        <v>0</v>
      </c>
      <c r="Z536" s="1376">
        <f t="shared" si="57"/>
        <v>0</v>
      </c>
      <c r="AA536" s="417">
        <f t="shared" si="58"/>
        <v>0</v>
      </c>
      <c r="AB536" s="417">
        <f t="shared" si="59"/>
        <v>0</v>
      </c>
      <c r="AC536" s="417">
        <f t="shared" si="60"/>
        <v>0</v>
      </c>
      <c r="AD536" s="417">
        <f t="shared" si="61"/>
        <v>0</v>
      </c>
      <c r="AE536" s="417">
        <f t="shared" si="62"/>
        <v>0</v>
      </c>
      <c r="AF536" s="330" t="s">
        <v>1157</v>
      </c>
      <c r="AG536" s="837"/>
      <c r="AH536" s="744">
        <f>SUM(Y537:Y582)</f>
        <v>162770.88999999996</v>
      </c>
      <c r="AI536" s="292" t="s">
        <v>2270</v>
      </c>
      <c r="AK536" s="300"/>
      <c r="AS536" s="452"/>
    </row>
    <row r="537" spans="1:45" s="299" customFormat="1" ht="27.6">
      <c r="A537" s="353">
        <v>325</v>
      </c>
      <c r="B537" s="352">
        <v>100</v>
      </c>
      <c r="C537" s="352"/>
      <c r="D537" s="352"/>
      <c r="E537" s="352"/>
      <c r="F537" s="352"/>
      <c r="G537" s="323" t="s">
        <v>1158</v>
      </c>
      <c r="H537" s="334"/>
      <c r="I537" s="331"/>
      <c r="J537" s="359"/>
      <c r="K537" s="359"/>
      <c r="L537" s="359"/>
      <c r="M537" s="359"/>
      <c r="N537" s="332"/>
      <c r="O537" s="333"/>
      <c r="P537" s="331">
        <v>0</v>
      </c>
      <c r="Q537" s="332"/>
      <c r="R537" s="537"/>
      <c r="S537" s="416"/>
      <c r="T537" s="416"/>
      <c r="U537" s="416">
        <v>0</v>
      </c>
      <c r="V537" s="416"/>
      <c r="W537" s="416"/>
      <c r="X537" s="416"/>
      <c r="Y537" s="1352">
        <f t="shared" si="56"/>
        <v>0</v>
      </c>
      <c r="Z537" s="1372">
        <f t="shared" si="57"/>
        <v>0</v>
      </c>
      <c r="AA537" s="416">
        <f t="shared" si="58"/>
        <v>0</v>
      </c>
      <c r="AB537" s="416">
        <f t="shared" si="59"/>
        <v>0</v>
      </c>
      <c r="AC537" s="416">
        <f t="shared" si="60"/>
        <v>0</v>
      </c>
      <c r="AD537" s="416">
        <f t="shared" si="61"/>
        <v>0</v>
      </c>
      <c r="AE537" s="416">
        <f t="shared" si="62"/>
        <v>0</v>
      </c>
      <c r="AF537" s="355" t="s">
        <v>1159</v>
      </c>
      <c r="AG537" s="838"/>
      <c r="AH537" s="744"/>
      <c r="AI537" s="292"/>
      <c r="AK537" s="300"/>
      <c r="AS537" s="452"/>
    </row>
    <row r="538" spans="1:45" s="299" customFormat="1" ht="41.4">
      <c r="A538" s="353">
        <v>325</v>
      </c>
      <c r="B538" s="352">
        <v>100</v>
      </c>
      <c r="C538" s="352">
        <v>100</v>
      </c>
      <c r="D538" s="352"/>
      <c r="E538" s="352"/>
      <c r="F538" s="352"/>
      <c r="G538" s="323" t="s">
        <v>1160</v>
      </c>
      <c r="H538" s="334"/>
      <c r="I538" s="331"/>
      <c r="J538" s="359"/>
      <c r="K538" s="359"/>
      <c r="L538" s="359"/>
      <c r="M538" s="359"/>
      <c r="N538" s="332"/>
      <c r="O538" s="333"/>
      <c r="P538" s="331">
        <v>0</v>
      </c>
      <c r="Q538" s="332"/>
      <c r="R538" s="537"/>
      <c r="S538" s="416"/>
      <c r="T538" s="416"/>
      <c r="U538" s="416">
        <v>0</v>
      </c>
      <c r="V538" s="416"/>
      <c r="W538" s="416"/>
      <c r="X538" s="416"/>
      <c r="Y538" s="1352">
        <f t="shared" si="56"/>
        <v>0</v>
      </c>
      <c r="Z538" s="1372">
        <f t="shared" si="57"/>
        <v>0</v>
      </c>
      <c r="AA538" s="416">
        <f t="shared" si="58"/>
        <v>0</v>
      </c>
      <c r="AB538" s="416">
        <f t="shared" si="59"/>
        <v>0</v>
      </c>
      <c r="AC538" s="416">
        <f t="shared" si="60"/>
        <v>0</v>
      </c>
      <c r="AD538" s="416">
        <f t="shared" si="61"/>
        <v>0</v>
      </c>
      <c r="AE538" s="416">
        <f t="shared" si="62"/>
        <v>0</v>
      </c>
      <c r="AF538" s="355" t="s">
        <v>1161</v>
      </c>
      <c r="AG538" s="838"/>
      <c r="AH538" s="744"/>
      <c r="AI538" s="292"/>
      <c r="AK538" s="300"/>
      <c r="AS538" s="452"/>
    </row>
    <row r="539" spans="1:45" s="299" customFormat="1">
      <c r="A539" s="353">
        <v>325</v>
      </c>
      <c r="B539" s="352">
        <v>100</v>
      </c>
      <c r="C539" s="352">
        <v>100</v>
      </c>
      <c r="D539" s="357">
        <v>100</v>
      </c>
      <c r="E539" s="357"/>
      <c r="F539" s="357"/>
      <c r="G539" s="409" t="s">
        <v>1112</v>
      </c>
      <c r="H539" s="329"/>
      <c r="I539" s="326"/>
      <c r="J539" s="358"/>
      <c r="K539" s="358"/>
      <c r="L539" s="358"/>
      <c r="M539" s="358"/>
      <c r="N539" s="327"/>
      <c r="O539" s="328"/>
      <c r="P539" s="326">
        <v>0</v>
      </c>
      <c r="Q539" s="327"/>
      <c r="R539" s="313">
        <v>77722.789999999994</v>
      </c>
      <c r="S539" s="311"/>
      <c r="T539" s="311"/>
      <c r="U539" s="311">
        <v>77722.790000000008</v>
      </c>
      <c r="V539" s="311"/>
      <c r="W539" s="311"/>
      <c r="X539" s="311">
        <v>43037</v>
      </c>
      <c r="Y539" s="1350">
        <f t="shared" si="56"/>
        <v>77722.789999999994</v>
      </c>
      <c r="Z539" s="1357">
        <f t="shared" si="57"/>
        <v>0</v>
      </c>
      <c r="AA539" s="311">
        <f t="shared" si="58"/>
        <v>0</v>
      </c>
      <c r="AB539" s="311">
        <f t="shared" si="59"/>
        <v>77722.790000000008</v>
      </c>
      <c r="AC539" s="311">
        <f t="shared" si="60"/>
        <v>0</v>
      </c>
      <c r="AD539" s="311">
        <f t="shared" si="61"/>
        <v>0</v>
      </c>
      <c r="AE539" s="311">
        <f t="shared" si="62"/>
        <v>43037</v>
      </c>
      <c r="AF539" s="355"/>
      <c r="AG539" s="838"/>
      <c r="AH539" s="744"/>
      <c r="AI539" s="292"/>
      <c r="AK539" s="300">
        <v>5630.55</v>
      </c>
      <c r="AS539" s="452"/>
    </row>
    <row r="540" spans="1:45" s="299" customFormat="1">
      <c r="A540" s="353">
        <v>325</v>
      </c>
      <c r="B540" s="352">
        <v>100</v>
      </c>
      <c r="C540" s="352">
        <v>100</v>
      </c>
      <c r="D540" s="357">
        <v>200</v>
      </c>
      <c r="E540" s="357"/>
      <c r="F540" s="357"/>
      <c r="G540" s="409" t="s">
        <v>1113</v>
      </c>
      <c r="H540" s="329"/>
      <c r="I540" s="326"/>
      <c r="J540" s="358"/>
      <c r="K540" s="358"/>
      <c r="L540" s="358"/>
      <c r="M540" s="358"/>
      <c r="N540" s="327"/>
      <c r="O540" s="328"/>
      <c r="P540" s="326">
        <v>0</v>
      </c>
      <c r="Q540" s="327"/>
      <c r="R540" s="313">
        <v>34289.599999999999</v>
      </c>
      <c r="S540" s="311"/>
      <c r="T540" s="311"/>
      <c r="U540" s="311">
        <v>23500.19</v>
      </c>
      <c r="V540" s="311"/>
      <c r="W540" s="311"/>
      <c r="X540" s="311">
        <v>16735</v>
      </c>
      <c r="Y540" s="1350">
        <f t="shared" si="56"/>
        <v>34289.599999999999</v>
      </c>
      <c r="Z540" s="1357">
        <f t="shared" si="57"/>
        <v>0</v>
      </c>
      <c r="AA540" s="311">
        <f t="shared" si="58"/>
        <v>0</v>
      </c>
      <c r="AB540" s="311">
        <f t="shared" si="59"/>
        <v>23500.19</v>
      </c>
      <c r="AC540" s="311">
        <f t="shared" si="60"/>
        <v>0</v>
      </c>
      <c r="AD540" s="311">
        <f t="shared" si="61"/>
        <v>0</v>
      </c>
      <c r="AE540" s="311">
        <f t="shared" si="62"/>
        <v>16735</v>
      </c>
      <c r="AF540" s="355"/>
      <c r="AG540" s="838"/>
      <c r="AH540" s="744"/>
      <c r="AI540" s="292"/>
      <c r="AK540" s="300">
        <v>85.56</v>
      </c>
      <c r="AS540" s="452"/>
    </row>
    <row r="541" spans="1:45" s="299" customFormat="1">
      <c r="A541" s="353">
        <v>325</v>
      </c>
      <c r="B541" s="352">
        <v>100</v>
      </c>
      <c r="C541" s="352">
        <v>100</v>
      </c>
      <c r="D541" s="357">
        <v>300</v>
      </c>
      <c r="E541" s="357"/>
      <c r="F541" s="357"/>
      <c r="G541" s="409" t="s">
        <v>1136</v>
      </c>
      <c r="H541" s="329"/>
      <c r="I541" s="326"/>
      <c r="J541" s="358"/>
      <c r="K541" s="358"/>
      <c r="L541" s="358"/>
      <c r="M541" s="358"/>
      <c r="N541" s="327"/>
      <c r="O541" s="328"/>
      <c r="P541" s="326">
        <v>0</v>
      </c>
      <c r="Q541" s="327"/>
      <c r="R541" s="313">
        <v>10689.02</v>
      </c>
      <c r="S541" s="311"/>
      <c r="T541" s="311"/>
      <c r="U541" s="311">
        <v>3739.73</v>
      </c>
      <c r="V541" s="311"/>
      <c r="W541" s="311"/>
      <c r="X541" s="311">
        <v>609</v>
      </c>
      <c r="Y541" s="1350">
        <f t="shared" si="56"/>
        <v>10689.02</v>
      </c>
      <c r="Z541" s="1357">
        <f t="shared" si="57"/>
        <v>0</v>
      </c>
      <c r="AA541" s="311">
        <f t="shared" si="58"/>
        <v>0</v>
      </c>
      <c r="AB541" s="311">
        <f t="shared" si="59"/>
        <v>3739.73</v>
      </c>
      <c r="AC541" s="311">
        <f t="shared" si="60"/>
        <v>0</v>
      </c>
      <c r="AD541" s="311">
        <f t="shared" si="61"/>
        <v>0</v>
      </c>
      <c r="AE541" s="311">
        <f t="shared" si="62"/>
        <v>609</v>
      </c>
      <c r="AF541" s="355"/>
      <c r="AG541" s="838"/>
      <c r="AH541" s="744"/>
      <c r="AI541" s="292"/>
      <c r="AK541" s="300">
        <v>284.60000000000002</v>
      </c>
      <c r="AS541" s="452"/>
    </row>
    <row r="542" spans="1:45" s="299" customFormat="1">
      <c r="A542" s="353">
        <v>325</v>
      </c>
      <c r="B542" s="352">
        <v>100</v>
      </c>
      <c r="C542" s="352">
        <v>100</v>
      </c>
      <c r="D542" s="357">
        <v>400</v>
      </c>
      <c r="E542" s="357"/>
      <c r="F542" s="357"/>
      <c r="G542" s="409" t="s">
        <v>1137</v>
      </c>
      <c r="H542" s="329"/>
      <c r="I542" s="326"/>
      <c r="J542" s="358"/>
      <c r="K542" s="358"/>
      <c r="L542" s="358"/>
      <c r="M542" s="358"/>
      <c r="N542" s="327"/>
      <c r="O542" s="328"/>
      <c r="P542" s="326">
        <v>0</v>
      </c>
      <c r="Q542" s="327"/>
      <c r="R542" s="313">
        <v>860.7</v>
      </c>
      <c r="S542" s="311"/>
      <c r="T542" s="311"/>
      <c r="U542" s="311"/>
      <c r="V542" s="311"/>
      <c r="W542" s="311"/>
      <c r="X542" s="311">
        <v>0</v>
      </c>
      <c r="Y542" s="1350">
        <f t="shared" si="56"/>
        <v>860.7</v>
      </c>
      <c r="Z542" s="1357">
        <f t="shared" si="57"/>
        <v>0</v>
      </c>
      <c r="AA542" s="311">
        <f t="shared" si="58"/>
        <v>0</v>
      </c>
      <c r="AB542" s="311">
        <f t="shared" si="59"/>
        <v>0</v>
      </c>
      <c r="AC542" s="311">
        <f t="shared" si="60"/>
        <v>0</v>
      </c>
      <c r="AD542" s="311">
        <f t="shared" si="61"/>
        <v>0</v>
      </c>
      <c r="AE542" s="311">
        <f t="shared" si="62"/>
        <v>0</v>
      </c>
      <c r="AF542" s="355"/>
      <c r="AG542" s="838"/>
      <c r="AH542" s="744"/>
      <c r="AI542" s="292"/>
      <c r="AK542" s="300">
        <v>1387.98</v>
      </c>
      <c r="AS542" s="452"/>
    </row>
    <row r="543" spans="1:45" s="299" customFormat="1">
      <c r="A543" s="353">
        <v>325</v>
      </c>
      <c r="B543" s="352">
        <v>100</v>
      </c>
      <c r="C543" s="352">
        <v>100</v>
      </c>
      <c r="D543" s="352">
        <v>500</v>
      </c>
      <c r="E543" s="352"/>
      <c r="F543" s="352"/>
      <c r="G543" s="411" t="s">
        <v>1120</v>
      </c>
      <c r="H543" s="334"/>
      <c r="I543" s="331"/>
      <c r="J543" s="359"/>
      <c r="K543" s="359"/>
      <c r="L543" s="359"/>
      <c r="M543" s="359"/>
      <c r="N543" s="332"/>
      <c r="O543" s="333"/>
      <c r="P543" s="331">
        <v>0</v>
      </c>
      <c r="Q543" s="332"/>
      <c r="R543" s="531"/>
      <c r="S543" s="415"/>
      <c r="T543" s="415"/>
      <c r="U543" s="415"/>
      <c r="V543" s="415"/>
      <c r="W543" s="415"/>
      <c r="X543" s="415">
        <v>0</v>
      </c>
      <c r="Y543" s="1352">
        <f t="shared" si="56"/>
        <v>0</v>
      </c>
      <c r="Z543" s="1366">
        <f t="shared" si="57"/>
        <v>0</v>
      </c>
      <c r="AA543" s="415">
        <f t="shared" si="58"/>
        <v>0</v>
      </c>
      <c r="AB543" s="415">
        <f t="shared" si="59"/>
        <v>0</v>
      </c>
      <c r="AC543" s="415">
        <f t="shared" si="60"/>
        <v>0</v>
      </c>
      <c r="AD543" s="415">
        <f t="shared" si="61"/>
        <v>0</v>
      </c>
      <c r="AE543" s="415">
        <f t="shared" si="62"/>
        <v>0</v>
      </c>
      <c r="AF543" s="355"/>
      <c r="AG543" s="838"/>
      <c r="AH543" s="744"/>
      <c r="AI543" s="292"/>
      <c r="AK543" s="300">
        <v>105.94</v>
      </c>
      <c r="AS543" s="452"/>
    </row>
    <row r="544" spans="1:45" s="299" customFormat="1">
      <c r="A544" s="353">
        <v>325</v>
      </c>
      <c r="B544" s="352">
        <v>100</v>
      </c>
      <c r="C544" s="352">
        <v>100</v>
      </c>
      <c r="D544" s="352">
        <v>500</v>
      </c>
      <c r="E544" s="357">
        <v>5</v>
      </c>
      <c r="F544" s="357"/>
      <c r="G544" s="409" t="s">
        <v>1121</v>
      </c>
      <c r="H544" s="329"/>
      <c r="I544" s="326"/>
      <c r="J544" s="358"/>
      <c r="K544" s="358"/>
      <c r="L544" s="358"/>
      <c r="M544" s="358"/>
      <c r="N544" s="327"/>
      <c r="O544" s="328"/>
      <c r="P544" s="326">
        <v>0</v>
      </c>
      <c r="Q544" s="327"/>
      <c r="R544" s="313"/>
      <c r="S544" s="311"/>
      <c r="T544" s="311"/>
      <c r="U544" s="311"/>
      <c r="V544" s="311"/>
      <c r="W544" s="311"/>
      <c r="X544" s="311">
        <v>0</v>
      </c>
      <c r="Y544" s="1350">
        <f t="shared" si="56"/>
        <v>0</v>
      </c>
      <c r="Z544" s="1357">
        <f t="shared" si="57"/>
        <v>0</v>
      </c>
      <c r="AA544" s="311">
        <f t="shared" si="58"/>
        <v>0</v>
      </c>
      <c r="AB544" s="311">
        <f t="shared" si="59"/>
        <v>0</v>
      </c>
      <c r="AC544" s="311">
        <f t="shared" si="60"/>
        <v>0</v>
      </c>
      <c r="AD544" s="311">
        <f t="shared" si="61"/>
        <v>0</v>
      </c>
      <c r="AE544" s="311">
        <f t="shared" si="62"/>
        <v>0</v>
      </c>
      <c r="AF544" s="355"/>
      <c r="AG544" s="838"/>
      <c r="AH544" s="744"/>
      <c r="AI544" s="292"/>
      <c r="AK544" s="300">
        <v>14.61</v>
      </c>
      <c r="AS544" s="452"/>
    </row>
    <row r="545" spans="1:45" s="299" customFormat="1">
      <c r="A545" s="353">
        <v>325</v>
      </c>
      <c r="B545" s="352">
        <v>100</v>
      </c>
      <c r="C545" s="352">
        <v>100</v>
      </c>
      <c r="D545" s="352">
        <v>500</v>
      </c>
      <c r="E545" s="357">
        <v>10</v>
      </c>
      <c r="F545" s="357"/>
      <c r="G545" s="409" t="s">
        <v>1122</v>
      </c>
      <c r="H545" s="329"/>
      <c r="I545" s="326"/>
      <c r="J545" s="358"/>
      <c r="K545" s="358"/>
      <c r="L545" s="358"/>
      <c r="M545" s="358"/>
      <c r="N545" s="327"/>
      <c r="O545" s="328"/>
      <c r="P545" s="326">
        <v>0</v>
      </c>
      <c r="Q545" s="327"/>
      <c r="R545" s="313"/>
      <c r="S545" s="311"/>
      <c r="T545" s="311"/>
      <c r="U545" s="311"/>
      <c r="V545" s="311"/>
      <c r="W545" s="311"/>
      <c r="X545" s="311">
        <v>0</v>
      </c>
      <c r="Y545" s="1350">
        <f t="shared" si="56"/>
        <v>0</v>
      </c>
      <c r="Z545" s="1357">
        <f t="shared" si="57"/>
        <v>0</v>
      </c>
      <c r="AA545" s="311">
        <f t="shared" si="58"/>
        <v>0</v>
      </c>
      <c r="AB545" s="311">
        <f t="shared" si="59"/>
        <v>0</v>
      </c>
      <c r="AC545" s="311">
        <f t="shared" si="60"/>
        <v>0</v>
      </c>
      <c r="AD545" s="311">
        <f t="shared" si="61"/>
        <v>0</v>
      </c>
      <c r="AE545" s="311">
        <f t="shared" si="62"/>
        <v>0</v>
      </c>
      <c r="AF545" s="355"/>
      <c r="AG545" s="838"/>
      <c r="AH545" s="744"/>
      <c r="AI545" s="292"/>
      <c r="AK545" s="300">
        <f>SUM(AK539:AK544)</f>
        <v>7509.24</v>
      </c>
      <c r="AS545" s="452"/>
    </row>
    <row r="546" spans="1:45" s="299" customFormat="1">
      <c r="A546" s="353">
        <v>325</v>
      </c>
      <c r="B546" s="352">
        <v>100</v>
      </c>
      <c r="C546" s="352">
        <v>100</v>
      </c>
      <c r="D546" s="352">
        <v>500</v>
      </c>
      <c r="E546" s="357">
        <v>15</v>
      </c>
      <c r="F546" s="357"/>
      <c r="G546" s="409" t="s">
        <v>1162</v>
      </c>
      <c r="H546" s="329"/>
      <c r="I546" s="326"/>
      <c r="J546" s="358"/>
      <c r="K546" s="358"/>
      <c r="L546" s="358"/>
      <c r="M546" s="358"/>
      <c r="N546" s="327"/>
      <c r="O546" s="328"/>
      <c r="P546" s="326">
        <v>0</v>
      </c>
      <c r="Q546" s="327"/>
      <c r="R546" s="532">
        <v>45.9</v>
      </c>
      <c r="S546" s="413"/>
      <c r="T546" s="413"/>
      <c r="U546" s="413">
        <v>45.9</v>
      </c>
      <c r="V546" s="413"/>
      <c r="W546" s="413"/>
      <c r="X546" s="413">
        <v>4372</v>
      </c>
      <c r="Y546" s="1350">
        <f t="shared" si="56"/>
        <v>45.9</v>
      </c>
      <c r="Z546" s="1367">
        <f t="shared" si="57"/>
        <v>0</v>
      </c>
      <c r="AA546" s="413">
        <f t="shared" si="58"/>
        <v>0</v>
      </c>
      <c r="AB546" s="413">
        <f t="shared" si="59"/>
        <v>45.9</v>
      </c>
      <c r="AC546" s="413">
        <f t="shared" si="60"/>
        <v>0</v>
      </c>
      <c r="AD546" s="413">
        <f t="shared" si="61"/>
        <v>0</v>
      </c>
      <c r="AE546" s="413">
        <f t="shared" si="62"/>
        <v>4372</v>
      </c>
      <c r="AF546" s="355"/>
      <c r="AG546" s="838"/>
      <c r="AH546" s="744"/>
      <c r="AI546" s="292"/>
      <c r="AK546" s="300"/>
      <c r="AS546" s="452"/>
    </row>
    <row r="547" spans="1:45" s="299" customFormat="1">
      <c r="A547" s="353">
        <v>325</v>
      </c>
      <c r="B547" s="352">
        <v>100</v>
      </c>
      <c r="C547" s="352">
        <v>100</v>
      </c>
      <c r="D547" s="357">
        <v>900</v>
      </c>
      <c r="E547" s="357"/>
      <c r="F547" s="357"/>
      <c r="G547" s="409" t="s">
        <v>1140</v>
      </c>
      <c r="H547" s="329"/>
      <c r="I547" s="326"/>
      <c r="J547" s="358"/>
      <c r="K547" s="358"/>
      <c r="L547" s="358"/>
      <c r="M547" s="358"/>
      <c r="N547" s="327"/>
      <c r="O547" s="328"/>
      <c r="P547" s="326">
        <v>0</v>
      </c>
      <c r="Q547" s="327"/>
      <c r="R547" s="313">
        <v>31350.15</v>
      </c>
      <c r="S547" s="311"/>
      <c r="T547" s="311"/>
      <c r="U547" s="311">
        <v>30115.680000000004</v>
      </c>
      <c r="V547" s="311"/>
      <c r="W547" s="311"/>
      <c r="X547" s="311">
        <v>16478</v>
      </c>
      <c r="Y547" s="1350">
        <f t="shared" si="56"/>
        <v>31350.15</v>
      </c>
      <c r="Z547" s="1357">
        <f t="shared" si="57"/>
        <v>0</v>
      </c>
      <c r="AA547" s="311">
        <f t="shared" si="58"/>
        <v>0</v>
      </c>
      <c r="AB547" s="311">
        <f t="shared" si="59"/>
        <v>30115.680000000004</v>
      </c>
      <c r="AC547" s="311">
        <f t="shared" si="60"/>
        <v>0</v>
      </c>
      <c r="AD547" s="311">
        <f t="shared" si="61"/>
        <v>0</v>
      </c>
      <c r="AE547" s="311">
        <f t="shared" si="62"/>
        <v>16478</v>
      </c>
      <c r="AF547" s="355"/>
      <c r="AG547" s="838"/>
      <c r="AH547" s="744"/>
      <c r="AI547" s="292"/>
      <c r="AK547" s="300"/>
      <c r="AS547" s="452"/>
    </row>
    <row r="548" spans="1:45" s="299" customFormat="1" ht="27.6">
      <c r="A548" s="353">
        <v>325</v>
      </c>
      <c r="B548" s="352">
        <v>100</v>
      </c>
      <c r="C548" s="352">
        <v>200</v>
      </c>
      <c r="D548" s="352"/>
      <c r="E548" s="352"/>
      <c r="F548" s="352"/>
      <c r="G548" s="323" t="s">
        <v>1163</v>
      </c>
      <c r="H548" s="334"/>
      <c r="I548" s="331"/>
      <c r="J548" s="359"/>
      <c r="K548" s="359"/>
      <c r="L548" s="359"/>
      <c r="M548" s="359"/>
      <c r="N548" s="332"/>
      <c r="O548" s="333"/>
      <c r="P548" s="331">
        <v>0</v>
      </c>
      <c r="Q548" s="332"/>
      <c r="R548" s="537"/>
      <c r="S548" s="416"/>
      <c r="T548" s="416"/>
      <c r="U548" s="416"/>
      <c r="V548" s="416"/>
      <c r="W548" s="416"/>
      <c r="X548" s="416">
        <v>0</v>
      </c>
      <c r="Y548" s="1352">
        <f t="shared" si="56"/>
        <v>0</v>
      </c>
      <c r="Z548" s="1372">
        <f t="shared" si="57"/>
        <v>0</v>
      </c>
      <c r="AA548" s="416">
        <f t="shared" si="58"/>
        <v>0</v>
      </c>
      <c r="AB548" s="416">
        <f t="shared" si="59"/>
        <v>0</v>
      </c>
      <c r="AC548" s="416">
        <f t="shared" si="60"/>
        <v>0</v>
      </c>
      <c r="AD548" s="416">
        <f t="shared" si="61"/>
        <v>0</v>
      </c>
      <c r="AE548" s="416">
        <f t="shared" si="62"/>
        <v>0</v>
      </c>
      <c r="AF548" s="355" t="s">
        <v>1164</v>
      </c>
      <c r="AG548" s="838"/>
      <c r="AH548" s="744"/>
      <c r="AI548" s="292"/>
      <c r="AK548" s="300"/>
      <c r="AS548" s="452"/>
    </row>
    <row r="549" spans="1:45" s="299" customFormat="1">
      <c r="A549" s="353">
        <v>325</v>
      </c>
      <c r="B549" s="352">
        <v>100</v>
      </c>
      <c r="C549" s="352">
        <v>200</v>
      </c>
      <c r="D549" s="357">
        <v>100</v>
      </c>
      <c r="E549" s="357"/>
      <c r="F549" s="357"/>
      <c r="G549" s="409" t="s">
        <v>1112</v>
      </c>
      <c r="H549" s="329"/>
      <c r="I549" s="326"/>
      <c r="J549" s="358"/>
      <c r="K549" s="358"/>
      <c r="L549" s="358"/>
      <c r="M549" s="358"/>
      <c r="N549" s="327"/>
      <c r="O549" s="802"/>
      <c r="P549" s="418"/>
      <c r="Q549" s="419">
        <v>38626</v>
      </c>
      <c r="R549" s="313">
        <v>5837.87</v>
      </c>
      <c r="S549" s="311"/>
      <c r="T549" s="311"/>
      <c r="U549" s="311">
        <v>5837.87</v>
      </c>
      <c r="V549" s="311"/>
      <c r="W549" s="311"/>
      <c r="X549" s="311">
        <v>4411</v>
      </c>
      <c r="Y549" s="1350">
        <f t="shared" si="56"/>
        <v>5837.87</v>
      </c>
      <c r="Z549" s="1357">
        <f t="shared" si="57"/>
        <v>0</v>
      </c>
      <c r="AA549" s="311">
        <f t="shared" si="58"/>
        <v>0</v>
      </c>
      <c r="AB549" s="311">
        <f t="shared" si="59"/>
        <v>5837.87</v>
      </c>
      <c r="AC549" s="311">
        <f t="shared" si="60"/>
        <v>0</v>
      </c>
      <c r="AD549" s="311">
        <f t="shared" si="61"/>
        <v>0</v>
      </c>
      <c r="AE549" s="311">
        <f t="shared" si="62"/>
        <v>43037</v>
      </c>
      <c r="AF549" s="355"/>
      <c r="AG549" s="838"/>
      <c r="AH549" s="744"/>
      <c r="AI549" s="292"/>
      <c r="AK549" s="300"/>
      <c r="AS549" s="452"/>
    </row>
    <row r="550" spans="1:45" s="299" customFormat="1">
      <c r="A550" s="353">
        <v>325</v>
      </c>
      <c r="B550" s="352">
        <v>100</v>
      </c>
      <c r="C550" s="352">
        <v>200</v>
      </c>
      <c r="D550" s="357">
        <v>200</v>
      </c>
      <c r="E550" s="357"/>
      <c r="F550" s="357"/>
      <c r="G550" s="409" t="s">
        <v>1113</v>
      </c>
      <c r="H550" s="329"/>
      <c r="I550" s="326"/>
      <c r="J550" s="358"/>
      <c r="K550" s="358"/>
      <c r="L550" s="358"/>
      <c r="M550" s="358"/>
      <c r="N550" s="327"/>
      <c r="O550" s="802"/>
      <c r="P550" s="418"/>
      <c r="Q550" s="419">
        <v>5654</v>
      </c>
      <c r="R550" s="313">
        <v>89.3</v>
      </c>
      <c r="S550" s="311"/>
      <c r="T550" s="311"/>
      <c r="U550" s="311">
        <v>89.3</v>
      </c>
      <c r="V550" s="311"/>
      <c r="W550" s="311"/>
      <c r="X550" s="311">
        <v>2965</v>
      </c>
      <c r="Y550" s="1350">
        <f t="shared" si="56"/>
        <v>89.3</v>
      </c>
      <c r="Z550" s="1357">
        <f t="shared" si="57"/>
        <v>0</v>
      </c>
      <c r="AA550" s="311">
        <f t="shared" si="58"/>
        <v>0</v>
      </c>
      <c r="AB550" s="311">
        <f t="shared" si="59"/>
        <v>89.3</v>
      </c>
      <c r="AC550" s="311">
        <f t="shared" si="60"/>
        <v>0</v>
      </c>
      <c r="AD550" s="311">
        <f t="shared" si="61"/>
        <v>0</v>
      </c>
      <c r="AE550" s="311">
        <f t="shared" si="62"/>
        <v>8619</v>
      </c>
      <c r="AF550" s="355"/>
      <c r="AG550" s="838"/>
      <c r="AH550" s="744"/>
      <c r="AI550" s="292"/>
      <c r="AK550" s="300"/>
      <c r="AS550" s="452"/>
    </row>
    <row r="551" spans="1:45" s="299" customFormat="1">
      <c r="A551" s="353">
        <v>325</v>
      </c>
      <c r="B551" s="352">
        <v>100</v>
      </c>
      <c r="C551" s="352">
        <v>200</v>
      </c>
      <c r="D551" s="357">
        <v>300</v>
      </c>
      <c r="E551" s="357"/>
      <c r="F551" s="357"/>
      <c r="G551" s="409" t="s">
        <v>1136</v>
      </c>
      <c r="H551" s="329"/>
      <c r="I551" s="326"/>
      <c r="J551" s="358"/>
      <c r="K551" s="358"/>
      <c r="L551" s="358"/>
      <c r="M551" s="358"/>
      <c r="N551" s="327"/>
      <c r="O551" s="328"/>
      <c r="P551" s="326"/>
      <c r="Q551" s="327"/>
      <c r="R551" s="313">
        <v>22.8</v>
      </c>
      <c r="S551" s="311"/>
      <c r="T551" s="311"/>
      <c r="U551" s="311">
        <v>22.8</v>
      </c>
      <c r="V551" s="311"/>
      <c r="W551" s="311"/>
      <c r="X551" s="311">
        <v>420</v>
      </c>
      <c r="Y551" s="1350">
        <f t="shared" si="56"/>
        <v>22.8</v>
      </c>
      <c r="Z551" s="1357">
        <f t="shared" si="57"/>
        <v>0</v>
      </c>
      <c r="AA551" s="311">
        <f t="shared" si="58"/>
        <v>0</v>
      </c>
      <c r="AB551" s="311">
        <f t="shared" si="59"/>
        <v>22.8</v>
      </c>
      <c r="AC551" s="311">
        <f t="shared" si="60"/>
        <v>0</v>
      </c>
      <c r="AD551" s="311">
        <f t="shared" si="61"/>
        <v>0</v>
      </c>
      <c r="AE551" s="311">
        <f t="shared" si="62"/>
        <v>420</v>
      </c>
      <c r="AF551" s="355"/>
      <c r="AG551" s="838"/>
      <c r="AH551" s="744"/>
      <c r="AI551" s="292"/>
      <c r="AK551" s="300"/>
      <c r="AS551" s="452"/>
    </row>
    <row r="552" spans="1:45" s="299" customFormat="1">
      <c r="A552" s="353">
        <v>325</v>
      </c>
      <c r="B552" s="352">
        <v>100</v>
      </c>
      <c r="C552" s="352">
        <v>200</v>
      </c>
      <c r="D552" s="357">
        <v>400</v>
      </c>
      <c r="E552" s="357"/>
      <c r="F552" s="357"/>
      <c r="G552" s="409" t="s">
        <v>1137</v>
      </c>
      <c r="H552" s="329"/>
      <c r="I552" s="326"/>
      <c r="J552" s="358"/>
      <c r="K552" s="358"/>
      <c r="L552" s="358"/>
      <c r="M552" s="358"/>
      <c r="N552" s="327"/>
      <c r="O552" s="328"/>
      <c r="P552" s="326"/>
      <c r="Q552" s="327"/>
      <c r="R552" s="313"/>
      <c r="S552" s="311"/>
      <c r="T552" s="311"/>
      <c r="U552" s="311"/>
      <c r="V552" s="311"/>
      <c r="W552" s="311"/>
      <c r="X552" s="311">
        <v>0</v>
      </c>
      <c r="Y552" s="1350">
        <f t="shared" si="56"/>
        <v>0</v>
      </c>
      <c r="Z552" s="1357">
        <f t="shared" si="57"/>
        <v>0</v>
      </c>
      <c r="AA552" s="311">
        <f t="shared" si="58"/>
        <v>0</v>
      </c>
      <c r="AB552" s="311">
        <f t="shared" si="59"/>
        <v>0</v>
      </c>
      <c r="AC552" s="311">
        <f t="shared" si="60"/>
        <v>0</v>
      </c>
      <c r="AD552" s="311">
        <f t="shared" si="61"/>
        <v>0</v>
      </c>
      <c r="AE552" s="311">
        <f t="shared" si="62"/>
        <v>0</v>
      </c>
      <c r="AF552" s="355"/>
      <c r="AG552" s="838"/>
      <c r="AH552" s="744"/>
      <c r="AI552" s="292"/>
      <c r="AK552" s="300"/>
      <c r="AS552" s="452"/>
    </row>
    <row r="553" spans="1:45" s="299" customFormat="1">
      <c r="A553" s="353">
        <v>325</v>
      </c>
      <c r="B553" s="352">
        <v>100</v>
      </c>
      <c r="C553" s="352">
        <v>200</v>
      </c>
      <c r="D553" s="352">
        <v>500</v>
      </c>
      <c r="E553" s="352"/>
      <c r="F553" s="352"/>
      <c r="G553" s="411" t="s">
        <v>1120</v>
      </c>
      <c r="H553" s="334"/>
      <c r="I553" s="331"/>
      <c r="J553" s="359"/>
      <c r="K553" s="359"/>
      <c r="L553" s="359"/>
      <c r="M553" s="359"/>
      <c r="N553" s="332"/>
      <c r="O553" s="333"/>
      <c r="P553" s="331"/>
      <c r="Q553" s="332"/>
      <c r="R553" s="531"/>
      <c r="S553" s="415"/>
      <c r="T553" s="415"/>
      <c r="U553" s="415">
        <v>0</v>
      </c>
      <c r="V553" s="415"/>
      <c r="W553" s="415"/>
      <c r="X553" s="415">
        <v>0</v>
      </c>
      <c r="Y553" s="1352">
        <f t="shared" si="56"/>
        <v>0</v>
      </c>
      <c r="Z553" s="1366">
        <f t="shared" si="57"/>
        <v>0</v>
      </c>
      <c r="AA553" s="415">
        <f t="shared" si="58"/>
        <v>0</v>
      </c>
      <c r="AB553" s="415">
        <f t="shared" si="59"/>
        <v>0</v>
      </c>
      <c r="AC553" s="415">
        <f t="shared" si="60"/>
        <v>0</v>
      </c>
      <c r="AD553" s="415">
        <f t="shared" si="61"/>
        <v>0</v>
      </c>
      <c r="AE553" s="415">
        <f t="shared" si="62"/>
        <v>0</v>
      </c>
      <c r="AF553" s="355"/>
      <c r="AG553" s="838"/>
      <c r="AH553" s="744"/>
      <c r="AI553" s="292"/>
      <c r="AK553" s="300"/>
      <c r="AS553" s="452"/>
    </row>
    <row r="554" spans="1:45" s="299" customFormat="1">
      <c r="A554" s="353">
        <v>325</v>
      </c>
      <c r="B554" s="352">
        <v>100</v>
      </c>
      <c r="C554" s="352">
        <v>200</v>
      </c>
      <c r="D554" s="352">
        <v>500</v>
      </c>
      <c r="E554" s="357">
        <v>5</v>
      </c>
      <c r="F554" s="357"/>
      <c r="G554" s="409" t="s">
        <v>1121</v>
      </c>
      <c r="H554" s="329"/>
      <c r="I554" s="326"/>
      <c r="J554" s="358"/>
      <c r="K554" s="358"/>
      <c r="L554" s="358"/>
      <c r="M554" s="358"/>
      <c r="N554" s="327"/>
      <c r="O554" s="328"/>
      <c r="P554" s="326"/>
      <c r="Q554" s="327"/>
      <c r="R554" s="538"/>
      <c r="S554" s="414"/>
      <c r="T554" s="414"/>
      <c r="U554" s="414">
        <v>0</v>
      </c>
      <c r="V554" s="414"/>
      <c r="W554" s="414"/>
      <c r="X554" s="414">
        <v>0</v>
      </c>
      <c r="Y554" s="1350">
        <f t="shared" si="56"/>
        <v>0</v>
      </c>
      <c r="Z554" s="1373">
        <f t="shared" si="57"/>
        <v>0</v>
      </c>
      <c r="AA554" s="414">
        <f t="shared" si="58"/>
        <v>0</v>
      </c>
      <c r="AB554" s="414">
        <f t="shared" si="59"/>
        <v>0</v>
      </c>
      <c r="AC554" s="414">
        <f t="shared" si="60"/>
        <v>0</v>
      </c>
      <c r="AD554" s="414">
        <f t="shared" si="61"/>
        <v>0</v>
      </c>
      <c r="AE554" s="414">
        <f t="shared" si="62"/>
        <v>0</v>
      </c>
      <c r="AF554" s="355"/>
      <c r="AG554" s="838"/>
      <c r="AH554" s="744"/>
      <c r="AI554" s="292"/>
      <c r="AK554" s="300"/>
      <c r="AS554" s="452"/>
    </row>
    <row r="555" spans="1:45" s="299" customFormat="1">
      <c r="A555" s="353">
        <v>325</v>
      </c>
      <c r="B555" s="352">
        <v>100</v>
      </c>
      <c r="C555" s="352">
        <v>200</v>
      </c>
      <c r="D555" s="352">
        <v>500</v>
      </c>
      <c r="E555" s="357">
        <v>10</v>
      </c>
      <c r="F555" s="357"/>
      <c r="G555" s="409" t="s">
        <v>1122</v>
      </c>
      <c r="H555" s="329"/>
      <c r="I555" s="326"/>
      <c r="J555" s="358"/>
      <c r="K555" s="358"/>
      <c r="L555" s="358"/>
      <c r="M555" s="358"/>
      <c r="N555" s="327"/>
      <c r="O555" s="328"/>
      <c r="P555" s="326"/>
      <c r="Q555" s="327"/>
      <c r="R555" s="538"/>
      <c r="S555" s="414"/>
      <c r="T555" s="414"/>
      <c r="U555" s="414">
        <v>0</v>
      </c>
      <c r="V555" s="414"/>
      <c r="W555" s="414"/>
      <c r="X555" s="414">
        <v>0</v>
      </c>
      <c r="Y555" s="1350">
        <f t="shared" si="56"/>
        <v>0</v>
      </c>
      <c r="Z555" s="1373">
        <f t="shared" si="57"/>
        <v>0</v>
      </c>
      <c r="AA555" s="414">
        <f t="shared" si="58"/>
        <v>0</v>
      </c>
      <c r="AB555" s="414">
        <f t="shared" si="59"/>
        <v>0</v>
      </c>
      <c r="AC555" s="414">
        <f t="shared" si="60"/>
        <v>0</v>
      </c>
      <c r="AD555" s="414">
        <f t="shared" si="61"/>
        <v>0</v>
      </c>
      <c r="AE555" s="414">
        <f t="shared" si="62"/>
        <v>0</v>
      </c>
      <c r="AF555" s="355"/>
      <c r="AG555" s="838"/>
      <c r="AH555" s="744"/>
      <c r="AI555" s="292"/>
      <c r="AK555" s="300"/>
      <c r="AS555" s="452"/>
    </row>
    <row r="556" spans="1:45" s="299" customFormat="1">
      <c r="A556" s="353">
        <v>325</v>
      </c>
      <c r="B556" s="352">
        <v>100</v>
      </c>
      <c r="C556" s="352">
        <v>200</v>
      </c>
      <c r="D556" s="352">
        <v>500</v>
      </c>
      <c r="E556" s="357">
        <v>15</v>
      </c>
      <c r="F556" s="357"/>
      <c r="G556" s="409" t="s">
        <v>1162</v>
      </c>
      <c r="H556" s="329"/>
      <c r="I556" s="326"/>
      <c r="J556" s="358"/>
      <c r="K556" s="358"/>
      <c r="L556" s="358"/>
      <c r="M556" s="358"/>
      <c r="N556" s="327"/>
      <c r="O556" s="328"/>
      <c r="P556" s="326"/>
      <c r="Q556" s="327"/>
      <c r="R556" s="532"/>
      <c r="S556" s="413"/>
      <c r="T556" s="413"/>
      <c r="U556" s="413">
        <v>0</v>
      </c>
      <c r="V556" s="413"/>
      <c r="W556" s="413"/>
      <c r="X556" s="413"/>
      <c r="Y556" s="1350">
        <f t="shared" si="56"/>
        <v>0</v>
      </c>
      <c r="Z556" s="1367">
        <f t="shared" si="57"/>
        <v>0</v>
      </c>
      <c r="AA556" s="413">
        <f t="shared" si="58"/>
        <v>0</v>
      </c>
      <c r="AB556" s="413">
        <f t="shared" si="59"/>
        <v>0</v>
      </c>
      <c r="AC556" s="413">
        <f t="shared" si="60"/>
        <v>0</v>
      </c>
      <c r="AD556" s="413">
        <f t="shared" si="61"/>
        <v>0</v>
      </c>
      <c r="AE556" s="413">
        <f t="shared" si="62"/>
        <v>0</v>
      </c>
      <c r="AF556" s="355"/>
      <c r="AG556" s="838"/>
      <c r="AH556" s="744"/>
      <c r="AI556" s="292"/>
      <c r="AK556" s="300"/>
      <c r="AS556" s="452"/>
    </row>
    <row r="557" spans="1:45" s="299" customFormat="1">
      <c r="A557" s="353">
        <v>325</v>
      </c>
      <c r="B557" s="352">
        <v>100</v>
      </c>
      <c r="C557" s="352">
        <v>200</v>
      </c>
      <c r="D557" s="357">
        <v>900</v>
      </c>
      <c r="E557" s="357"/>
      <c r="F557" s="357"/>
      <c r="G557" s="409" t="s">
        <v>1140</v>
      </c>
      <c r="H557" s="329"/>
      <c r="I557" s="326"/>
      <c r="J557" s="358"/>
      <c r="K557" s="358"/>
      <c r="L557" s="358"/>
      <c r="M557" s="358"/>
      <c r="N557" s="327"/>
      <c r="O557" s="802"/>
      <c r="P557" s="418"/>
      <c r="Q557" s="419">
        <v>12177</v>
      </c>
      <c r="R557" s="313">
        <v>1862.76</v>
      </c>
      <c r="S557" s="311"/>
      <c r="T557" s="311"/>
      <c r="U557" s="311">
        <v>1865.18</v>
      </c>
      <c r="V557" s="311"/>
      <c r="W557" s="311"/>
      <c r="X557" s="311">
        <v>4299</v>
      </c>
      <c r="Y557" s="1350">
        <f t="shared" si="56"/>
        <v>1862.76</v>
      </c>
      <c r="Z557" s="1357">
        <f t="shared" si="57"/>
        <v>0</v>
      </c>
      <c r="AA557" s="311">
        <f t="shared" si="58"/>
        <v>0</v>
      </c>
      <c r="AB557" s="311">
        <f t="shared" si="59"/>
        <v>1865.18</v>
      </c>
      <c r="AC557" s="311">
        <f t="shared" si="60"/>
        <v>0</v>
      </c>
      <c r="AD557" s="311">
        <f t="shared" si="61"/>
        <v>0</v>
      </c>
      <c r="AE557" s="311">
        <f t="shared" si="62"/>
        <v>16476</v>
      </c>
      <c r="AF557" s="355"/>
      <c r="AG557" s="838"/>
      <c r="AH557" s="744"/>
      <c r="AI557" s="292"/>
      <c r="AK557" s="300"/>
      <c r="AS557" s="452"/>
    </row>
    <row r="558" spans="1:45" s="299" customFormat="1" ht="27.6">
      <c r="A558" s="353">
        <v>325</v>
      </c>
      <c r="B558" s="352">
        <v>100</v>
      </c>
      <c r="C558" s="357">
        <v>300</v>
      </c>
      <c r="D558" s="357"/>
      <c r="E558" s="357"/>
      <c r="F558" s="357"/>
      <c r="G558" s="323" t="s">
        <v>1165</v>
      </c>
      <c r="H558" s="329"/>
      <c r="I558" s="326"/>
      <c r="J558" s="358"/>
      <c r="K558" s="358"/>
      <c r="L558" s="358"/>
      <c r="M558" s="358"/>
      <c r="N558" s="327"/>
      <c r="O558" s="328"/>
      <c r="P558" s="326">
        <v>0</v>
      </c>
      <c r="Q558" s="327"/>
      <c r="R558" s="536"/>
      <c r="S558" s="412"/>
      <c r="T558" s="412"/>
      <c r="U558" s="412">
        <v>0</v>
      </c>
      <c r="V558" s="412"/>
      <c r="W558" s="412"/>
      <c r="X558" s="412">
        <v>0</v>
      </c>
      <c r="Y558" s="1350">
        <f t="shared" si="56"/>
        <v>0</v>
      </c>
      <c r="Z558" s="1371">
        <f t="shared" si="57"/>
        <v>0</v>
      </c>
      <c r="AA558" s="412">
        <f t="shared" si="58"/>
        <v>0</v>
      </c>
      <c r="AB558" s="412">
        <f t="shared" si="59"/>
        <v>0</v>
      </c>
      <c r="AC558" s="412">
        <f t="shared" si="60"/>
        <v>0</v>
      </c>
      <c r="AD558" s="412">
        <f t="shared" si="61"/>
        <v>0</v>
      </c>
      <c r="AE558" s="412">
        <f t="shared" si="62"/>
        <v>0</v>
      </c>
      <c r="AF558" s="355" t="s">
        <v>1166</v>
      </c>
      <c r="AG558" s="838"/>
      <c r="AH558" s="744"/>
      <c r="AI558" s="292"/>
      <c r="AK558" s="300"/>
      <c r="AS558" s="452"/>
    </row>
    <row r="559" spans="1:45" s="299" customFormat="1" ht="27.6">
      <c r="A559" s="353">
        <v>325</v>
      </c>
      <c r="B559" s="352">
        <v>200</v>
      </c>
      <c r="C559" s="352"/>
      <c r="D559" s="352"/>
      <c r="E559" s="352"/>
      <c r="F559" s="352"/>
      <c r="G559" s="323" t="s">
        <v>1167</v>
      </c>
      <c r="H559" s="334"/>
      <c r="I559" s="331"/>
      <c r="J559" s="359"/>
      <c r="K559" s="359"/>
      <c r="L559" s="359"/>
      <c r="M559" s="359"/>
      <c r="N559" s="332"/>
      <c r="O559" s="333"/>
      <c r="P559" s="331">
        <v>0</v>
      </c>
      <c r="Q559" s="332"/>
      <c r="R559" s="537"/>
      <c r="S559" s="416"/>
      <c r="T559" s="416"/>
      <c r="U559" s="416">
        <v>0</v>
      </c>
      <c r="V559" s="416"/>
      <c r="W559" s="416"/>
      <c r="X559" s="416">
        <v>0</v>
      </c>
      <c r="Y559" s="1352">
        <f t="shared" si="56"/>
        <v>0</v>
      </c>
      <c r="Z559" s="1372">
        <f t="shared" si="57"/>
        <v>0</v>
      </c>
      <c r="AA559" s="416">
        <f t="shared" si="58"/>
        <v>0</v>
      </c>
      <c r="AB559" s="416">
        <f t="shared" si="59"/>
        <v>0</v>
      </c>
      <c r="AC559" s="416">
        <f t="shared" si="60"/>
        <v>0</v>
      </c>
      <c r="AD559" s="416">
        <f t="shared" si="61"/>
        <v>0</v>
      </c>
      <c r="AE559" s="416">
        <f t="shared" si="62"/>
        <v>0</v>
      </c>
      <c r="AF559" s="355" t="s">
        <v>1168</v>
      </c>
      <c r="AG559" s="838"/>
      <c r="AH559" s="744"/>
      <c r="AI559" s="292"/>
      <c r="AK559" s="300"/>
      <c r="AS559" s="452"/>
    </row>
    <row r="560" spans="1:45" s="299" customFormat="1" ht="41.4">
      <c r="A560" s="353">
        <v>325</v>
      </c>
      <c r="B560" s="352">
        <v>200</v>
      </c>
      <c r="C560" s="352">
        <v>100</v>
      </c>
      <c r="D560" s="352"/>
      <c r="E560" s="352"/>
      <c r="F560" s="352"/>
      <c r="G560" s="323" t="s">
        <v>1169</v>
      </c>
      <c r="H560" s="334"/>
      <c r="I560" s="331"/>
      <c r="J560" s="359"/>
      <c r="K560" s="359"/>
      <c r="L560" s="359"/>
      <c r="M560" s="359"/>
      <c r="N560" s="332"/>
      <c r="O560" s="333"/>
      <c r="P560" s="331">
        <v>0</v>
      </c>
      <c r="Q560" s="332"/>
      <c r="R560" s="537"/>
      <c r="S560" s="416"/>
      <c r="T560" s="416"/>
      <c r="U560" s="416">
        <v>0</v>
      </c>
      <c r="V560" s="416"/>
      <c r="W560" s="416"/>
      <c r="X560" s="416">
        <v>0</v>
      </c>
      <c r="Y560" s="1352">
        <f t="shared" si="56"/>
        <v>0</v>
      </c>
      <c r="Z560" s="1372">
        <f t="shared" si="57"/>
        <v>0</v>
      </c>
      <c r="AA560" s="416">
        <f t="shared" si="58"/>
        <v>0</v>
      </c>
      <c r="AB560" s="416">
        <f t="shared" si="59"/>
        <v>0</v>
      </c>
      <c r="AC560" s="416">
        <f t="shared" si="60"/>
        <v>0</v>
      </c>
      <c r="AD560" s="416">
        <f t="shared" si="61"/>
        <v>0</v>
      </c>
      <c r="AE560" s="416">
        <f t="shared" si="62"/>
        <v>0</v>
      </c>
      <c r="AF560" s="355" t="s">
        <v>1170</v>
      </c>
      <c r="AG560" s="838"/>
      <c r="AH560" s="744"/>
      <c r="AI560" s="292"/>
      <c r="AK560" s="300"/>
      <c r="AS560" s="452"/>
    </row>
    <row r="561" spans="1:45" s="299" customFormat="1">
      <c r="A561" s="353">
        <v>325</v>
      </c>
      <c r="B561" s="352">
        <v>200</v>
      </c>
      <c r="C561" s="352">
        <v>100</v>
      </c>
      <c r="D561" s="357">
        <v>100</v>
      </c>
      <c r="E561" s="357"/>
      <c r="F561" s="357"/>
      <c r="G561" s="409" t="s">
        <v>1112</v>
      </c>
      <c r="H561" s="329"/>
      <c r="I561" s="326"/>
      <c r="J561" s="358"/>
      <c r="K561" s="358"/>
      <c r="L561" s="358"/>
      <c r="M561" s="358"/>
      <c r="N561" s="327"/>
      <c r="O561" s="328"/>
      <c r="P561" s="326">
        <v>0</v>
      </c>
      <c r="Q561" s="327"/>
      <c r="R561" s="538"/>
      <c r="S561" s="414"/>
      <c r="T561" s="414"/>
      <c r="U561" s="414">
        <v>0</v>
      </c>
      <c r="V561" s="414"/>
      <c r="W561" s="414"/>
      <c r="X561" s="414">
        <v>0</v>
      </c>
      <c r="Y561" s="1350">
        <f t="shared" si="56"/>
        <v>0</v>
      </c>
      <c r="Z561" s="1373">
        <f t="shared" si="57"/>
        <v>0</v>
      </c>
      <c r="AA561" s="414">
        <f t="shared" si="58"/>
        <v>0</v>
      </c>
      <c r="AB561" s="414">
        <f t="shared" si="59"/>
        <v>0</v>
      </c>
      <c r="AC561" s="414">
        <f t="shared" si="60"/>
        <v>0</v>
      </c>
      <c r="AD561" s="414">
        <f t="shared" si="61"/>
        <v>0</v>
      </c>
      <c r="AE561" s="414">
        <f t="shared" si="62"/>
        <v>0</v>
      </c>
      <c r="AF561" s="355"/>
      <c r="AG561" s="838"/>
      <c r="AH561" s="744"/>
      <c r="AI561" s="292"/>
      <c r="AK561" s="300"/>
      <c r="AS561" s="452"/>
    </row>
    <row r="562" spans="1:45" s="299" customFormat="1">
      <c r="A562" s="353">
        <v>325</v>
      </c>
      <c r="B562" s="352">
        <v>200</v>
      </c>
      <c r="C562" s="352">
        <v>100</v>
      </c>
      <c r="D562" s="357">
        <v>200</v>
      </c>
      <c r="E562" s="357"/>
      <c r="F562" s="357"/>
      <c r="G562" s="409" t="s">
        <v>1148</v>
      </c>
      <c r="H562" s="329"/>
      <c r="I562" s="326"/>
      <c r="J562" s="358"/>
      <c r="K562" s="358"/>
      <c r="L562" s="358"/>
      <c r="M562" s="358"/>
      <c r="N562" s="327"/>
      <c r="O562" s="328"/>
      <c r="P562" s="326">
        <v>0</v>
      </c>
      <c r="Q562" s="327"/>
      <c r="R562" s="538"/>
      <c r="S562" s="414"/>
      <c r="T562" s="414"/>
      <c r="U562" s="414">
        <v>0</v>
      </c>
      <c r="V562" s="414"/>
      <c r="W562" s="414"/>
      <c r="X562" s="414">
        <v>0</v>
      </c>
      <c r="Y562" s="1350">
        <f t="shared" si="56"/>
        <v>0</v>
      </c>
      <c r="Z562" s="1373">
        <f t="shared" si="57"/>
        <v>0</v>
      </c>
      <c r="AA562" s="414">
        <f t="shared" si="58"/>
        <v>0</v>
      </c>
      <c r="AB562" s="414">
        <f t="shared" si="59"/>
        <v>0</v>
      </c>
      <c r="AC562" s="414">
        <f t="shared" si="60"/>
        <v>0</v>
      </c>
      <c r="AD562" s="414">
        <f t="shared" si="61"/>
        <v>0</v>
      </c>
      <c r="AE562" s="414">
        <f t="shared" si="62"/>
        <v>0</v>
      </c>
      <c r="AF562" s="355"/>
      <c r="AG562" s="838"/>
      <c r="AH562" s="744"/>
      <c r="AI562" s="292"/>
      <c r="AK562" s="300"/>
      <c r="AS562" s="452"/>
    </row>
    <row r="563" spans="1:45" s="299" customFormat="1">
      <c r="A563" s="353">
        <v>325</v>
      </c>
      <c r="B563" s="352">
        <v>200</v>
      </c>
      <c r="C563" s="352">
        <v>100</v>
      </c>
      <c r="D563" s="357">
        <v>300</v>
      </c>
      <c r="E563" s="357"/>
      <c r="F563" s="357"/>
      <c r="G563" s="409" t="s">
        <v>1149</v>
      </c>
      <c r="H563" s="329"/>
      <c r="I563" s="326"/>
      <c r="J563" s="358"/>
      <c r="K563" s="358"/>
      <c r="L563" s="358"/>
      <c r="M563" s="358"/>
      <c r="N563" s="327"/>
      <c r="O563" s="328"/>
      <c r="P563" s="326">
        <v>0</v>
      </c>
      <c r="Q563" s="327"/>
      <c r="R563" s="538"/>
      <c r="S563" s="414"/>
      <c r="T563" s="414"/>
      <c r="U563" s="414">
        <v>0</v>
      </c>
      <c r="V563" s="414"/>
      <c r="W563" s="414"/>
      <c r="X563" s="414">
        <v>0</v>
      </c>
      <c r="Y563" s="1350">
        <f t="shared" si="56"/>
        <v>0</v>
      </c>
      <c r="Z563" s="1373">
        <f t="shared" si="57"/>
        <v>0</v>
      </c>
      <c r="AA563" s="414">
        <f t="shared" si="58"/>
        <v>0</v>
      </c>
      <c r="AB563" s="414">
        <f t="shared" si="59"/>
        <v>0</v>
      </c>
      <c r="AC563" s="414">
        <f t="shared" si="60"/>
        <v>0</v>
      </c>
      <c r="AD563" s="414">
        <f t="shared" si="61"/>
        <v>0</v>
      </c>
      <c r="AE563" s="414">
        <f t="shared" si="62"/>
        <v>0</v>
      </c>
      <c r="AF563" s="355"/>
      <c r="AG563" s="838"/>
      <c r="AH563" s="744"/>
      <c r="AI563" s="292"/>
      <c r="AK563" s="300"/>
      <c r="AS563" s="452"/>
    </row>
    <row r="564" spans="1:45" s="299" customFormat="1">
      <c r="A564" s="353">
        <v>325</v>
      </c>
      <c r="B564" s="352">
        <v>200</v>
      </c>
      <c r="C564" s="352">
        <v>100</v>
      </c>
      <c r="D564" s="357">
        <v>400</v>
      </c>
      <c r="E564" s="357"/>
      <c r="F564" s="357"/>
      <c r="G564" s="409" t="s">
        <v>1150</v>
      </c>
      <c r="H564" s="329"/>
      <c r="I564" s="326"/>
      <c r="J564" s="358"/>
      <c r="K564" s="358"/>
      <c r="L564" s="358"/>
      <c r="M564" s="358"/>
      <c r="N564" s="327"/>
      <c r="O564" s="328"/>
      <c r="P564" s="326">
        <v>0</v>
      </c>
      <c r="Q564" s="327"/>
      <c r="R564" s="538"/>
      <c r="S564" s="414"/>
      <c r="T564" s="414"/>
      <c r="U564" s="414">
        <v>0</v>
      </c>
      <c r="V564" s="414"/>
      <c r="W564" s="414"/>
      <c r="X564" s="414">
        <v>0</v>
      </c>
      <c r="Y564" s="1350">
        <f t="shared" si="56"/>
        <v>0</v>
      </c>
      <c r="Z564" s="1373">
        <f t="shared" si="57"/>
        <v>0</v>
      </c>
      <c r="AA564" s="414">
        <f t="shared" si="58"/>
        <v>0</v>
      </c>
      <c r="AB564" s="414">
        <f t="shared" si="59"/>
        <v>0</v>
      </c>
      <c r="AC564" s="414">
        <f t="shared" si="60"/>
        <v>0</v>
      </c>
      <c r="AD564" s="414">
        <f t="shared" si="61"/>
        <v>0</v>
      </c>
      <c r="AE564" s="414">
        <f t="shared" si="62"/>
        <v>0</v>
      </c>
      <c r="AF564" s="355"/>
      <c r="AG564" s="838"/>
      <c r="AH564" s="744"/>
      <c r="AI564" s="292"/>
      <c r="AK564" s="300"/>
      <c r="AS564" s="452"/>
    </row>
    <row r="565" spans="1:45" s="299" customFormat="1">
      <c r="A565" s="353">
        <v>325</v>
      </c>
      <c r="B565" s="352">
        <v>200</v>
      </c>
      <c r="C565" s="352">
        <v>100</v>
      </c>
      <c r="D565" s="357">
        <v>500</v>
      </c>
      <c r="E565" s="357"/>
      <c r="F565" s="357"/>
      <c r="G565" s="409" t="s">
        <v>1137</v>
      </c>
      <c r="H565" s="329"/>
      <c r="I565" s="326"/>
      <c r="J565" s="358"/>
      <c r="K565" s="358"/>
      <c r="L565" s="358"/>
      <c r="M565" s="358"/>
      <c r="N565" s="327"/>
      <c r="O565" s="328"/>
      <c r="P565" s="326">
        <v>0</v>
      </c>
      <c r="Q565" s="327"/>
      <c r="R565" s="538"/>
      <c r="S565" s="414"/>
      <c r="T565" s="414"/>
      <c r="U565" s="414">
        <v>0</v>
      </c>
      <c r="V565" s="414"/>
      <c r="W565" s="414"/>
      <c r="X565" s="414">
        <v>0</v>
      </c>
      <c r="Y565" s="1350">
        <f t="shared" si="56"/>
        <v>0</v>
      </c>
      <c r="Z565" s="1373">
        <f t="shared" si="57"/>
        <v>0</v>
      </c>
      <c r="AA565" s="414">
        <f t="shared" si="58"/>
        <v>0</v>
      </c>
      <c r="AB565" s="414">
        <f t="shared" si="59"/>
        <v>0</v>
      </c>
      <c r="AC565" s="414">
        <f t="shared" si="60"/>
        <v>0</v>
      </c>
      <c r="AD565" s="414">
        <f t="shared" si="61"/>
        <v>0</v>
      </c>
      <c r="AE565" s="414">
        <f t="shared" si="62"/>
        <v>0</v>
      </c>
      <c r="AF565" s="355"/>
      <c r="AG565" s="838"/>
      <c r="AH565" s="744"/>
      <c r="AI565" s="292"/>
      <c r="AK565" s="300"/>
      <c r="AS565" s="452"/>
    </row>
    <row r="566" spans="1:45" s="299" customFormat="1">
      <c r="A566" s="353">
        <v>325</v>
      </c>
      <c r="B566" s="352">
        <v>200</v>
      </c>
      <c r="C566" s="352">
        <v>100</v>
      </c>
      <c r="D566" s="352">
        <v>600</v>
      </c>
      <c r="E566" s="352"/>
      <c r="F566" s="352"/>
      <c r="G566" s="411" t="s">
        <v>1120</v>
      </c>
      <c r="H566" s="334"/>
      <c r="I566" s="331"/>
      <c r="J566" s="359"/>
      <c r="K566" s="359"/>
      <c r="L566" s="359"/>
      <c r="M566" s="359"/>
      <c r="N566" s="332"/>
      <c r="O566" s="333"/>
      <c r="P566" s="331">
        <v>0</v>
      </c>
      <c r="Q566" s="332"/>
      <c r="R566" s="531"/>
      <c r="S566" s="415"/>
      <c r="T566" s="415"/>
      <c r="U566" s="415">
        <v>0</v>
      </c>
      <c r="V566" s="415"/>
      <c r="W566" s="415"/>
      <c r="X566" s="415">
        <v>0</v>
      </c>
      <c r="Y566" s="1352">
        <f t="shared" si="56"/>
        <v>0</v>
      </c>
      <c r="Z566" s="1366">
        <f t="shared" si="57"/>
        <v>0</v>
      </c>
      <c r="AA566" s="415">
        <f t="shared" si="58"/>
        <v>0</v>
      </c>
      <c r="AB566" s="415">
        <f t="shared" si="59"/>
        <v>0</v>
      </c>
      <c r="AC566" s="415">
        <f t="shared" si="60"/>
        <v>0</v>
      </c>
      <c r="AD566" s="415">
        <f t="shared" si="61"/>
        <v>0</v>
      </c>
      <c r="AE566" s="415">
        <f t="shared" si="62"/>
        <v>0</v>
      </c>
      <c r="AF566" s="355"/>
      <c r="AG566" s="838"/>
      <c r="AH566" s="744"/>
      <c r="AI566" s="292"/>
      <c r="AK566" s="300"/>
      <c r="AS566" s="452"/>
    </row>
    <row r="567" spans="1:45" s="299" customFormat="1">
      <c r="A567" s="353">
        <v>325</v>
      </c>
      <c r="B567" s="352">
        <v>200</v>
      </c>
      <c r="C567" s="352">
        <v>100</v>
      </c>
      <c r="D567" s="352">
        <v>600</v>
      </c>
      <c r="E567" s="357">
        <v>5</v>
      </c>
      <c r="F567" s="357"/>
      <c r="G567" s="409" t="s">
        <v>1121</v>
      </c>
      <c r="H567" s="329"/>
      <c r="I567" s="326"/>
      <c r="J567" s="358"/>
      <c r="K567" s="358"/>
      <c r="L567" s="358"/>
      <c r="M567" s="358"/>
      <c r="N567" s="327"/>
      <c r="O567" s="328"/>
      <c r="P567" s="326">
        <v>0</v>
      </c>
      <c r="Q567" s="327"/>
      <c r="R567" s="538"/>
      <c r="S567" s="414"/>
      <c r="T567" s="414"/>
      <c r="U567" s="414">
        <v>0</v>
      </c>
      <c r="V567" s="414"/>
      <c r="W567" s="414"/>
      <c r="X567" s="414">
        <v>0</v>
      </c>
      <c r="Y567" s="1350">
        <f t="shared" si="56"/>
        <v>0</v>
      </c>
      <c r="Z567" s="1373">
        <f t="shared" si="57"/>
        <v>0</v>
      </c>
      <c r="AA567" s="414">
        <f t="shared" si="58"/>
        <v>0</v>
      </c>
      <c r="AB567" s="414">
        <f t="shared" si="59"/>
        <v>0</v>
      </c>
      <c r="AC567" s="414">
        <f t="shared" si="60"/>
        <v>0</v>
      </c>
      <c r="AD567" s="414">
        <f t="shared" si="61"/>
        <v>0</v>
      </c>
      <c r="AE567" s="414">
        <f t="shared" si="62"/>
        <v>0</v>
      </c>
      <c r="AF567" s="355"/>
      <c r="AG567" s="838"/>
      <c r="AH567" s="744"/>
      <c r="AI567" s="292"/>
      <c r="AK567" s="300"/>
      <c r="AS567" s="452"/>
    </row>
    <row r="568" spans="1:45" s="299" customFormat="1">
      <c r="A568" s="353">
        <v>325</v>
      </c>
      <c r="B568" s="352">
        <v>200</v>
      </c>
      <c r="C568" s="352">
        <v>100</v>
      </c>
      <c r="D568" s="352">
        <v>600</v>
      </c>
      <c r="E568" s="357">
        <v>10</v>
      </c>
      <c r="F568" s="357"/>
      <c r="G568" s="409" t="s">
        <v>1122</v>
      </c>
      <c r="H568" s="329"/>
      <c r="I568" s="326"/>
      <c r="J568" s="358"/>
      <c r="K568" s="358"/>
      <c r="L568" s="358"/>
      <c r="M568" s="358"/>
      <c r="N568" s="327"/>
      <c r="O568" s="328"/>
      <c r="P568" s="326">
        <v>0</v>
      </c>
      <c r="Q568" s="327"/>
      <c r="R568" s="538"/>
      <c r="S568" s="414"/>
      <c r="T568" s="414"/>
      <c r="U568" s="414">
        <v>0</v>
      </c>
      <c r="V568" s="414"/>
      <c r="W568" s="414"/>
      <c r="X568" s="414">
        <v>0</v>
      </c>
      <c r="Y568" s="1350">
        <f t="shared" si="56"/>
        <v>0</v>
      </c>
      <c r="Z568" s="1373">
        <f t="shared" si="57"/>
        <v>0</v>
      </c>
      <c r="AA568" s="414">
        <f t="shared" si="58"/>
        <v>0</v>
      </c>
      <c r="AB568" s="414">
        <f t="shared" si="59"/>
        <v>0</v>
      </c>
      <c r="AC568" s="414">
        <f t="shared" si="60"/>
        <v>0</v>
      </c>
      <c r="AD568" s="414">
        <f t="shared" si="61"/>
        <v>0</v>
      </c>
      <c r="AE568" s="414">
        <f t="shared" si="62"/>
        <v>0</v>
      </c>
      <c r="AF568" s="355"/>
      <c r="AG568" s="838"/>
      <c r="AH568" s="744"/>
      <c r="AI568" s="292"/>
      <c r="AK568" s="300"/>
      <c r="AS568" s="452"/>
    </row>
    <row r="569" spans="1:45" s="299" customFormat="1">
      <c r="A569" s="353">
        <v>325</v>
      </c>
      <c r="B569" s="352">
        <v>200</v>
      </c>
      <c r="C569" s="352">
        <v>100</v>
      </c>
      <c r="D569" s="352">
        <v>600</v>
      </c>
      <c r="E569" s="357">
        <v>15</v>
      </c>
      <c r="F569" s="357"/>
      <c r="G569" s="409" t="s">
        <v>1151</v>
      </c>
      <c r="H569" s="329"/>
      <c r="I569" s="326"/>
      <c r="J569" s="358"/>
      <c r="K569" s="358"/>
      <c r="L569" s="358"/>
      <c r="M569" s="358"/>
      <c r="N569" s="327"/>
      <c r="O569" s="328"/>
      <c r="P569" s="326">
        <v>0</v>
      </c>
      <c r="Q569" s="327"/>
      <c r="R569" s="538"/>
      <c r="S569" s="414"/>
      <c r="T569" s="414"/>
      <c r="U569" s="414">
        <v>0</v>
      </c>
      <c r="V569" s="414"/>
      <c r="W569" s="414"/>
      <c r="X569" s="414">
        <v>0</v>
      </c>
      <c r="Y569" s="1350">
        <f t="shared" si="56"/>
        <v>0</v>
      </c>
      <c r="Z569" s="1373">
        <f t="shared" si="57"/>
        <v>0</v>
      </c>
      <c r="AA569" s="414">
        <f t="shared" si="58"/>
        <v>0</v>
      </c>
      <c r="AB569" s="414">
        <f t="shared" si="59"/>
        <v>0</v>
      </c>
      <c r="AC569" s="414">
        <f t="shared" si="60"/>
        <v>0</v>
      </c>
      <c r="AD569" s="414">
        <f t="shared" si="61"/>
        <v>0</v>
      </c>
      <c r="AE569" s="414">
        <f t="shared" si="62"/>
        <v>0</v>
      </c>
      <c r="AF569" s="355"/>
      <c r="AG569" s="838"/>
      <c r="AH569" s="744"/>
      <c r="AI569" s="292"/>
      <c r="AK569" s="300"/>
      <c r="AS569" s="452"/>
    </row>
    <row r="570" spans="1:45" s="299" customFormat="1">
      <c r="A570" s="353">
        <v>325</v>
      </c>
      <c r="B570" s="352">
        <v>200</v>
      </c>
      <c r="C570" s="352">
        <v>100</v>
      </c>
      <c r="D570" s="357">
        <v>900</v>
      </c>
      <c r="E570" s="357"/>
      <c r="F570" s="357"/>
      <c r="G570" s="409" t="s">
        <v>1140</v>
      </c>
      <c r="H570" s="329"/>
      <c r="I570" s="326"/>
      <c r="J570" s="358"/>
      <c r="K570" s="358"/>
      <c r="L570" s="358"/>
      <c r="M570" s="358"/>
      <c r="N570" s="327"/>
      <c r="O570" s="328"/>
      <c r="P570" s="326">
        <v>0</v>
      </c>
      <c r="Q570" s="327"/>
      <c r="R570" s="538"/>
      <c r="S570" s="414"/>
      <c r="T570" s="414"/>
      <c r="U570" s="414">
        <v>0</v>
      </c>
      <c r="V570" s="414"/>
      <c r="W570" s="414"/>
      <c r="X570" s="414">
        <v>0</v>
      </c>
      <c r="Y570" s="1350">
        <f t="shared" si="56"/>
        <v>0</v>
      </c>
      <c r="Z570" s="1373">
        <f t="shared" si="57"/>
        <v>0</v>
      </c>
      <c r="AA570" s="414">
        <f t="shared" si="58"/>
        <v>0</v>
      </c>
      <c r="AB570" s="414">
        <f t="shared" si="59"/>
        <v>0</v>
      </c>
      <c r="AC570" s="414">
        <f t="shared" si="60"/>
        <v>0</v>
      </c>
      <c r="AD570" s="414">
        <f t="shared" si="61"/>
        <v>0</v>
      </c>
      <c r="AE570" s="414">
        <f t="shared" si="62"/>
        <v>0</v>
      </c>
      <c r="AF570" s="355"/>
      <c r="AG570" s="838"/>
      <c r="AH570" s="744"/>
      <c r="AI570" s="292"/>
      <c r="AK570" s="300"/>
      <c r="AS570" s="452"/>
    </row>
    <row r="571" spans="1:45" s="299" customFormat="1" ht="27.6">
      <c r="A571" s="353">
        <v>325</v>
      </c>
      <c r="B571" s="352">
        <v>200</v>
      </c>
      <c r="C571" s="352">
        <v>200</v>
      </c>
      <c r="D571" s="352"/>
      <c r="E571" s="352"/>
      <c r="F571" s="352"/>
      <c r="G571" s="403" t="s">
        <v>1171</v>
      </c>
      <c r="H571" s="334"/>
      <c r="I571" s="331"/>
      <c r="J571" s="359"/>
      <c r="K571" s="359"/>
      <c r="L571" s="359"/>
      <c r="M571" s="359"/>
      <c r="N571" s="332"/>
      <c r="O571" s="333"/>
      <c r="P571" s="331">
        <v>0</v>
      </c>
      <c r="Q571" s="332"/>
      <c r="R571" s="537"/>
      <c r="S571" s="416"/>
      <c r="T571" s="416"/>
      <c r="U571" s="416">
        <v>0</v>
      </c>
      <c r="V571" s="416"/>
      <c r="W571" s="416"/>
      <c r="X571" s="416">
        <v>0</v>
      </c>
      <c r="Y571" s="1352">
        <f t="shared" si="56"/>
        <v>0</v>
      </c>
      <c r="Z571" s="1372">
        <f t="shared" si="57"/>
        <v>0</v>
      </c>
      <c r="AA571" s="416">
        <f t="shared" si="58"/>
        <v>0</v>
      </c>
      <c r="AB571" s="416">
        <f t="shared" si="59"/>
        <v>0</v>
      </c>
      <c r="AC571" s="416">
        <f t="shared" si="60"/>
        <v>0</v>
      </c>
      <c r="AD571" s="416">
        <f t="shared" si="61"/>
        <v>0</v>
      </c>
      <c r="AE571" s="416">
        <f t="shared" si="62"/>
        <v>0</v>
      </c>
      <c r="AF571" s="355" t="s">
        <v>1172</v>
      </c>
      <c r="AG571" s="838"/>
      <c r="AH571" s="744"/>
      <c r="AI571" s="292"/>
      <c r="AK571" s="300"/>
      <c r="AS571" s="452"/>
    </row>
    <row r="572" spans="1:45" s="299" customFormat="1">
      <c r="A572" s="353">
        <v>325</v>
      </c>
      <c r="B572" s="352">
        <v>200</v>
      </c>
      <c r="C572" s="352">
        <v>200</v>
      </c>
      <c r="D572" s="357">
        <v>100</v>
      </c>
      <c r="E572" s="357"/>
      <c r="F572" s="357"/>
      <c r="G572" s="409" t="s">
        <v>1112</v>
      </c>
      <c r="H572" s="329"/>
      <c r="I572" s="326"/>
      <c r="J572" s="358"/>
      <c r="K572" s="358"/>
      <c r="L572" s="358"/>
      <c r="M572" s="358"/>
      <c r="N572" s="327"/>
      <c r="O572" s="328"/>
      <c r="P572" s="326">
        <v>0</v>
      </c>
      <c r="Q572" s="327"/>
      <c r="R572" s="538"/>
      <c r="S572" s="414"/>
      <c r="T572" s="414"/>
      <c r="U572" s="414">
        <v>0</v>
      </c>
      <c r="V572" s="414"/>
      <c r="W572" s="414"/>
      <c r="X572" s="414">
        <v>0</v>
      </c>
      <c r="Y572" s="1350">
        <f t="shared" si="56"/>
        <v>0</v>
      </c>
      <c r="Z572" s="1373">
        <f t="shared" si="57"/>
        <v>0</v>
      </c>
      <c r="AA572" s="414">
        <f t="shared" si="58"/>
        <v>0</v>
      </c>
      <c r="AB572" s="414">
        <f t="shared" si="59"/>
        <v>0</v>
      </c>
      <c r="AC572" s="414">
        <f t="shared" si="60"/>
        <v>0</v>
      </c>
      <c r="AD572" s="414">
        <f t="shared" si="61"/>
        <v>0</v>
      </c>
      <c r="AE572" s="414">
        <f t="shared" si="62"/>
        <v>0</v>
      </c>
      <c r="AF572" s="355"/>
      <c r="AG572" s="838"/>
      <c r="AH572" s="744"/>
      <c r="AI572" s="292"/>
      <c r="AK572" s="300"/>
      <c r="AS572" s="452"/>
    </row>
    <row r="573" spans="1:45" s="299" customFormat="1">
      <c r="A573" s="353">
        <v>325</v>
      </c>
      <c r="B573" s="352">
        <v>200</v>
      </c>
      <c r="C573" s="352">
        <v>200</v>
      </c>
      <c r="D573" s="357">
        <v>200</v>
      </c>
      <c r="E573" s="357"/>
      <c r="F573" s="357"/>
      <c r="G573" s="409" t="s">
        <v>1148</v>
      </c>
      <c r="H573" s="329"/>
      <c r="I573" s="326"/>
      <c r="J573" s="358"/>
      <c r="K573" s="358"/>
      <c r="L573" s="358"/>
      <c r="M573" s="358"/>
      <c r="N573" s="327"/>
      <c r="O573" s="328"/>
      <c r="P573" s="326">
        <v>0</v>
      </c>
      <c r="Q573" s="327"/>
      <c r="R573" s="538"/>
      <c r="S573" s="414"/>
      <c r="T573" s="414"/>
      <c r="U573" s="414">
        <v>0</v>
      </c>
      <c r="V573" s="414"/>
      <c r="W573" s="414"/>
      <c r="X573" s="414">
        <v>0</v>
      </c>
      <c r="Y573" s="1350">
        <f t="shared" si="56"/>
        <v>0</v>
      </c>
      <c r="Z573" s="1373">
        <f t="shared" si="57"/>
        <v>0</v>
      </c>
      <c r="AA573" s="414">
        <f t="shared" si="58"/>
        <v>0</v>
      </c>
      <c r="AB573" s="414">
        <f t="shared" si="59"/>
        <v>0</v>
      </c>
      <c r="AC573" s="414">
        <f t="shared" si="60"/>
        <v>0</v>
      </c>
      <c r="AD573" s="414">
        <f t="shared" si="61"/>
        <v>0</v>
      </c>
      <c r="AE573" s="414">
        <f t="shared" si="62"/>
        <v>0</v>
      </c>
      <c r="AF573" s="355"/>
      <c r="AG573" s="838"/>
      <c r="AH573" s="744"/>
      <c r="AI573" s="292"/>
      <c r="AK573" s="300"/>
      <c r="AS573" s="452"/>
    </row>
    <row r="574" spans="1:45" s="299" customFormat="1">
      <c r="A574" s="353">
        <v>325</v>
      </c>
      <c r="B574" s="352">
        <v>200</v>
      </c>
      <c r="C574" s="352">
        <v>200</v>
      </c>
      <c r="D574" s="357">
        <v>300</v>
      </c>
      <c r="E574" s="357"/>
      <c r="F574" s="357"/>
      <c r="G574" s="409" t="s">
        <v>1149</v>
      </c>
      <c r="H574" s="329"/>
      <c r="I574" s="326"/>
      <c r="J574" s="358"/>
      <c r="K574" s="358"/>
      <c r="L574" s="358"/>
      <c r="M574" s="358"/>
      <c r="N574" s="327"/>
      <c r="O574" s="328"/>
      <c r="P574" s="326">
        <v>0</v>
      </c>
      <c r="Q574" s="327"/>
      <c r="R574" s="538"/>
      <c r="S574" s="414"/>
      <c r="T574" s="414"/>
      <c r="U574" s="414">
        <v>0</v>
      </c>
      <c r="V574" s="414"/>
      <c r="W574" s="414"/>
      <c r="X574" s="414">
        <v>0</v>
      </c>
      <c r="Y574" s="1350">
        <f t="shared" si="56"/>
        <v>0</v>
      </c>
      <c r="Z574" s="1373">
        <f t="shared" si="57"/>
        <v>0</v>
      </c>
      <c r="AA574" s="414">
        <f t="shared" si="58"/>
        <v>0</v>
      </c>
      <c r="AB574" s="414">
        <f t="shared" si="59"/>
        <v>0</v>
      </c>
      <c r="AC574" s="414">
        <f t="shared" si="60"/>
        <v>0</v>
      </c>
      <c r="AD574" s="414">
        <f t="shared" si="61"/>
        <v>0</v>
      </c>
      <c r="AE574" s="414">
        <f t="shared" si="62"/>
        <v>0</v>
      </c>
      <c r="AF574" s="355"/>
      <c r="AG574" s="838"/>
      <c r="AH574" s="744"/>
      <c r="AI574" s="292"/>
      <c r="AK574" s="300"/>
      <c r="AS574" s="452"/>
    </row>
    <row r="575" spans="1:45" s="299" customFormat="1">
      <c r="A575" s="353">
        <v>325</v>
      </c>
      <c r="B575" s="352">
        <v>200</v>
      </c>
      <c r="C575" s="352">
        <v>200</v>
      </c>
      <c r="D575" s="357">
        <v>400</v>
      </c>
      <c r="E575" s="357"/>
      <c r="F575" s="357"/>
      <c r="G575" s="409" t="s">
        <v>1150</v>
      </c>
      <c r="H575" s="329"/>
      <c r="I575" s="326"/>
      <c r="J575" s="358"/>
      <c r="K575" s="358"/>
      <c r="L575" s="358"/>
      <c r="M575" s="358"/>
      <c r="N575" s="327"/>
      <c r="O575" s="328"/>
      <c r="P575" s="326">
        <v>0</v>
      </c>
      <c r="Q575" s="327"/>
      <c r="R575" s="538"/>
      <c r="S575" s="414"/>
      <c r="T575" s="414"/>
      <c r="U575" s="414">
        <v>0</v>
      </c>
      <c r="V575" s="414"/>
      <c r="W575" s="414"/>
      <c r="X575" s="414">
        <v>0</v>
      </c>
      <c r="Y575" s="1350">
        <f t="shared" si="56"/>
        <v>0</v>
      </c>
      <c r="Z575" s="1373">
        <f t="shared" si="57"/>
        <v>0</v>
      </c>
      <c r="AA575" s="414">
        <f t="shared" si="58"/>
        <v>0</v>
      </c>
      <c r="AB575" s="414">
        <f t="shared" si="59"/>
        <v>0</v>
      </c>
      <c r="AC575" s="414">
        <f t="shared" si="60"/>
        <v>0</v>
      </c>
      <c r="AD575" s="414">
        <f t="shared" si="61"/>
        <v>0</v>
      </c>
      <c r="AE575" s="414">
        <f t="shared" si="62"/>
        <v>0</v>
      </c>
      <c r="AF575" s="355"/>
      <c r="AG575" s="838"/>
      <c r="AH575" s="744"/>
      <c r="AI575" s="292"/>
      <c r="AK575" s="300"/>
      <c r="AS575" s="452"/>
    </row>
    <row r="576" spans="1:45" s="299" customFormat="1">
      <c r="A576" s="353">
        <v>325</v>
      </c>
      <c r="B576" s="352">
        <v>200</v>
      </c>
      <c r="C576" s="352">
        <v>200</v>
      </c>
      <c r="D576" s="357">
        <v>500</v>
      </c>
      <c r="E576" s="357"/>
      <c r="F576" s="357"/>
      <c r="G576" s="409" t="s">
        <v>1137</v>
      </c>
      <c r="H576" s="329"/>
      <c r="I576" s="326"/>
      <c r="J576" s="358"/>
      <c r="K576" s="358"/>
      <c r="L576" s="358"/>
      <c r="M576" s="358"/>
      <c r="N576" s="327"/>
      <c r="O576" s="328"/>
      <c r="P576" s="326">
        <v>0</v>
      </c>
      <c r="Q576" s="327"/>
      <c r="R576" s="538"/>
      <c r="S576" s="414"/>
      <c r="T576" s="414"/>
      <c r="U576" s="414">
        <v>0</v>
      </c>
      <c r="V576" s="414"/>
      <c r="W576" s="414"/>
      <c r="X576" s="414">
        <v>0</v>
      </c>
      <c r="Y576" s="1350">
        <f t="shared" si="56"/>
        <v>0</v>
      </c>
      <c r="Z576" s="1373">
        <f t="shared" si="57"/>
        <v>0</v>
      </c>
      <c r="AA576" s="414">
        <f t="shared" si="58"/>
        <v>0</v>
      </c>
      <c r="AB576" s="414">
        <f t="shared" si="59"/>
        <v>0</v>
      </c>
      <c r="AC576" s="414">
        <f t="shared" si="60"/>
        <v>0</v>
      </c>
      <c r="AD576" s="414">
        <f t="shared" si="61"/>
        <v>0</v>
      </c>
      <c r="AE576" s="414">
        <f t="shared" si="62"/>
        <v>0</v>
      </c>
      <c r="AF576" s="355"/>
      <c r="AG576" s="838"/>
      <c r="AH576" s="744"/>
      <c r="AI576" s="292"/>
      <c r="AK576" s="300"/>
      <c r="AS576" s="452"/>
    </row>
    <row r="577" spans="1:45" s="299" customFormat="1">
      <c r="A577" s="353">
        <v>325</v>
      </c>
      <c r="B577" s="352">
        <v>200</v>
      </c>
      <c r="C577" s="352">
        <v>200</v>
      </c>
      <c r="D577" s="352">
        <v>600</v>
      </c>
      <c r="E577" s="352"/>
      <c r="F577" s="352"/>
      <c r="G577" s="411" t="s">
        <v>1120</v>
      </c>
      <c r="H577" s="334"/>
      <c r="I577" s="331"/>
      <c r="J577" s="359"/>
      <c r="K577" s="359"/>
      <c r="L577" s="359"/>
      <c r="M577" s="359"/>
      <c r="N577" s="332"/>
      <c r="O577" s="333"/>
      <c r="P577" s="331">
        <v>0</v>
      </c>
      <c r="Q577" s="332"/>
      <c r="R577" s="531"/>
      <c r="S577" s="415"/>
      <c r="T577" s="415"/>
      <c r="U577" s="415">
        <v>0</v>
      </c>
      <c r="V577" s="415"/>
      <c r="W577" s="415"/>
      <c r="X577" s="415">
        <v>0</v>
      </c>
      <c r="Y577" s="1352">
        <f t="shared" si="56"/>
        <v>0</v>
      </c>
      <c r="Z577" s="1366">
        <f t="shared" si="57"/>
        <v>0</v>
      </c>
      <c r="AA577" s="415">
        <f t="shared" si="58"/>
        <v>0</v>
      </c>
      <c r="AB577" s="415">
        <f t="shared" si="59"/>
        <v>0</v>
      </c>
      <c r="AC577" s="415">
        <f t="shared" si="60"/>
        <v>0</v>
      </c>
      <c r="AD577" s="415">
        <f t="shared" si="61"/>
        <v>0</v>
      </c>
      <c r="AE577" s="415">
        <f t="shared" si="62"/>
        <v>0</v>
      </c>
      <c r="AF577" s="355"/>
      <c r="AG577" s="838"/>
      <c r="AH577" s="744"/>
      <c r="AI577" s="292"/>
      <c r="AK577" s="300"/>
      <c r="AS577" s="452"/>
    </row>
    <row r="578" spans="1:45" s="299" customFormat="1">
      <c r="A578" s="353">
        <v>325</v>
      </c>
      <c r="B578" s="352">
        <v>200</v>
      </c>
      <c r="C578" s="352">
        <v>200</v>
      </c>
      <c r="D578" s="352">
        <v>600</v>
      </c>
      <c r="E578" s="357">
        <v>5</v>
      </c>
      <c r="F578" s="357"/>
      <c r="G578" s="409" t="s">
        <v>1121</v>
      </c>
      <c r="H578" s="329"/>
      <c r="I578" s="326"/>
      <c r="J578" s="358"/>
      <c r="K578" s="358"/>
      <c r="L578" s="358"/>
      <c r="M578" s="358"/>
      <c r="N578" s="327"/>
      <c r="O578" s="328"/>
      <c r="P578" s="326">
        <v>0</v>
      </c>
      <c r="Q578" s="327"/>
      <c r="R578" s="538"/>
      <c r="S578" s="414"/>
      <c r="T578" s="414"/>
      <c r="U578" s="414">
        <v>0</v>
      </c>
      <c r="V578" s="414"/>
      <c r="W578" s="414"/>
      <c r="X578" s="414">
        <v>0</v>
      </c>
      <c r="Y578" s="1350">
        <f t="shared" si="56"/>
        <v>0</v>
      </c>
      <c r="Z578" s="1373">
        <f t="shared" si="57"/>
        <v>0</v>
      </c>
      <c r="AA578" s="414">
        <f t="shared" si="58"/>
        <v>0</v>
      </c>
      <c r="AB578" s="414">
        <f t="shared" si="59"/>
        <v>0</v>
      </c>
      <c r="AC578" s="414">
        <f t="shared" si="60"/>
        <v>0</v>
      </c>
      <c r="AD578" s="414">
        <f t="shared" si="61"/>
        <v>0</v>
      </c>
      <c r="AE578" s="414">
        <f t="shared" si="62"/>
        <v>0</v>
      </c>
      <c r="AF578" s="355"/>
      <c r="AG578" s="838"/>
      <c r="AH578" s="744"/>
      <c r="AI578" s="292"/>
      <c r="AK578" s="300"/>
      <c r="AS578" s="452"/>
    </row>
    <row r="579" spans="1:45" s="299" customFormat="1">
      <c r="A579" s="353">
        <v>325</v>
      </c>
      <c r="B579" s="352">
        <v>200</v>
      </c>
      <c r="C579" s="352">
        <v>200</v>
      </c>
      <c r="D579" s="352">
        <v>600</v>
      </c>
      <c r="E579" s="357">
        <v>10</v>
      </c>
      <c r="F579" s="357"/>
      <c r="G579" s="409" t="s">
        <v>1122</v>
      </c>
      <c r="H579" s="329"/>
      <c r="I579" s="326"/>
      <c r="J579" s="358"/>
      <c r="K579" s="358"/>
      <c r="L579" s="358"/>
      <c r="M579" s="358"/>
      <c r="N579" s="327"/>
      <c r="O579" s="328"/>
      <c r="P579" s="326">
        <v>0</v>
      </c>
      <c r="Q579" s="327"/>
      <c r="R579" s="538"/>
      <c r="S579" s="414"/>
      <c r="T579" s="414"/>
      <c r="U579" s="414">
        <v>0</v>
      </c>
      <c r="V579" s="414"/>
      <c r="W579" s="414"/>
      <c r="X579" s="414">
        <v>0</v>
      </c>
      <c r="Y579" s="1350">
        <f t="shared" si="56"/>
        <v>0</v>
      </c>
      <c r="Z579" s="1373">
        <f t="shared" si="57"/>
        <v>0</v>
      </c>
      <c r="AA579" s="414">
        <f t="shared" si="58"/>
        <v>0</v>
      </c>
      <c r="AB579" s="414">
        <f t="shared" si="59"/>
        <v>0</v>
      </c>
      <c r="AC579" s="414">
        <f t="shared" si="60"/>
        <v>0</v>
      </c>
      <c r="AD579" s="414">
        <f t="shared" si="61"/>
        <v>0</v>
      </c>
      <c r="AE579" s="414">
        <f t="shared" si="62"/>
        <v>0</v>
      </c>
      <c r="AF579" s="355"/>
      <c r="AG579" s="838"/>
      <c r="AH579" s="744"/>
      <c r="AI579" s="292"/>
      <c r="AK579" s="300"/>
      <c r="AS579" s="452"/>
    </row>
    <row r="580" spans="1:45" s="299" customFormat="1">
      <c r="A580" s="353">
        <v>325</v>
      </c>
      <c r="B580" s="352">
        <v>200</v>
      </c>
      <c r="C580" s="352">
        <v>200</v>
      </c>
      <c r="D580" s="352">
        <v>600</v>
      </c>
      <c r="E580" s="357">
        <v>15</v>
      </c>
      <c r="F580" s="357"/>
      <c r="G580" s="409" t="s">
        <v>1151</v>
      </c>
      <c r="H580" s="329"/>
      <c r="I580" s="326"/>
      <c r="J580" s="358"/>
      <c r="K580" s="358"/>
      <c r="L580" s="358"/>
      <c r="M580" s="358"/>
      <c r="N580" s="327"/>
      <c r="O580" s="328"/>
      <c r="P580" s="326">
        <v>0</v>
      </c>
      <c r="Q580" s="327"/>
      <c r="R580" s="538"/>
      <c r="S580" s="414"/>
      <c r="T580" s="414"/>
      <c r="U580" s="414">
        <v>0</v>
      </c>
      <c r="V580" s="414"/>
      <c r="W580" s="414"/>
      <c r="X580" s="414">
        <v>0</v>
      </c>
      <c r="Y580" s="1350">
        <f t="shared" si="56"/>
        <v>0</v>
      </c>
      <c r="Z580" s="1373">
        <f t="shared" si="57"/>
        <v>0</v>
      </c>
      <c r="AA580" s="414">
        <f t="shared" si="58"/>
        <v>0</v>
      </c>
      <c r="AB580" s="414">
        <f t="shared" si="59"/>
        <v>0</v>
      </c>
      <c r="AC580" s="414">
        <f t="shared" si="60"/>
        <v>0</v>
      </c>
      <c r="AD580" s="414">
        <f t="shared" si="61"/>
        <v>0</v>
      </c>
      <c r="AE580" s="414">
        <f t="shared" si="62"/>
        <v>0</v>
      </c>
      <c r="AF580" s="355"/>
      <c r="AG580" s="838"/>
      <c r="AH580" s="744"/>
      <c r="AI580" s="292"/>
      <c r="AK580" s="300"/>
      <c r="AS580" s="452"/>
    </row>
    <row r="581" spans="1:45" s="299" customFormat="1">
      <c r="A581" s="353">
        <v>325</v>
      </c>
      <c r="B581" s="352">
        <v>200</v>
      </c>
      <c r="C581" s="352">
        <v>200</v>
      </c>
      <c r="D581" s="357">
        <v>900</v>
      </c>
      <c r="E581" s="357"/>
      <c r="F581" s="357"/>
      <c r="G581" s="409" t="s">
        <v>1140</v>
      </c>
      <c r="H581" s="329"/>
      <c r="I581" s="326"/>
      <c r="J581" s="358"/>
      <c r="K581" s="358"/>
      <c r="L581" s="358"/>
      <c r="M581" s="358"/>
      <c r="N581" s="327"/>
      <c r="O581" s="328"/>
      <c r="P581" s="326">
        <v>0</v>
      </c>
      <c r="Q581" s="327"/>
      <c r="R581" s="538"/>
      <c r="S581" s="414"/>
      <c r="T581" s="414"/>
      <c r="U581" s="414">
        <v>0</v>
      </c>
      <c r="V581" s="414"/>
      <c r="W581" s="414"/>
      <c r="X581" s="414">
        <v>0</v>
      </c>
      <c r="Y581" s="1350">
        <f t="shared" si="56"/>
        <v>0</v>
      </c>
      <c r="Z581" s="1373">
        <f t="shared" si="57"/>
        <v>0</v>
      </c>
      <c r="AA581" s="414">
        <f t="shared" si="58"/>
        <v>0</v>
      </c>
      <c r="AB581" s="414">
        <f t="shared" si="59"/>
        <v>0</v>
      </c>
      <c r="AC581" s="414">
        <f t="shared" si="60"/>
        <v>0</v>
      </c>
      <c r="AD581" s="414">
        <f t="shared" si="61"/>
        <v>0</v>
      </c>
      <c r="AE581" s="414">
        <f t="shared" si="62"/>
        <v>0</v>
      </c>
      <c r="AF581" s="355"/>
      <c r="AG581" s="838"/>
      <c r="AH581" s="744"/>
      <c r="AI581" s="292"/>
      <c r="AK581" s="300"/>
      <c r="AS581" s="452"/>
    </row>
    <row r="582" spans="1:45" s="292" customFormat="1" ht="27.6">
      <c r="A582" s="353">
        <v>325</v>
      </c>
      <c r="B582" s="352">
        <v>200</v>
      </c>
      <c r="C582" s="357">
        <v>300</v>
      </c>
      <c r="D582" s="357"/>
      <c r="E582" s="357"/>
      <c r="F582" s="357"/>
      <c r="G582" s="323" t="s">
        <v>1173</v>
      </c>
      <c r="H582" s="329"/>
      <c r="I582" s="326"/>
      <c r="J582" s="358"/>
      <c r="K582" s="358"/>
      <c r="L582" s="358"/>
      <c r="M582" s="358"/>
      <c r="N582" s="327"/>
      <c r="O582" s="328"/>
      <c r="P582" s="326">
        <v>0</v>
      </c>
      <c r="Q582" s="327"/>
      <c r="R582" s="536"/>
      <c r="S582" s="412"/>
      <c r="T582" s="412"/>
      <c r="U582" s="412">
        <v>0</v>
      </c>
      <c r="V582" s="412"/>
      <c r="W582" s="412"/>
      <c r="X582" s="412">
        <v>0</v>
      </c>
      <c r="Y582" s="1350">
        <f t="shared" si="56"/>
        <v>0</v>
      </c>
      <c r="Z582" s="1371">
        <f t="shared" si="57"/>
        <v>0</v>
      </c>
      <c r="AA582" s="412">
        <f t="shared" si="58"/>
        <v>0</v>
      </c>
      <c r="AB582" s="412">
        <f t="shared" si="59"/>
        <v>0</v>
      </c>
      <c r="AC582" s="412">
        <f t="shared" si="60"/>
        <v>0</v>
      </c>
      <c r="AD582" s="412">
        <f t="shared" si="61"/>
        <v>0</v>
      </c>
      <c r="AE582" s="412">
        <f t="shared" si="62"/>
        <v>0</v>
      </c>
      <c r="AF582" s="355" t="s">
        <v>1174</v>
      </c>
      <c r="AG582" s="838"/>
      <c r="AH582" s="744"/>
      <c r="AK582" s="293"/>
      <c r="AS582" s="744"/>
    </row>
    <row r="583" spans="1:45" s="299" customFormat="1">
      <c r="A583" s="338">
        <v>330</v>
      </c>
      <c r="B583" s="337">
        <v>0</v>
      </c>
      <c r="C583" s="337">
        <v>0</v>
      </c>
      <c r="D583" s="337">
        <v>0</v>
      </c>
      <c r="E583" s="337">
        <v>0</v>
      </c>
      <c r="F583" s="337">
        <v>0</v>
      </c>
      <c r="G583" s="391" t="s">
        <v>1175</v>
      </c>
      <c r="H583" s="334"/>
      <c r="I583" s="331"/>
      <c r="J583" s="359"/>
      <c r="K583" s="359"/>
      <c r="L583" s="359"/>
      <c r="M583" s="359"/>
      <c r="N583" s="332"/>
      <c r="O583" s="333"/>
      <c r="P583" s="331">
        <v>0</v>
      </c>
      <c r="Q583" s="332"/>
      <c r="R583" s="539"/>
      <c r="S583" s="417"/>
      <c r="T583" s="417"/>
      <c r="U583" s="417">
        <v>0</v>
      </c>
      <c r="V583" s="417"/>
      <c r="W583" s="417"/>
      <c r="X583" s="417"/>
      <c r="Y583" s="1352">
        <f t="shared" ref="Y583:Y646" si="63">+H583+O583+R583</f>
        <v>0</v>
      </c>
      <c r="Z583" s="1376">
        <f t="shared" ref="Z583:Z646" si="64">+I583+S583</f>
        <v>0</v>
      </c>
      <c r="AA583" s="417">
        <f t="shared" ref="AA583:AA646" si="65">+J583+T583</f>
        <v>0</v>
      </c>
      <c r="AB583" s="417">
        <f t="shared" ref="AB583:AB646" si="66">+K583+P583+U583</f>
        <v>0</v>
      </c>
      <c r="AC583" s="417">
        <f t="shared" ref="AC583:AC646" si="67">+L583+V583</f>
        <v>0</v>
      </c>
      <c r="AD583" s="417">
        <f t="shared" ref="AD583:AD646" si="68">+M583+W583</f>
        <v>0</v>
      </c>
      <c r="AE583" s="417">
        <f t="shared" ref="AE583:AE646" si="69">+N583+X583+Q583</f>
        <v>0</v>
      </c>
      <c r="AF583" s="330" t="s">
        <v>1176</v>
      </c>
      <c r="AG583" s="837"/>
      <c r="AH583" s="744">
        <f>SUM(Y583:Y629)</f>
        <v>4217757.18</v>
      </c>
      <c r="AI583" s="292" t="s">
        <v>2269</v>
      </c>
      <c r="AK583" s="300"/>
      <c r="AS583" s="452"/>
    </row>
    <row r="584" spans="1:45" s="299" customFormat="1" ht="27.6">
      <c r="A584" s="353">
        <v>330</v>
      </c>
      <c r="B584" s="352">
        <v>100</v>
      </c>
      <c r="C584" s="352"/>
      <c r="D584" s="352"/>
      <c r="E584" s="352"/>
      <c r="F584" s="352"/>
      <c r="G584" s="323" t="s">
        <v>1177</v>
      </c>
      <c r="H584" s="334"/>
      <c r="I584" s="331"/>
      <c r="J584" s="359"/>
      <c r="K584" s="359"/>
      <c r="L584" s="359"/>
      <c r="M584" s="359"/>
      <c r="N584" s="332"/>
      <c r="O584" s="333"/>
      <c r="P584" s="331">
        <v>0</v>
      </c>
      <c r="Q584" s="332"/>
      <c r="R584" s="537"/>
      <c r="S584" s="416"/>
      <c r="T584" s="416"/>
      <c r="U584" s="416">
        <v>0</v>
      </c>
      <c r="V584" s="416"/>
      <c r="W584" s="416"/>
      <c r="X584" s="416"/>
      <c r="Y584" s="1352">
        <f t="shared" si="63"/>
        <v>0</v>
      </c>
      <c r="Z584" s="1372">
        <f t="shared" si="64"/>
        <v>0</v>
      </c>
      <c r="AA584" s="416">
        <f t="shared" si="65"/>
        <v>0</v>
      </c>
      <c r="AB584" s="416">
        <f t="shared" si="66"/>
        <v>0</v>
      </c>
      <c r="AC584" s="416">
        <f t="shared" si="67"/>
        <v>0</v>
      </c>
      <c r="AD584" s="416">
        <f t="shared" si="68"/>
        <v>0</v>
      </c>
      <c r="AE584" s="416">
        <f t="shared" si="69"/>
        <v>0</v>
      </c>
      <c r="AF584" s="355" t="s">
        <v>1178</v>
      </c>
      <c r="AG584" s="838"/>
      <c r="AH584" s="744"/>
      <c r="AI584" s="292"/>
      <c r="AK584" s="300"/>
      <c r="AS584" s="452"/>
    </row>
    <row r="585" spans="1:45" s="299" customFormat="1" ht="27.6">
      <c r="A585" s="353">
        <v>330</v>
      </c>
      <c r="B585" s="352">
        <v>100</v>
      </c>
      <c r="C585" s="352">
        <v>100</v>
      </c>
      <c r="D585" s="352"/>
      <c r="E585" s="352"/>
      <c r="F585" s="352"/>
      <c r="G585" s="323" t="s">
        <v>1179</v>
      </c>
      <c r="H585" s="334"/>
      <c r="I585" s="331"/>
      <c r="J585" s="359"/>
      <c r="K585" s="359"/>
      <c r="L585" s="359"/>
      <c r="M585" s="359"/>
      <c r="N585" s="332"/>
      <c r="O585" s="333"/>
      <c r="P585" s="331">
        <v>0</v>
      </c>
      <c r="Q585" s="332"/>
      <c r="R585" s="537"/>
      <c r="S585" s="416"/>
      <c r="T585" s="416"/>
      <c r="U585" s="416">
        <v>0</v>
      </c>
      <c r="V585" s="416"/>
      <c r="W585" s="416"/>
      <c r="X585" s="416"/>
      <c r="Y585" s="1352">
        <f t="shared" si="63"/>
        <v>0</v>
      </c>
      <c r="Z585" s="1372">
        <f t="shared" si="64"/>
        <v>0</v>
      </c>
      <c r="AA585" s="416">
        <f t="shared" si="65"/>
        <v>0</v>
      </c>
      <c r="AB585" s="416">
        <f t="shared" si="66"/>
        <v>0</v>
      </c>
      <c r="AC585" s="416">
        <f t="shared" si="67"/>
        <v>0</v>
      </c>
      <c r="AD585" s="416">
        <f t="shared" si="68"/>
        <v>0</v>
      </c>
      <c r="AE585" s="416">
        <f t="shared" si="69"/>
        <v>0</v>
      </c>
      <c r="AF585" s="355" t="s">
        <v>1180</v>
      </c>
      <c r="AG585" s="838"/>
      <c r="AH585" s="744"/>
      <c r="AI585" s="292"/>
      <c r="AK585" s="300"/>
      <c r="AS585" s="452"/>
    </row>
    <row r="586" spans="1:45" s="299" customFormat="1">
      <c r="A586" s="353">
        <v>330</v>
      </c>
      <c r="B586" s="352">
        <v>100</v>
      </c>
      <c r="C586" s="352">
        <v>100</v>
      </c>
      <c r="D586" s="357">
        <v>100</v>
      </c>
      <c r="E586" s="357"/>
      <c r="F586" s="357"/>
      <c r="G586" s="409" t="s">
        <v>1112</v>
      </c>
      <c r="H586" s="329"/>
      <c r="I586" s="326"/>
      <c r="J586" s="358"/>
      <c r="K586" s="358"/>
      <c r="L586" s="358"/>
      <c r="M586" s="358"/>
      <c r="N586" s="327"/>
      <c r="O586" s="802"/>
      <c r="P586" s="418">
        <v>38626</v>
      </c>
      <c r="Q586" s="327"/>
      <c r="R586" s="313">
        <v>44833.67</v>
      </c>
      <c r="S586" s="311"/>
      <c r="T586" s="311"/>
      <c r="U586" s="311">
        <f>44833.67-P586</f>
        <v>6207.6699999999983</v>
      </c>
      <c r="V586" s="311"/>
      <c r="W586" s="311"/>
      <c r="X586" s="311">
        <v>43179</v>
      </c>
      <c r="Y586" s="1350">
        <f t="shared" si="63"/>
        <v>44833.67</v>
      </c>
      <c r="Z586" s="1357">
        <f t="shared" si="64"/>
        <v>0</v>
      </c>
      <c r="AA586" s="311">
        <f t="shared" si="65"/>
        <v>0</v>
      </c>
      <c r="AB586" s="311">
        <f t="shared" si="66"/>
        <v>44833.67</v>
      </c>
      <c r="AC586" s="311">
        <f t="shared" si="67"/>
        <v>0</v>
      </c>
      <c r="AD586" s="311">
        <f t="shared" si="68"/>
        <v>0</v>
      </c>
      <c r="AE586" s="311">
        <f t="shared" si="69"/>
        <v>43179</v>
      </c>
      <c r="AF586" s="355"/>
      <c r="AG586" s="838"/>
      <c r="AH586" s="744"/>
      <c r="AI586" s="292"/>
      <c r="AK586" s="300"/>
      <c r="AS586" s="452"/>
    </row>
    <row r="587" spans="1:45" s="299" customFormat="1">
      <c r="A587" s="353">
        <v>330</v>
      </c>
      <c r="B587" s="352">
        <v>100</v>
      </c>
      <c r="C587" s="352">
        <v>100</v>
      </c>
      <c r="D587" s="357">
        <v>200</v>
      </c>
      <c r="E587" s="357"/>
      <c r="F587" s="357"/>
      <c r="G587" s="409" t="s">
        <v>1113</v>
      </c>
      <c r="H587" s="329"/>
      <c r="I587" s="326"/>
      <c r="J587" s="358"/>
      <c r="K587" s="358"/>
      <c r="L587" s="358"/>
      <c r="M587" s="358"/>
      <c r="N587" s="327"/>
      <c r="O587" s="802"/>
      <c r="P587" s="418">
        <v>5654</v>
      </c>
      <c r="Q587" s="327"/>
      <c r="R587" s="313">
        <v>13423.25</v>
      </c>
      <c r="S587" s="311"/>
      <c r="T587" s="311"/>
      <c r="U587" s="311">
        <f>8028.54-P587</f>
        <v>2374.54</v>
      </c>
      <c r="V587" s="311"/>
      <c r="W587" s="311"/>
      <c r="X587" s="311">
        <v>8619</v>
      </c>
      <c r="Y587" s="1350">
        <f t="shared" si="63"/>
        <v>13423.25</v>
      </c>
      <c r="Z587" s="1357">
        <f t="shared" si="64"/>
        <v>0</v>
      </c>
      <c r="AA587" s="311">
        <f t="shared" si="65"/>
        <v>0</v>
      </c>
      <c r="AB587" s="311">
        <f t="shared" si="66"/>
        <v>8028.54</v>
      </c>
      <c r="AC587" s="311">
        <f t="shared" si="67"/>
        <v>0</v>
      </c>
      <c r="AD587" s="311">
        <f t="shared" si="68"/>
        <v>0</v>
      </c>
      <c r="AE587" s="311">
        <f t="shared" si="69"/>
        <v>8619</v>
      </c>
      <c r="AF587" s="355"/>
      <c r="AG587" s="838"/>
      <c r="AH587" s="744"/>
      <c r="AI587" s="292"/>
      <c r="AK587" s="300"/>
      <c r="AS587" s="452"/>
    </row>
    <row r="588" spans="1:45" s="299" customFormat="1">
      <c r="A588" s="353">
        <v>330</v>
      </c>
      <c r="B588" s="352">
        <v>100</v>
      </c>
      <c r="C588" s="352">
        <v>100</v>
      </c>
      <c r="D588" s="357">
        <v>300</v>
      </c>
      <c r="E588" s="357"/>
      <c r="F588" s="357"/>
      <c r="G588" s="409" t="s">
        <v>1136</v>
      </c>
      <c r="H588" s="329"/>
      <c r="I588" s="326"/>
      <c r="J588" s="358"/>
      <c r="K588" s="358"/>
      <c r="L588" s="358"/>
      <c r="M588" s="358"/>
      <c r="N588" s="327"/>
      <c r="O588" s="328"/>
      <c r="P588" s="326"/>
      <c r="Q588" s="327"/>
      <c r="R588" s="313">
        <v>4611.6000000000004</v>
      </c>
      <c r="S588" s="311"/>
      <c r="T588" s="311"/>
      <c r="U588" s="311">
        <v>1125.77</v>
      </c>
      <c r="V588" s="311"/>
      <c r="W588" s="311"/>
      <c r="X588" s="311">
        <v>420</v>
      </c>
      <c r="Y588" s="1350">
        <f t="shared" si="63"/>
        <v>4611.6000000000004</v>
      </c>
      <c r="Z588" s="1357">
        <f t="shared" si="64"/>
        <v>0</v>
      </c>
      <c r="AA588" s="311">
        <f t="shared" si="65"/>
        <v>0</v>
      </c>
      <c r="AB588" s="311">
        <f t="shared" si="66"/>
        <v>1125.77</v>
      </c>
      <c r="AC588" s="311">
        <f t="shared" si="67"/>
        <v>0</v>
      </c>
      <c r="AD588" s="311">
        <f t="shared" si="68"/>
        <v>0</v>
      </c>
      <c r="AE588" s="311">
        <f t="shared" si="69"/>
        <v>420</v>
      </c>
      <c r="AF588" s="355"/>
      <c r="AG588" s="838"/>
      <c r="AH588" s="744"/>
      <c r="AI588" s="292"/>
      <c r="AK588" s="300"/>
      <c r="AS588" s="452"/>
    </row>
    <row r="589" spans="1:45" s="299" customFormat="1">
      <c r="A589" s="353">
        <v>330</v>
      </c>
      <c r="B589" s="352">
        <v>100</v>
      </c>
      <c r="C589" s="352">
        <v>100</v>
      </c>
      <c r="D589" s="357">
        <v>400</v>
      </c>
      <c r="E589" s="357"/>
      <c r="F589" s="357"/>
      <c r="G589" s="409" t="s">
        <v>1137</v>
      </c>
      <c r="H589" s="329"/>
      <c r="I589" s="326"/>
      <c r="J589" s="358"/>
      <c r="K589" s="358"/>
      <c r="L589" s="358"/>
      <c r="M589" s="358"/>
      <c r="N589" s="327"/>
      <c r="O589" s="328"/>
      <c r="P589" s="326"/>
      <c r="Q589" s="327"/>
      <c r="R589" s="313">
        <v>430.35</v>
      </c>
      <c r="S589" s="311"/>
      <c r="T589" s="311"/>
      <c r="U589" s="311"/>
      <c r="V589" s="311"/>
      <c r="W589" s="311"/>
      <c r="X589" s="311">
        <v>0</v>
      </c>
      <c r="Y589" s="1350">
        <f t="shared" si="63"/>
        <v>430.35</v>
      </c>
      <c r="Z589" s="1357">
        <f t="shared" si="64"/>
        <v>0</v>
      </c>
      <c r="AA589" s="311">
        <f t="shared" si="65"/>
        <v>0</v>
      </c>
      <c r="AB589" s="311">
        <f t="shared" si="66"/>
        <v>0</v>
      </c>
      <c r="AC589" s="311">
        <f t="shared" si="67"/>
        <v>0</v>
      </c>
      <c r="AD589" s="311">
        <f t="shared" si="68"/>
        <v>0</v>
      </c>
      <c r="AE589" s="311">
        <f t="shared" si="69"/>
        <v>0</v>
      </c>
      <c r="AF589" s="355"/>
      <c r="AG589" s="838"/>
      <c r="AH589" s="744"/>
      <c r="AI589" s="292"/>
      <c r="AK589" s="300"/>
      <c r="AS589" s="452"/>
    </row>
    <row r="590" spans="1:45" s="299" customFormat="1">
      <c r="A590" s="353">
        <v>330</v>
      </c>
      <c r="B590" s="352">
        <v>100</v>
      </c>
      <c r="C590" s="352">
        <v>100</v>
      </c>
      <c r="D590" s="352">
        <v>500</v>
      </c>
      <c r="E590" s="352"/>
      <c r="F590" s="352"/>
      <c r="G590" s="411" t="s">
        <v>1120</v>
      </c>
      <c r="H590" s="334"/>
      <c r="I590" s="331"/>
      <c r="J590" s="359"/>
      <c r="K590" s="359"/>
      <c r="L590" s="359"/>
      <c r="M590" s="359"/>
      <c r="N590" s="332"/>
      <c r="O590" s="333"/>
      <c r="P590" s="331"/>
      <c r="Q590" s="332"/>
      <c r="R590" s="531"/>
      <c r="S590" s="415"/>
      <c r="T590" s="415"/>
      <c r="U590" s="415"/>
      <c r="V590" s="415"/>
      <c r="W590" s="415"/>
      <c r="X590" s="415">
        <v>0</v>
      </c>
      <c r="Y590" s="1352">
        <f t="shared" si="63"/>
        <v>0</v>
      </c>
      <c r="Z590" s="1366">
        <f t="shared" si="64"/>
        <v>0</v>
      </c>
      <c r="AA590" s="415">
        <f t="shared" si="65"/>
        <v>0</v>
      </c>
      <c r="AB590" s="415">
        <f t="shared" si="66"/>
        <v>0</v>
      </c>
      <c r="AC590" s="415">
        <f t="shared" si="67"/>
        <v>0</v>
      </c>
      <c r="AD590" s="415">
        <f t="shared" si="68"/>
        <v>0</v>
      </c>
      <c r="AE590" s="415">
        <f t="shared" si="69"/>
        <v>0</v>
      </c>
      <c r="AF590" s="355"/>
      <c r="AG590" s="838"/>
      <c r="AH590" s="744"/>
      <c r="AI590" s="292"/>
      <c r="AK590" s="300"/>
      <c r="AS590" s="452"/>
    </row>
    <row r="591" spans="1:45" s="299" customFormat="1">
      <c r="A591" s="353">
        <v>330</v>
      </c>
      <c r="B591" s="352">
        <v>100</v>
      </c>
      <c r="C591" s="352">
        <v>100</v>
      </c>
      <c r="D591" s="352">
        <v>500</v>
      </c>
      <c r="E591" s="357">
        <v>5</v>
      </c>
      <c r="F591" s="357"/>
      <c r="G591" s="409" t="s">
        <v>1121</v>
      </c>
      <c r="H591" s="329"/>
      <c r="I591" s="326"/>
      <c r="J591" s="358"/>
      <c r="K591" s="358"/>
      <c r="L591" s="358"/>
      <c r="M591" s="358"/>
      <c r="N591" s="327"/>
      <c r="O591" s="328"/>
      <c r="P591" s="326"/>
      <c r="Q591" s="327"/>
      <c r="R591" s="538"/>
      <c r="S591" s="414"/>
      <c r="T591" s="414"/>
      <c r="U591" s="414"/>
      <c r="V591" s="414"/>
      <c r="W591" s="414"/>
      <c r="X591" s="414">
        <v>0</v>
      </c>
      <c r="Y591" s="1350">
        <f t="shared" si="63"/>
        <v>0</v>
      </c>
      <c r="Z591" s="1373">
        <f t="shared" si="64"/>
        <v>0</v>
      </c>
      <c r="AA591" s="414">
        <f t="shared" si="65"/>
        <v>0</v>
      </c>
      <c r="AB591" s="414">
        <f t="shared" si="66"/>
        <v>0</v>
      </c>
      <c r="AC591" s="414">
        <f t="shared" si="67"/>
        <v>0</v>
      </c>
      <c r="AD591" s="414">
        <f t="shared" si="68"/>
        <v>0</v>
      </c>
      <c r="AE591" s="414">
        <f t="shared" si="69"/>
        <v>0</v>
      </c>
      <c r="AF591" s="355"/>
      <c r="AG591" s="838"/>
      <c r="AH591" s="744"/>
      <c r="AI591" s="292"/>
      <c r="AK591" s="300"/>
      <c r="AS591" s="452"/>
    </row>
    <row r="592" spans="1:45" s="299" customFormat="1">
      <c r="A592" s="353">
        <v>330</v>
      </c>
      <c r="B592" s="352">
        <v>100</v>
      </c>
      <c r="C592" s="352">
        <v>100</v>
      </c>
      <c r="D592" s="352">
        <v>500</v>
      </c>
      <c r="E592" s="357">
        <v>10</v>
      </c>
      <c r="F592" s="357"/>
      <c r="G592" s="409" t="s">
        <v>1122</v>
      </c>
      <c r="H592" s="329"/>
      <c r="I592" s="326"/>
      <c r="J592" s="358"/>
      <c r="K592" s="358"/>
      <c r="L592" s="358"/>
      <c r="M592" s="358"/>
      <c r="N592" s="327"/>
      <c r="O592" s="328"/>
      <c r="P592" s="326"/>
      <c r="Q592" s="327"/>
      <c r="R592" s="538"/>
      <c r="S592" s="414"/>
      <c r="T592" s="414"/>
      <c r="U592" s="414"/>
      <c r="V592" s="414"/>
      <c r="W592" s="414"/>
      <c r="X592" s="414">
        <v>0</v>
      </c>
      <c r="Y592" s="1350">
        <f t="shared" si="63"/>
        <v>0</v>
      </c>
      <c r="Z592" s="1373">
        <f t="shared" si="64"/>
        <v>0</v>
      </c>
      <c r="AA592" s="414">
        <f t="shared" si="65"/>
        <v>0</v>
      </c>
      <c r="AB592" s="414">
        <f t="shared" si="66"/>
        <v>0</v>
      </c>
      <c r="AC592" s="414">
        <f t="shared" si="67"/>
        <v>0</v>
      </c>
      <c r="AD592" s="414">
        <f t="shared" si="68"/>
        <v>0</v>
      </c>
      <c r="AE592" s="414">
        <f t="shared" si="69"/>
        <v>0</v>
      </c>
      <c r="AF592" s="355"/>
      <c r="AG592" s="838"/>
      <c r="AH592" s="744"/>
      <c r="AI592" s="292"/>
      <c r="AK592" s="300"/>
      <c r="AS592" s="452"/>
    </row>
    <row r="593" spans="1:45" s="299" customFormat="1">
      <c r="A593" s="353">
        <v>330</v>
      </c>
      <c r="B593" s="352">
        <v>100</v>
      </c>
      <c r="C593" s="352">
        <v>100</v>
      </c>
      <c r="D593" s="352">
        <v>500</v>
      </c>
      <c r="E593" s="357">
        <v>15</v>
      </c>
      <c r="F593" s="357"/>
      <c r="G593" s="409" t="s">
        <v>1181</v>
      </c>
      <c r="H593" s="329"/>
      <c r="I593" s="326"/>
      <c r="J593" s="358"/>
      <c r="K593" s="358"/>
      <c r="L593" s="358"/>
      <c r="M593" s="358"/>
      <c r="N593" s="327"/>
      <c r="O593" s="328"/>
      <c r="P593" s="326"/>
      <c r="Q593" s="327"/>
      <c r="R593" s="532"/>
      <c r="S593" s="413"/>
      <c r="T593" s="413"/>
      <c r="U593" s="413"/>
      <c r="V593" s="413"/>
      <c r="W593" s="413"/>
      <c r="X593" s="413"/>
      <c r="Y593" s="1350">
        <f t="shared" si="63"/>
        <v>0</v>
      </c>
      <c r="Z593" s="1367">
        <f t="shared" si="64"/>
        <v>0</v>
      </c>
      <c r="AA593" s="413">
        <f t="shared" si="65"/>
        <v>0</v>
      </c>
      <c r="AB593" s="413">
        <f t="shared" si="66"/>
        <v>0</v>
      </c>
      <c r="AC593" s="413">
        <f t="shared" si="67"/>
        <v>0</v>
      </c>
      <c r="AD593" s="413">
        <f t="shared" si="68"/>
        <v>0</v>
      </c>
      <c r="AE593" s="413">
        <f t="shared" si="69"/>
        <v>0</v>
      </c>
      <c r="AF593" s="355"/>
      <c r="AG593" s="838"/>
      <c r="AH593" s="744"/>
      <c r="AI593" s="292"/>
      <c r="AK593" s="300"/>
      <c r="AS593" s="452"/>
    </row>
    <row r="594" spans="1:45" s="299" customFormat="1">
      <c r="A594" s="353">
        <v>330</v>
      </c>
      <c r="B594" s="352">
        <v>100</v>
      </c>
      <c r="C594" s="352">
        <v>100</v>
      </c>
      <c r="D594" s="357">
        <v>900</v>
      </c>
      <c r="E594" s="357"/>
      <c r="F594" s="357"/>
      <c r="G594" s="409" t="s">
        <v>1140</v>
      </c>
      <c r="H594" s="329"/>
      <c r="I594" s="326"/>
      <c r="J594" s="358"/>
      <c r="K594" s="358"/>
      <c r="L594" s="358"/>
      <c r="M594" s="358"/>
      <c r="N594" s="327"/>
      <c r="O594" s="802"/>
      <c r="P594" s="418">
        <v>12177</v>
      </c>
      <c r="Q594" s="327"/>
      <c r="R594" s="313">
        <v>17969.400000000001</v>
      </c>
      <c r="S594" s="311"/>
      <c r="T594" s="311"/>
      <c r="U594" s="311">
        <f>15396.72-P594</f>
        <v>3219.7199999999993</v>
      </c>
      <c r="V594" s="311"/>
      <c r="W594" s="311"/>
      <c r="X594" s="311">
        <v>16695</v>
      </c>
      <c r="Y594" s="1350">
        <f t="shared" si="63"/>
        <v>17969.400000000001</v>
      </c>
      <c r="Z594" s="1357">
        <f t="shared" si="64"/>
        <v>0</v>
      </c>
      <c r="AA594" s="311">
        <f t="shared" si="65"/>
        <v>0</v>
      </c>
      <c r="AB594" s="311">
        <f t="shared" si="66"/>
        <v>15396.72</v>
      </c>
      <c r="AC594" s="311">
        <f t="shared" si="67"/>
        <v>0</v>
      </c>
      <c r="AD594" s="311">
        <f t="shared" si="68"/>
        <v>0</v>
      </c>
      <c r="AE594" s="311">
        <f t="shared" si="69"/>
        <v>16695</v>
      </c>
      <c r="AF594" s="355"/>
      <c r="AG594" s="838"/>
      <c r="AH594" s="744"/>
      <c r="AI594" s="292"/>
      <c r="AK594" s="300"/>
      <c r="AS594" s="452"/>
    </row>
    <row r="595" spans="1:45" s="299" customFormat="1" ht="27.6">
      <c r="A595" s="353">
        <v>330</v>
      </c>
      <c r="B595" s="352">
        <v>100</v>
      </c>
      <c r="C595" s="352">
        <v>200</v>
      </c>
      <c r="D595" s="352"/>
      <c r="E595" s="352"/>
      <c r="F595" s="352"/>
      <c r="G595" s="323" t="s">
        <v>1182</v>
      </c>
      <c r="H595" s="334"/>
      <c r="I595" s="331"/>
      <c r="J595" s="359"/>
      <c r="K595" s="359"/>
      <c r="L595" s="359"/>
      <c r="M595" s="359"/>
      <c r="N595" s="332"/>
      <c r="O595" s="333"/>
      <c r="P595" s="331">
        <v>0</v>
      </c>
      <c r="Q595" s="332"/>
      <c r="R595" s="537"/>
      <c r="S595" s="416"/>
      <c r="T595" s="416"/>
      <c r="U595" s="416"/>
      <c r="V595" s="416"/>
      <c r="W595" s="416"/>
      <c r="X595" s="416">
        <v>0</v>
      </c>
      <c r="Y595" s="1352">
        <f t="shared" si="63"/>
        <v>0</v>
      </c>
      <c r="Z595" s="1372">
        <f t="shared" si="64"/>
        <v>0</v>
      </c>
      <c r="AA595" s="416">
        <f t="shared" si="65"/>
        <v>0</v>
      </c>
      <c r="AB595" s="416">
        <f t="shared" si="66"/>
        <v>0</v>
      </c>
      <c r="AC595" s="416">
        <f t="shared" si="67"/>
        <v>0</v>
      </c>
      <c r="AD595" s="416">
        <f t="shared" si="68"/>
        <v>0</v>
      </c>
      <c r="AE595" s="416">
        <f t="shared" si="69"/>
        <v>0</v>
      </c>
      <c r="AF595" s="355" t="s">
        <v>1183</v>
      </c>
      <c r="AG595" s="838"/>
      <c r="AH595" s="744"/>
      <c r="AI595" s="292"/>
      <c r="AK595" s="300"/>
      <c r="AS595" s="452"/>
    </row>
    <row r="596" spans="1:45" s="299" customFormat="1">
      <c r="A596" s="353">
        <v>330</v>
      </c>
      <c r="B596" s="352">
        <v>100</v>
      </c>
      <c r="C596" s="352">
        <v>200</v>
      </c>
      <c r="D596" s="357">
        <v>100</v>
      </c>
      <c r="E596" s="357"/>
      <c r="F596" s="357"/>
      <c r="G596" s="409" t="s">
        <v>1112</v>
      </c>
      <c r="H596" s="329"/>
      <c r="I596" s="326"/>
      <c r="J596" s="358"/>
      <c r="K596" s="358"/>
      <c r="L596" s="358"/>
      <c r="M596" s="358"/>
      <c r="N596" s="327"/>
      <c r="O596" s="328"/>
      <c r="P596" s="326">
        <v>0</v>
      </c>
      <c r="Q596" s="327"/>
      <c r="R596" s="313">
        <v>89285.02</v>
      </c>
      <c r="S596" s="311"/>
      <c r="T596" s="311"/>
      <c r="U596" s="311">
        <v>89285.02</v>
      </c>
      <c r="V596" s="311"/>
      <c r="W596" s="311"/>
      <c r="X596" s="311">
        <v>86074</v>
      </c>
      <c r="Y596" s="1350">
        <f t="shared" si="63"/>
        <v>89285.02</v>
      </c>
      <c r="Z596" s="1357">
        <f t="shared" si="64"/>
        <v>0</v>
      </c>
      <c r="AA596" s="311">
        <f t="shared" si="65"/>
        <v>0</v>
      </c>
      <c r="AB596" s="311">
        <f t="shared" si="66"/>
        <v>89285.02</v>
      </c>
      <c r="AC596" s="311">
        <f t="shared" si="67"/>
        <v>0</v>
      </c>
      <c r="AD596" s="311">
        <f t="shared" si="68"/>
        <v>0</v>
      </c>
      <c r="AE596" s="311">
        <f t="shared" si="69"/>
        <v>86074</v>
      </c>
      <c r="AF596" s="355"/>
      <c r="AG596" s="838"/>
      <c r="AH596" s="744"/>
      <c r="AI596" s="292"/>
      <c r="AK596" s="300"/>
      <c r="AS596" s="452"/>
    </row>
    <row r="597" spans="1:45" s="299" customFormat="1">
      <c r="A597" s="353">
        <v>330</v>
      </c>
      <c r="B597" s="352">
        <v>100</v>
      </c>
      <c r="C597" s="352">
        <v>200</v>
      </c>
      <c r="D597" s="357">
        <v>200</v>
      </c>
      <c r="E597" s="357"/>
      <c r="F597" s="357"/>
      <c r="G597" s="409" t="s">
        <v>1113</v>
      </c>
      <c r="H597" s="329"/>
      <c r="I597" s="326"/>
      <c r="J597" s="358"/>
      <c r="K597" s="358"/>
      <c r="L597" s="358"/>
      <c r="M597" s="358"/>
      <c r="N597" s="327"/>
      <c r="O597" s="328"/>
      <c r="P597" s="326">
        <v>0</v>
      </c>
      <c r="Q597" s="327"/>
      <c r="R597" s="313">
        <v>1365.78</v>
      </c>
      <c r="S597" s="311"/>
      <c r="T597" s="311"/>
      <c r="U597" s="311">
        <v>1365.78</v>
      </c>
      <c r="V597" s="311"/>
      <c r="W597" s="311"/>
      <c r="X597" s="311">
        <v>16732</v>
      </c>
      <c r="Y597" s="1350">
        <f t="shared" si="63"/>
        <v>1365.78</v>
      </c>
      <c r="Z597" s="1357">
        <f t="shared" si="64"/>
        <v>0</v>
      </c>
      <c r="AA597" s="311">
        <f t="shared" si="65"/>
        <v>0</v>
      </c>
      <c r="AB597" s="311">
        <f t="shared" si="66"/>
        <v>1365.78</v>
      </c>
      <c r="AC597" s="311">
        <f t="shared" si="67"/>
        <v>0</v>
      </c>
      <c r="AD597" s="311">
        <f t="shared" si="68"/>
        <v>0</v>
      </c>
      <c r="AE597" s="311">
        <f t="shared" si="69"/>
        <v>16732</v>
      </c>
      <c r="AF597" s="355"/>
      <c r="AG597" s="838"/>
      <c r="AH597" s="744"/>
      <c r="AI597" s="292"/>
      <c r="AK597" s="300"/>
      <c r="AS597" s="452"/>
    </row>
    <row r="598" spans="1:45" s="299" customFormat="1">
      <c r="A598" s="353">
        <v>330</v>
      </c>
      <c r="B598" s="352">
        <v>100</v>
      </c>
      <c r="C598" s="352">
        <v>200</v>
      </c>
      <c r="D598" s="357">
        <v>300</v>
      </c>
      <c r="E598" s="357"/>
      <c r="F598" s="357"/>
      <c r="G598" s="409" t="s">
        <v>1136</v>
      </c>
      <c r="H598" s="329"/>
      <c r="I598" s="326"/>
      <c r="J598" s="358"/>
      <c r="K598" s="358"/>
      <c r="L598" s="358"/>
      <c r="M598" s="358"/>
      <c r="N598" s="327"/>
      <c r="O598" s="328"/>
      <c r="P598" s="326">
        <v>0</v>
      </c>
      <c r="Q598" s="327"/>
      <c r="R598" s="313">
        <v>6083.56</v>
      </c>
      <c r="S598" s="311"/>
      <c r="T598" s="311"/>
      <c r="U598" s="311">
        <v>2251.54</v>
      </c>
      <c r="V598" s="311"/>
      <c r="W598" s="311"/>
      <c r="X598" s="311">
        <v>828</v>
      </c>
      <c r="Y598" s="1350">
        <f t="shared" si="63"/>
        <v>6083.56</v>
      </c>
      <c r="Z598" s="1357">
        <f t="shared" si="64"/>
        <v>0</v>
      </c>
      <c r="AA598" s="311">
        <f t="shared" si="65"/>
        <v>0</v>
      </c>
      <c r="AB598" s="311">
        <f t="shared" si="66"/>
        <v>2251.54</v>
      </c>
      <c r="AC598" s="311">
        <f t="shared" si="67"/>
        <v>0</v>
      </c>
      <c r="AD598" s="311">
        <f t="shared" si="68"/>
        <v>0</v>
      </c>
      <c r="AE598" s="311">
        <f t="shared" si="69"/>
        <v>828</v>
      </c>
      <c r="AF598" s="355"/>
      <c r="AG598" s="838"/>
      <c r="AH598" s="744"/>
      <c r="AI598" s="292"/>
      <c r="AK598" s="300"/>
      <c r="AS598" s="452"/>
    </row>
    <row r="599" spans="1:45" s="299" customFormat="1">
      <c r="A599" s="353">
        <v>330</v>
      </c>
      <c r="B599" s="352">
        <v>100</v>
      </c>
      <c r="C599" s="352">
        <v>200</v>
      </c>
      <c r="D599" s="357">
        <v>400</v>
      </c>
      <c r="E599" s="357"/>
      <c r="F599" s="357"/>
      <c r="G599" s="409" t="s">
        <v>1137</v>
      </c>
      <c r="H599" s="329"/>
      <c r="I599" s="326"/>
      <c r="J599" s="358"/>
      <c r="K599" s="358"/>
      <c r="L599" s="358"/>
      <c r="M599" s="358"/>
      <c r="N599" s="327"/>
      <c r="O599" s="328"/>
      <c r="P599" s="326">
        <v>0</v>
      </c>
      <c r="Q599" s="327"/>
      <c r="R599" s="313">
        <v>430.35</v>
      </c>
      <c r="S599" s="311"/>
      <c r="T599" s="311"/>
      <c r="U599" s="311"/>
      <c r="V599" s="311"/>
      <c r="W599" s="311"/>
      <c r="X599" s="311">
        <v>0</v>
      </c>
      <c r="Y599" s="1350">
        <f t="shared" si="63"/>
        <v>430.35</v>
      </c>
      <c r="Z599" s="1357">
        <f t="shared" si="64"/>
        <v>0</v>
      </c>
      <c r="AA599" s="311">
        <f t="shared" si="65"/>
        <v>0</v>
      </c>
      <c r="AB599" s="311">
        <f t="shared" si="66"/>
        <v>0</v>
      </c>
      <c r="AC599" s="311">
        <f t="shared" si="67"/>
        <v>0</v>
      </c>
      <c r="AD599" s="311">
        <f t="shared" si="68"/>
        <v>0</v>
      </c>
      <c r="AE599" s="311">
        <f t="shared" si="69"/>
        <v>0</v>
      </c>
      <c r="AF599" s="355"/>
      <c r="AG599" s="838"/>
      <c r="AH599" s="744"/>
      <c r="AI599" s="292"/>
      <c r="AK599" s="300"/>
      <c r="AS599" s="452"/>
    </row>
    <row r="600" spans="1:45" s="299" customFormat="1">
      <c r="A600" s="353">
        <v>330</v>
      </c>
      <c r="B600" s="352">
        <v>100</v>
      </c>
      <c r="C600" s="352">
        <v>200</v>
      </c>
      <c r="D600" s="352">
        <v>500</v>
      </c>
      <c r="E600" s="352"/>
      <c r="F600" s="352"/>
      <c r="G600" s="411" t="s">
        <v>1120</v>
      </c>
      <c r="H600" s="334"/>
      <c r="I600" s="331"/>
      <c r="J600" s="359"/>
      <c r="K600" s="359"/>
      <c r="L600" s="359"/>
      <c r="M600" s="359"/>
      <c r="N600" s="332"/>
      <c r="O600" s="333"/>
      <c r="P600" s="331">
        <v>0</v>
      </c>
      <c r="Q600" s="332"/>
      <c r="R600" s="531"/>
      <c r="S600" s="415"/>
      <c r="T600" s="415"/>
      <c r="U600" s="415"/>
      <c r="V600" s="415"/>
      <c r="W600" s="415"/>
      <c r="X600" s="415">
        <v>0</v>
      </c>
      <c r="Y600" s="1352">
        <f t="shared" si="63"/>
        <v>0</v>
      </c>
      <c r="Z600" s="1366">
        <f t="shared" si="64"/>
        <v>0</v>
      </c>
      <c r="AA600" s="415">
        <f t="shared" si="65"/>
        <v>0</v>
      </c>
      <c r="AB600" s="415">
        <f t="shared" si="66"/>
        <v>0</v>
      </c>
      <c r="AC600" s="415">
        <f t="shared" si="67"/>
        <v>0</v>
      </c>
      <c r="AD600" s="415">
        <f t="shared" si="68"/>
        <v>0</v>
      </c>
      <c r="AE600" s="415">
        <f t="shared" si="69"/>
        <v>0</v>
      </c>
      <c r="AF600" s="355"/>
      <c r="AG600" s="838"/>
      <c r="AH600" s="744"/>
      <c r="AI600" s="292"/>
      <c r="AK600" s="300"/>
      <c r="AS600" s="452"/>
    </row>
    <row r="601" spans="1:45" s="299" customFormat="1">
      <c r="A601" s="353">
        <v>330</v>
      </c>
      <c r="B601" s="352">
        <v>100</v>
      </c>
      <c r="C601" s="352">
        <v>200</v>
      </c>
      <c r="D601" s="352">
        <v>500</v>
      </c>
      <c r="E601" s="357">
        <v>5</v>
      </c>
      <c r="F601" s="357"/>
      <c r="G601" s="409" t="s">
        <v>1121</v>
      </c>
      <c r="H601" s="329"/>
      <c r="I601" s="326"/>
      <c r="J601" s="358"/>
      <c r="K601" s="358"/>
      <c r="L601" s="358"/>
      <c r="M601" s="358"/>
      <c r="N601" s="327"/>
      <c r="O601" s="328"/>
      <c r="P601" s="326">
        <v>0</v>
      </c>
      <c r="Q601" s="327"/>
      <c r="R601" s="538"/>
      <c r="S601" s="414"/>
      <c r="T601" s="414"/>
      <c r="U601" s="414"/>
      <c r="V601" s="414"/>
      <c r="W601" s="414"/>
      <c r="X601" s="414">
        <v>0</v>
      </c>
      <c r="Y601" s="1350">
        <f t="shared" si="63"/>
        <v>0</v>
      </c>
      <c r="Z601" s="1373">
        <f t="shared" si="64"/>
        <v>0</v>
      </c>
      <c r="AA601" s="414">
        <f t="shared" si="65"/>
        <v>0</v>
      </c>
      <c r="AB601" s="414">
        <f t="shared" si="66"/>
        <v>0</v>
      </c>
      <c r="AC601" s="414">
        <f t="shared" si="67"/>
        <v>0</v>
      </c>
      <c r="AD601" s="414">
        <f t="shared" si="68"/>
        <v>0</v>
      </c>
      <c r="AE601" s="414">
        <f t="shared" si="69"/>
        <v>0</v>
      </c>
      <c r="AF601" s="355"/>
      <c r="AG601" s="838"/>
      <c r="AH601" s="744"/>
      <c r="AI601" s="292"/>
      <c r="AK601" s="300"/>
      <c r="AS601" s="452"/>
    </row>
    <row r="602" spans="1:45" s="299" customFormat="1">
      <c r="A602" s="353">
        <v>330</v>
      </c>
      <c r="B602" s="352">
        <v>100</v>
      </c>
      <c r="C602" s="352">
        <v>200</v>
      </c>
      <c r="D602" s="352">
        <v>500</v>
      </c>
      <c r="E602" s="357">
        <v>10</v>
      </c>
      <c r="F602" s="357"/>
      <c r="G602" s="409" t="s">
        <v>1122</v>
      </c>
      <c r="H602" s="329"/>
      <c r="I602" s="326"/>
      <c r="J602" s="358"/>
      <c r="K602" s="358"/>
      <c r="L602" s="358"/>
      <c r="M602" s="358"/>
      <c r="N602" s="327"/>
      <c r="O602" s="328"/>
      <c r="P602" s="326">
        <v>0</v>
      </c>
      <c r="Q602" s="327"/>
      <c r="R602" s="538"/>
      <c r="S602" s="414"/>
      <c r="T602" s="414"/>
      <c r="U602" s="414"/>
      <c r="V602" s="414"/>
      <c r="W602" s="414"/>
      <c r="X602" s="414">
        <v>0</v>
      </c>
      <c r="Y602" s="1350">
        <f t="shared" si="63"/>
        <v>0</v>
      </c>
      <c r="Z602" s="1373">
        <f t="shared" si="64"/>
        <v>0</v>
      </c>
      <c r="AA602" s="414">
        <f t="shared" si="65"/>
        <v>0</v>
      </c>
      <c r="AB602" s="414">
        <f t="shared" si="66"/>
        <v>0</v>
      </c>
      <c r="AC602" s="414">
        <f t="shared" si="67"/>
        <v>0</v>
      </c>
      <c r="AD602" s="414">
        <f t="shared" si="68"/>
        <v>0</v>
      </c>
      <c r="AE602" s="414">
        <f t="shared" si="69"/>
        <v>0</v>
      </c>
      <c r="AF602" s="355"/>
      <c r="AG602" s="838"/>
      <c r="AH602" s="744"/>
      <c r="AI602" s="292"/>
      <c r="AK602" s="300"/>
      <c r="AS602" s="452"/>
    </row>
    <row r="603" spans="1:45" s="299" customFormat="1">
      <c r="A603" s="353">
        <v>330</v>
      </c>
      <c r="B603" s="352">
        <v>100</v>
      </c>
      <c r="C603" s="352">
        <v>200</v>
      </c>
      <c r="D603" s="352">
        <v>500</v>
      </c>
      <c r="E603" s="357">
        <v>15</v>
      </c>
      <c r="F603" s="357"/>
      <c r="G603" s="409" t="s">
        <v>1181</v>
      </c>
      <c r="H603" s="329"/>
      <c r="I603" s="326"/>
      <c r="J603" s="358"/>
      <c r="K603" s="358"/>
      <c r="L603" s="358"/>
      <c r="M603" s="358"/>
      <c r="N603" s="327"/>
      <c r="O603" s="328"/>
      <c r="P603" s="326">
        <v>0</v>
      </c>
      <c r="Q603" s="327"/>
      <c r="R603" s="538"/>
      <c r="S603" s="414"/>
      <c r="T603" s="414"/>
      <c r="U603" s="414"/>
      <c r="V603" s="414"/>
      <c r="W603" s="414"/>
      <c r="X603" s="414">
        <v>0</v>
      </c>
      <c r="Y603" s="1350">
        <f t="shared" si="63"/>
        <v>0</v>
      </c>
      <c r="Z603" s="1373">
        <f t="shared" si="64"/>
        <v>0</v>
      </c>
      <c r="AA603" s="414">
        <f t="shared" si="65"/>
        <v>0</v>
      </c>
      <c r="AB603" s="414">
        <f t="shared" si="66"/>
        <v>0</v>
      </c>
      <c r="AC603" s="414">
        <f t="shared" si="67"/>
        <v>0</v>
      </c>
      <c r="AD603" s="414">
        <f t="shared" si="68"/>
        <v>0</v>
      </c>
      <c r="AE603" s="414">
        <f t="shared" si="69"/>
        <v>0</v>
      </c>
      <c r="AF603" s="355"/>
      <c r="AG603" s="838"/>
      <c r="AH603" s="744"/>
      <c r="AI603" s="292"/>
      <c r="AK603" s="300"/>
      <c r="AS603" s="452"/>
    </row>
    <row r="604" spans="1:45" s="299" customFormat="1">
      <c r="A604" s="353">
        <v>330</v>
      </c>
      <c r="B604" s="352">
        <v>100</v>
      </c>
      <c r="C604" s="352">
        <v>200</v>
      </c>
      <c r="D604" s="357">
        <v>900</v>
      </c>
      <c r="E604" s="357"/>
      <c r="F604" s="357"/>
      <c r="G604" s="409" t="s">
        <v>1140</v>
      </c>
      <c r="H604" s="329"/>
      <c r="I604" s="326"/>
      <c r="J604" s="358"/>
      <c r="K604" s="358"/>
      <c r="L604" s="358"/>
      <c r="M604" s="358"/>
      <c r="N604" s="327"/>
      <c r="O604" s="328"/>
      <c r="P604" s="326">
        <v>0</v>
      </c>
      <c r="Q604" s="327"/>
      <c r="R604" s="313">
        <v>29751.61</v>
      </c>
      <c r="S604" s="311"/>
      <c r="T604" s="311"/>
      <c r="U604" s="311">
        <v>28822.769999999993</v>
      </c>
      <c r="V604" s="311"/>
      <c r="W604" s="311"/>
      <c r="X604" s="311">
        <v>32210</v>
      </c>
      <c r="Y604" s="1350">
        <f t="shared" si="63"/>
        <v>29751.61</v>
      </c>
      <c r="Z604" s="1357">
        <f t="shared" si="64"/>
        <v>0</v>
      </c>
      <c r="AA604" s="311">
        <f t="shared" si="65"/>
        <v>0</v>
      </c>
      <c r="AB604" s="311">
        <f t="shared" si="66"/>
        <v>28822.769999999993</v>
      </c>
      <c r="AC604" s="311">
        <f t="shared" si="67"/>
        <v>0</v>
      </c>
      <c r="AD604" s="311">
        <f t="shared" si="68"/>
        <v>0</v>
      </c>
      <c r="AE604" s="311">
        <f t="shared" si="69"/>
        <v>32210</v>
      </c>
      <c r="AF604" s="355"/>
      <c r="AG604" s="838"/>
      <c r="AH604" s="744"/>
      <c r="AI604" s="292"/>
      <c r="AK604" s="300"/>
      <c r="AS604" s="452"/>
    </row>
    <row r="605" spans="1:45" s="299" customFormat="1" ht="27.6">
      <c r="A605" s="353">
        <v>330</v>
      </c>
      <c r="B605" s="352">
        <v>100</v>
      </c>
      <c r="C605" s="357">
        <v>300</v>
      </c>
      <c r="D605" s="357"/>
      <c r="E605" s="357"/>
      <c r="F605" s="357"/>
      <c r="G605" s="323" t="s">
        <v>1184</v>
      </c>
      <c r="H605" s="329"/>
      <c r="I605" s="326"/>
      <c r="J605" s="358"/>
      <c r="K605" s="358"/>
      <c r="L605" s="358"/>
      <c r="M605" s="358"/>
      <c r="N605" s="327"/>
      <c r="O605" s="328"/>
      <c r="P605" s="326">
        <v>0</v>
      </c>
      <c r="Q605" s="327"/>
      <c r="R605" s="536"/>
      <c r="S605" s="412"/>
      <c r="T605" s="412"/>
      <c r="U605" s="412"/>
      <c r="V605" s="412"/>
      <c r="W605" s="412"/>
      <c r="X605" s="412">
        <v>0</v>
      </c>
      <c r="Y605" s="1350">
        <f t="shared" si="63"/>
        <v>0</v>
      </c>
      <c r="Z605" s="1371">
        <f t="shared" si="64"/>
        <v>0</v>
      </c>
      <c r="AA605" s="412">
        <f t="shared" si="65"/>
        <v>0</v>
      </c>
      <c r="AB605" s="412">
        <f t="shared" si="66"/>
        <v>0</v>
      </c>
      <c r="AC605" s="412">
        <f t="shared" si="67"/>
        <v>0</v>
      </c>
      <c r="AD605" s="412">
        <f t="shared" si="68"/>
        <v>0</v>
      </c>
      <c r="AE605" s="412">
        <f t="shared" si="69"/>
        <v>0</v>
      </c>
      <c r="AF605" s="355" t="s">
        <v>1185</v>
      </c>
      <c r="AG605" s="838"/>
      <c r="AH605" s="744"/>
      <c r="AI605" s="292"/>
      <c r="AK605" s="300"/>
      <c r="AS605" s="452"/>
    </row>
    <row r="606" spans="1:45" s="299" customFormat="1" ht="27.6">
      <c r="A606" s="353">
        <v>330</v>
      </c>
      <c r="B606" s="352">
        <v>200</v>
      </c>
      <c r="C606" s="352"/>
      <c r="D606" s="352"/>
      <c r="E606" s="352"/>
      <c r="F606" s="352"/>
      <c r="G606" s="323" t="s">
        <v>1186</v>
      </c>
      <c r="H606" s="334"/>
      <c r="I606" s="331"/>
      <c r="J606" s="359"/>
      <c r="K606" s="359"/>
      <c r="L606" s="359"/>
      <c r="M606" s="359"/>
      <c r="N606" s="332"/>
      <c r="O606" s="333"/>
      <c r="P606" s="331">
        <v>0</v>
      </c>
      <c r="Q606" s="332"/>
      <c r="R606" s="537"/>
      <c r="S606" s="416"/>
      <c r="T606" s="416"/>
      <c r="U606" s="416"/>
      <c r="V606" s="416"/>
      <c r="W606" s="416"/>
      <c r="X606" s="416">
        <v>0</v>
      </c>
      <c r="Y606" s="1352">
        <f t="shared" si="63"/>
        <v>0</v>
      </c>
      <c r="Z606" s="1372">
        <f t="shared" si="64"/>
        <v>0</v>
      </c>
      <c r="AA606" s="416">
        <f t="shared" si="65"/>
        <v>0</v>
      </c>
      <c r="AB606" s="416">
        <f t="shared" si="66"/>
        <v>0</v>
      </c>
      <c r="AC606" s="416">
        <f t="shared" si="67"/>
        <v>0</v>
      </c>
      <c r="AD606" s="416">
        <f t="shared" si="68"/>
        <v>0</v>
      </c>
      <c r="AE606" s="416">
        <f t="shared" si="69"/>
        <v>0</v>
      </c>
      <c r="AF606" s="355" t="s">
        <v>1187</v>
      </c>
      <c r="AG606" s="838"/>
      <c r="AH606" s="744"/>
      <c r="AI606" s="292"/>
      <c r="AK606" s="300"/>
      <c r="AS606" s="452"/>
    </row>
    <row r="607" spans="1:45" s="299" customFormat="1" ht="27.6">
      <c r="A607" s="353">
        <v>330</v>
      </c>
      <c r="B607" s="352">
        <v>200</v>
      </c>
      <c r="C607" s="352">
        <v>100</v>
      </c>
      <c r="D607" s="352"/>
      <c r="E607" s="352"/>
      <c r="F607" s="352"/>
      <c r="G607" s="323" t="s">
        <v>1188</v>
      </c>
      <c r="H607" s="334"/>
      <c r="I607" s="331"/>
      <c r="J607" s="359"/>
      <c r="K607" s="359"/>
      <c r="L607" s="359"/>
      <c r="M607" s="359"/>
      <c r="N607" s="332"/>
      <c r="O607" s="333"/>
      <c r="P607" s="331">
        <v>0</v>
      </c>
      <c r="Q607" s="332"/>
      <c r="R607" s="537"/>
      <c r="S607" s="416"/>
      <c r="T607" s="416"/>
      <c r="U607" s="416"/>
      <c r="V607" s="416"/>
      <c r="W607" s="416"/>
      <c r="X607" s="416">
        <v>0</v>
      </c>
      <c r="Y607" s="1352">
        <f t="shared" si="63"/>
        <v>0</v>
      </c>
      <c r="Z607" s="1372">
        <f t="shared" si="64"/>
        <v>0</v>
      </c>
      <c r="AA607" s="416">
        <f t="shared" si="65"/>
        <v>0</v>
      </c>
      <c r="AB607" s="416">
        <f t="shared" si="66"/>
        <v>0</v>
      </c>
      <c r="AC607" s="416">
        <f t="shared" si="67"/>
        <v>0</v>
      </c>
      <c r="AD607" s="416">
        <f t="shared" si="68"/>
        <v>0</v>
      </c>
      <c r="AE607" s="416">
        <f t="shared" si="69"/>
        <v>0</v>
      </c>
      <c r="AF607" s="355" t="s">
        <v>1189</v>
      </c>
      <c r="AG607" s="838"/>
      <c r="AH607" s="744"/>
      <c r="AI607" s="292"/>
      <c r="AK607" s="300"/>
      <c r="AS607" s="452"/>
    </row>
    <row r="608" spans="1:45" s="299" customFormat="1">
      <c r="A608" s="353">
        <v>330</v>
      </c>
      <c r="B608" s="352">
        <v>200</v>
      </c>
      <c r="C608" s="352">
        <v>100</v>
      </c>
      <c r="D608" s="357">
        <v>100</v>
      </c>
      <c r="E608" s="357"/>
      <c r="F608" s="357"/>
      <c r="G608" s="409" t="s">
        <v>1112</v>
      </c>
      <c r="H608" s="329"/>
      <c r="I608" s="326"/>
      <c r="J608" s="358"/>
      <c r="K608" s="358"/>
      <c r="L608" s="358"/>
      <c r="M608" s="358"/>
      <c r="N608" s="327"/>
      <c r="O608" s="328"/>
      <c r="P608" s="326">
        <v>0</v>
      </c>
      <c r="Q608" s="327"/>
      <c r="R608" s="313">
        <v>2385282.3199999998</v>
      </c>
      <c r="S608" s="311"/>
      <c r="T608" s="311"/>
      <c r="U608" s="311">
        <v>2381937.04</v>
      </c>
      <c r="V608" s="311"/>
      <c r="W608" s="311">
        <v>16222.65</v>
      </c>
      <c r="X608" s="311">
        <v>2403491</v>
      </c>
      <c r="Y608" s="1350">
        <f t="shared" si="63"/>
        <v>2385282.3199999998</v>
      </c>
      <c r="Z608" s="1357">
        <f t="shared" si="64"/>
        <v>0</v>
      </c>
      <c r="AA608" s="311">
        <f t="shared" si="65"/>
        <v>0</v>
      </c>
      <c r="AB608" s="311">
        <f t="shared" si="66"/>
        <v>2381937.04</v>
      </c>
      <c r="AC608" s="311">
        <f t="shared" si="67"/>
        <v>0</v>
      </c>
      <c r="AD608" s="311">
        <f t="shared" si="68"/>
        <v>16222.65</v>
      </c>
      <c r="AE608" s="311">
        <f t="shared" si="69"/>
        <v>2403491</v>
      </c>
      <c r="AF608" s="355"/>
      <c r="AG608" s="838"/>
      <c r="AH608" s="744"/>
      <c r="AI608" s="292"/>
      <c r="AK608" s="300"/>
      <c r="AS608" s="452"/>
    </row>
    <row r="609" spans="1:45" s="299" customFormat="1">
      <c r="A609" s="353">
        <v>330</v>
      </c>
      <c r="B609" s="352">
        <v>200</v>
      </c>
      <c r="C609" s="352">
        <v>100</v>
      </c>
      <c r="D609" s="357">
        <v>200</v>
      </c>
      <c r="E609" s="357"/>
      <c r="F609" s="357"/>
      <c r="G609" s="409" t="s">
        <v>1148</v>
      </c>
      <c r="H609" s="329"/>
      <c r="I609" s="326"/>
      <c r="J609" s="358"/>
      <c r="K609" s="358"/>
      <c r="L609" s="358"/>
      <c r="M609" s="358"/>
      <c r="N609" s="327"/>
      <c r="O609" s="328"/>
      <c r="P609" s="326">
        <v>0</v>
      </c>
      <c r="Q609" s="327"/>
      <c r="R609" s="313">
        <v>22281.72</v>
      </c>
      <c r="S609" s="311"/>
      <c r="T609" s="311"/>
      <c r="U609" s="311">
        <v>18122.990000000002</v>
      </c>
      <c r="V609" s="311"/>
      <c r="W609" s="311"/>
      <c r="X609" s="311">
        <v>17153</v>
      </c>
      <c r="Y609" s="1350">
        <f t="shared" si="63"/>
        <v>22281.72</v>
      </c>
      <c r="Z609" s="1357">
        <f t="shared" si="64"/>
        <v>0</v>
      </c>
      <c r="AA609" s="311">
        <f t="shared" si="65"/>
        <v>0</v>
      </c>
      <c r="AB609" s="311">
        <f t="shared" si="66"/>
        <v>18122.990000000002</v>
      </c>
      <c r="AC609" s="311">
        <f t="shared" si="67"/>
        <v>0</v>
      </c>
      <c r="AD609" s="311">
        <f t="shared" si="68"/>
        <v>0</v>
      </c>
      <c r="AE609" s="311">
        <f t="shared" si="69"/>
        <v>17153</v>
      </c>
      <c r="AF609" s="355"/>
      <c r="AG609" s="838"/>
      <c r="AH609" s="744"/>
      <c r="AI609" s="292"/>
      <c r="AK609" s="300"/>
      <c r="AS609" s="452"/>
    </row>
    <row r="610" spans="1:45" s="299" customFormat="1">
      <c r="A610" s="353">
        <v>330</v>
      </c>
      <c r="B610" s="352">
        <v>200</v>
      </c>
      <c r="C610" s="352">
        <v>100</v>
      </c>
      <c r="D610" s="357">
        <v>300</v>
      </c>
      <c r="E610" s="357"/>
      <c r="F610" s="357"/>
      <c r="G610" s="409" t="s">
        <v>1149</v>
      </c>
      <c r="H610" s="329"/>
      <c r="I610" s="326"/>
      <c r="J610" s="358"/>
      <c r="K610" s="358"/>
      <c r="L610" s="358"/>
      <c r="M610" s="358"/>
      <c r="N610" s="327"/>
      <c r="O610" s="328"/>
      <c r="P610" s="326">
        <v>0</v>
      </c>
      <c r="Q610" s="327"/>
      <c r="R610" s="313">
        <v>34205.46</v>
      </c>
      <c r="S610" s="311"/>
      <c r="T610" s="311"/>
      <c r="U610" s="311">
        <v>189864.86000000004</v>
      </c>
      <c r="V610" s="311"/>
      <c r="W610" s="311">
        <v>600</v>
      </c>
      <c r="X610" s="311">
        <v>414270</v>
      </c>
      <c r="Y610" s="1350">
        <f t="shared" si="63"/>
        <v>34205.46</v>
      </c>
      <c r="Z610" s="1357">
        <f t="shared" si="64"/>
        <v>0</v>
      </c>
      <c r="AA610" s="311">
        <f t="shared" si="65"/>
        <v>0</v>
      </c>
      <c r="AB610" s="311">
        <f t="shared" si="66"/>
        <v>189864.86000000004</v>
      </c>
      <c r="AC610" s="311">
        <f t="shared" si="67"/>
        <v>0</v>
      </c>
      <c r="AD610" s="311">
        <f t="shared" si="68"/>
        <v>600</v>
      </c>
      <c r="AE610" s="311">
        <f t="shared" si="69"/>
        <v>414270</v>
      </c>
      <c r="AF610" s="355"/>
      <c r="AG610" s="838"/>
      <c r="AH610" s="744"/>
      <c r="AI610" s="292"/>
      <c r="AK610" s="300"/>
      <c r="AS610" s="452"/>
    </row>
    <row r="611" spans="1:45" s="299" customFormat="1">
      <c r="A611" s="353">
        <v>330</v>
      </c>
      <c r="B611" s="352">
        <v>200</v>
      </c>
      <c r="C611" s="352">
        <v>100</v>
      </c>
      <c r="D611" s="357">
        <v>400</v>
      </c>
      <c r="E611" s="357"/>
      <c r="F611" s="357"/>
      <c r="G611" s="409" t="s">
        <v>1150</v>
      </c>
      <c r="H611" s="329"/>
      <c r="I611" s="326"/>
      <c r="J611" s="358"/>
      <c r="K611" s="358"/>
      <c r="L611" s="358"/>
      <c r="M611" s="358"/>
      <c r="N611" s="327"/>
      <c r="O611" s="328"/>
      <c r="P611" s="326">
        <v>0</v>
      </c>
      <c r="Q611" s="327"/>
      <c r="R611" s="313">
        <v>419227.22</v>
      </c>
      <c r="S611" s="311"/>
      <c r="T611" s="311"/>
      <c r="U611" s="311">
        <v>173560.88</v>
      </c>
      <c r="V611" s="311"/>
      <c r="W611" s="311"/>
      <c r="X611" s="311">
        <v>85441</v>
      </c>
      <c r="Y611" s="1350">
        <f t="shared" si="63"/>
        <v>419227.22</v>
      </c>
      <c r="Z611" s="1357">
        <f t="shared" si="64"/>
        <v>0</v>
      </c>
      <c r="AA611" s="311">
        <f t="shared" si="65"/>
        <v>0</v>
      </c>
      <c r="AB611" s="311">
        <f t="shared" si="66"/>
        <v>173560.88</v>
      </c>
      <c r="AC611" s="311">
        <f t="shared" si="67"/>
        <v>0</v>
      </c>
      <c r="AD611" s="311">
        <f t="shared" si="68"/>
        <v>0</v>
      </c>
      <c r="AE611" s="311">
        <f t="shared" si="69"/>
        <v>85441</v>
      </c>
      <c r="AF611" s="355"/>
      <c r="AG611" s="838"/>
      <c r="AH611" s="744"/>
      <c r="AI611" s="292"/>
      <c r="AK611" s="300"/>
      <c r="AS611" s="452"/>
    </row>
    <row r="612" spans="1:45" s="299" customFormat="1">
      <c r="A612" s="353">
        <v>330</v>
      </c>
      <c r="B612" s="352">
        <v>200</v>
      </c>
      <c r="C612" s="352">
        <v>100</v>
      </c>
      <c r="D612" s="357">
        <v>500</v>
      </c>
      <c r="E612" s="357"/>
      <c r="F612" s="357"/>
      <c r="G612" s="409" t="s">
        <v>1137</v>
      </c>
      <c r="H612" s="329"/>
      <c r="I612" s="326"/>
      <c r="J612" s="358"/>
      <c r="K612" s="358"/>
      <c r="L612" s="358"/>
      <c r="M612" s="358"/>
      <c r="N612" s="327"/>
      <c r="O612" s="328"/>
      <c r="P612" s="326">
        <v>0</v>
      </c>
      <c r="Q612" s="327"/>
      <c r="R612" s="313">
        <v>203308.13</v>
      </c>
      <c r="S612" s="311">
        <v>8877.2999999999993</v>
      </c>
      <c r="T612" s="311"/>
      <c r="U612" s="311">
        <v>182326.01</v>
      </c>
      <c r="V612" s="311">
        <v>8877.2999999999993</v>
      </c>
      <c r="W612" s="311"/>
      <c r="X612" s="311">
        <v>167300</v>
      </c>
      <c r="Y612" s="1350">
        <f t="shared" si="63"/>
        <v>203308.13</v>
      </c>
      <c r="Z612" s="1357">
        <f t="shared" si="64"/>
        <v>8877.2999999999993</v>
      </c>
      <c r="AA612" s="311">
        <f t="shared" si="65"/>
        <v>0</v>
      </c>
      <c r="AB612" s="311">
        <f t="shared" si="66"/>
        <v>182326.01</v>
      </c>
      <c r="AC612" s="311">
        <f t="shared" si="67"/>
        <v>8877.2999999999993</v>
      </c>
      <c r="AD612" s="311">
        <f t="shared" si="68"/>
        <v>0</v>
      </c>
      <c r="AE612" s="311">
        <f t="shared" si="69"/>
        <v>167300</v>
      </c>
      <c r="AF612" s="355"/>
      <c r="AG612" s="838"/>
      <c r="AH612" s="744"/>
      <c r="AI612" s="292"/>
      <c r="AK612" s="300"/>
      <c r="AS612" s="452"/>
    </row>
    <row r="613" spans="1:45" s="299" customFormat="1">
      <c r="A613" s="353">
        <v>330</v>
      </c>
      <c r="B613" s="352">
        <v>200</v>
      </c>
      <c r="C613" s="352">
        <v>100</v>
      </c>
      <c r="D613" s="352">
        <v>600</v>
      </c>
      <c r="E613" s="352"/>
      <c r="F613" s="352"/>
      <c r="G613" s="411" t="s">
        <v>1120</v>
      </c>
      <c r="H613" s="334"/>
      <c r="I613" s="331"/>
      <c r="J613" s="359"/>
      <c r="K613" s="359"/>
      <c r="L613" s="359"/>
      <c r="M613" s="359"/>
      <c r="N613" s="332"/>
      <c r="O613" s="333"/>
      <c r="P613" s="331">
        <v>0</v>
      </c>
      <c r="Q613" s="332"/>
      <c r="R613" s="531"/>
      <c r="S613" s="415"/>
      <c r="T613" s="415"/>
      <c r="U613" s="415"/>
      <c r="V613" s="415"/>
      <c r="W613" s="415"/>
      <c r="X613" s="415">
        <v>0</v>
      </c>
      <c r="Y613" s="1352">
        <f t="shared" si="63"/>
        <v>0</v>
      </c>
      <c r="Z613" s="1366">
        <f t="shared" si="64"/>
        <v>0</v>
      </c>
      <c r="AA613" s="415">
        <f t="shared" si="65"/>
        <v>0</v>
      </c>
      <c r="AB613" s="415">
        <f t="shared" si="66"/>
        <v>0</v>
      </c>
      <c r="AC613" s="415">
        <f t="shared" si="67"/>
        <v>0</v>
      </c>
      <c r="AD613" s="415">
        <f t="shared" si="68"/>
        <v>0</v>
      </c>
      <c r="AE613" s="415">
        <f t="shared" si="69"/>
        <v>0</v>
      </c>
      <c r="AF613" s="355"/>
      <c r="AG613" s="838"/>
      <c r="AH613" s="744"/>
      <c r="AI613" s="292"/>
      <c r="AK613" s="300"/>
      <c r="AS613" s="452"/>
    </row>
    <row r="614" spans="1:45" s="299" customFormat="1">
      <c r="A614" s="353">
        <v>330</v>
      </c>
      <c r="B614" s="352">
        <v>200</v>
      </c>
      <c r="C614" s="352">
        <v>100</v>
      </c>
      <c r="D614" s="352">
        <v>600</v>
      </c>
      <c r="E614" s="357">
        <v>5</v>
      </c>
      <c r="F614" s="357"/>
      <c r="G614" s="409" t="s">
        <v>1121</v>
      </c>
      <c r="H614" s="329"/>
      <c r="I614" s="326"/>
      <c r="J614" s="358"/>
      <c r="K614" s="358"/>
      <c r="L614" s="358"/>
      <c r="M614" s="358"/>
      <c r="N614" s="327"/>
      <c r="O614" s="328"/>
      <c r="P614" s="326">
        <v>0</v>
      </c>
      <c r="Q614" s="327"/>
      <c r="R614" s="538"/>
      <c r="S614" s="414"/>
      <c r="T614" s="414"/>
      <c r="U614" s="414"/>
      <c r="V614" s="414"/>
      <c r="W614" s="414"/>
      <c r="X614" s="414">
        <v>0</v>
      </c>
      <c r="Y614" s="1350">
        <f t="shared" si="63"/>
        <v>0</v>
      </c>
      <c r="Z614" s="1373">
        <f t="shared" si="64"/>
        <v>0</v>
      </c>
      <c r="AA614" s="414">
        <f t="shared" si="65"/>
        <v>0</v>
      </c>
      <c r="AB614" s="414">
        <f t="shared" si="66"/>
        <v>0</v>
      </c>
      <c r="AC614" s="414">
        <f t="shared" si="67"/>
        <v>0</v>
      </c>
      <c r="AD614" s="414">
        <f t="shared" si="68"/>
        <v>0</v>
      </c>
      <c r="AE614" s="414">
        <f t="shared" si="69"/>
        <v>0</v>
      </c>
      <c r="AF614" s="355"/>
      <c r="AG614" s="838"/>
      <c r="AH614" s="744"/>
      <c r="AI614" s="292"/>
      <c r="AK614" s="300"/>
      <c r="AS614" s="452"/>
    </row>
    <row r="615" spans="1:45" s="299" customFormat="1">
      <c r="A615" s="353">
        <v>330</v>
      </c>
      <c r="B615" s="352">
        <v>200</v>
      </c>
      <c r="C615" s="352">
        <v>100</v>
      </c>
      <c r="D615" s="352">
        <v>600</v>
      </c>
      <c r="E615" s="357">
        <v>10</v>
      </c>
      <c r="F615" s="357"/>
      <c r="G615" s="409" t="s">
        <v>1122</v>
      </c>
      <c r="H615" s="329"/>
      <c r="I615" s="326"/>
      <c r="J615" s="358"/>
      <c r="K615" s="358"/>
      <c r="L615" s="358"/>
      <c r="M615" s="358"/>
      <c r="N615" s="327"/>
      <c r="O615" s="328"/>
      <c r="P615" s="326">
        <v>0</v>
      </c>
      <c r="Q615" s="327"/>
      <c r="R615" s="538"/>
      <c r="S615" s="414"/>
      <c r="T615" s="414"/>
      <c r="U615" s="414"/>
      <c r="V615" s="414"/>
      <c r="W615" s="414"/>
      <c r="X615" s="414">
        <v>0</v>
      </c>
      <c r="Y615" s="1350">
        <f t="shared" si="63"/>
        <v>0</v>
      </c>
      <c r="Z615" s="1373">
        <f t="shared" si="64"/>
        <v>0</v>
      </c>
      <c r="AA615" s="414">
        <f t="shared" si="65"/>
        <v>0</v>
      </c>
      <c r="AB615" s="414">
        <f t="shared" si="66"/>
        <v>0</v>
      </c>
      <c r="AC615" s="414">
        <f t="shared" si="67"/>
        <v>0</v>
      </c>
      <c r="AD615" s="414">
        <f t="shared" si="68"/>
        <v>0</v>
      </c>
      <c r="AE615" s="414">
        <f t="shared" si="69"/>
        <v>0</v>
      </c>
      <c r="AF615" s="355"/>
      <c r="AG615" s="838"/>
      <c r="AH615" s="744"/>
      <c r="AI615" s="292"/>
      <c r="AK615" s="300"/>
      <c r="AS615" s="452"/>
    </row>
    <row r="616" spans="1:45" s="299" customFormat="1">
      <c r="A616" s="353">
        <v>330</v>
      </c>
      <c r="B616" s="352">
        <v>200</v>
      </c>
      <c r="C616" s="352">
        <v>100</v>
      </c>
      <c r="D616" s="352">
        <v>600</v>
      </c>
      <c r="E616" s="357">
        <v>15</v>
      </c>
      <c r="F616" s="357"/>
      <c r="G616" s="409" t="s">
        <v>1151</v>
      </c>
      <c r="H616" s="329"/>
      <c r="I616" s="326"/>
      <c r="J616" s="358"/>
      <c r="K616" s="358"/>
      <c r="L616" s="358"/>
      <c r="M616" s="358"/>
      <c r="N616" s="327"/>
      <c r="O616" s="328"/>
      <c r="P616" s="326">
        <v>0</v>
      </c>
      <c r="Q616" s="327"/>
      <c r="R616" s="532">
        <v>251.35</v>
      </c>
      <c r="S616" s="413"/>
      <c r="T616" s="413"/>
      <c r="U616" s="413">
        <v>351.35</v>
      </c>
      <c r="V616" s="413"/>
      <c r="W616" s="413"/>
      <c r="X616" s="413">
        <v>587</v>
      </c>
      <c r="Y616" s="1350">
        <f t="shared" si="63"/>
        <v>251.35</v>
      </c>
      <c r="Z616" s="1367">
        <f t="shared" si="64"/>
        <v>0</v>
      </c>
      <c r="AA616" s="413">
        <f t="shared" si="65"/>
        <v>0</v>
      </c>
      <c r="AB616" s="413">
        <f t="shared" si="66"/>
        <v>351.35</v>
      </c>
      <c r="AC616" s="413">
        <f t="shared" si="67"/>
        <v>0</v>
      </c>
      <c r="AD616" s="413">
        <f t="shared" si="68"/>
        <v>0</v>
      </c>
      <c r="AE616" s="413">
        <f t="shared" si="69"/>
        <v>587</v>
      </c>
      <c r="AF616" s="355"/>
      <c r="AG616" s="838"/>
      <c r="AH616" s="744"/>
      <c r="AI616" s="292"/>
      <c r="AK616" s="300"/>
      <c r="AS616" s="452"/>
    </row>
    <row r="617" spans="1:45" s="299" customFormat="1">
      <c r="A617" s="353">
        <v>330</v>
      </c>
      <c r="B617" s="352">
        <v>200</v>
      </c>
      <c r="C617" s="352">
        <v>100</v>
      </c>
      <c r="D617" s="357">
        <v>900</v>
      </c>
      <c r="E617" s="357"/>
      <c r="F617" s="357"/>
      <c r="G617" s="409" t="s">
        <v>1140</v>
      </c>
      <c r="H617" s="329"/>
      <c r="I617" s="326"/>
      <c r="J617" s="358"/>
      <c r="K617" s="358"/>
      <c r="L617" s="358"/>
      <c r="M617" s="358"/>
      <c r="N617" s="327"/>
      <c r="O617" s="328"/>
      <c r="P617" s="326">
        <v>0</v>
      </c>
      <c r="Q617" s="327"/>
      <c r="R617" s="313">
        <v>881722.21</v>
      </c>
      <c r="S617" s="311">
        <v>2228.1999999999998</v>
      </c>
      <c r="T617" s="311"/>
      <c r="U617" s="311">
        <v>857323.3600000001</v>
      </c>
      <c r="V617" s="311">
        <v>2228.1999999999998</v>
      </c>
      <c r="W617" s="311">
        <v>4696.88</v>
      </c>
      <c r="X617" s="311">
        <v>904633</v>
      </c>
      <c r="Y617" s="1350">
        <f t="shared" si="63"/>
        <v>881722.21</v>
      </c>
      <c r="Z617" s="1357">
        <f t="shared" si="64"/>
        <v>2228.1999999999998</v>
      </c>
      <c r="AA617" s="311">
        <f t="shared" si="65"/>
        <v>0</v>
      </c>
      <c r="AB617" s="311">
        <f t="shared" si="66"/>
        <v>857323.3600000001</v>
      </c>
      <c r="AC617" s="311">
        <f t="shared" si="67"/>
        <v>2228.1999999999998</v>
      </c>
      <c r="AD617" s="311">
        <f t="shared" si="68"/>
        <v>4696.88</v>
      </c>
      <c r="AE617" s="311">
        <f t="shared" si="69"/>
        <v>904633</v>
      </c>
      <c r="AF617" s="355"/>
      <c r="AG617" s="838"/>
      <c r="AH617" s="744"/>
      <c r="AI617" s="292"/>
      <c r="AK617" s="300"/>
      <c r="AS617" s="452"/>
    </row>
    <row r="618" spans="1:45" s="299" customFormat="1" ht="27.6">
      <c r="A618" s="353">
        <v>330</v>
      </c>
      <c r="B618" s="352">
        <v>200</v>
      </c>
      <c r="C618" s="352">
        <v>200</v>
      </c>
      <c r="D618" s="352"/>
      <c r="E618" s="352"/>
      <c r="F618" s="352"/>
      <c r="G618" s="323" t="s">
        <v>1190</v>
      </c>
      <c r="H618" s="334"/>
      <c r="I618" s="331"/>
      <c r="J618" s="359"/>
      <c r="K618" s="359"/>
      <c r="L618" s="359"/>
      <c r="M618" s="359"/>
      <c r="N618" s="332"/>
      <c r="O618" s="333"/>
      <c r="P618" s="331">
        <v>0</v>
      </c>
      <c r="Q618" s="332"/>
      <c r="R618" s="537"/>
      <c r="S618" s="416"/>
      <c r="T618" s="416"/>
      <c r="U618" s="416">
        <v>0</v>
      </c>
      <c r="V618" s="416"/>
      <c r="W618" s="416"/>
      <c r="X618" s="416">
        <v>0</v>
      </c>
      <c r="Y618" s="1352">
        <f t="shared" si="63"/>
        <v>0</v>
      </c>
      <c r="Z618" s="1372">
        <f t="shared" si="64"/>
        <v>0</v>
      </c>
      <c r="AA618" s="416">
        <f t="shared" si="65"/>
        <v>0</v>
      </c>
      <c r="AB618" s="416">
        <f t="shared" si="66"/>
        <v>0</v>
      </c>
      <c r="AC618" s="416">
        <f t="shared" si="67"/>
        <v>0</v>
      </c>
      <c r="AD618" s="416">
        <f t="shared" si="68"/>
        <v>0</v>
      </c>
      <c r="AE618" s="416">
        <f t="shared" si="69"/>
        <v>0</v>
      </c>
      <c r="AF618" s="355" t="s">
        <v>1191</v>
      </c>
      <c r="AG618" s="838"/>
      <c r="AH618" s="744"/>
      <c r="AI618" s="292"/>
      <c r="AK618" s="300"/>
      <c r="AS618" s="452"/>
    </row>
    <row r="619" spans="1:45" s="299" customFormat="1">
      <c r="A619" s="353">
        <v>330</v>
      </c>
      <c r="B619" s="352">
        <v>200</v>
      </c>
      <c r="C619" s="352">
        <v>200</v>
      </c>
      <c r="D619" s="357">
        <v>100</v>
      </c>
      <c r="E619" s="357"/>
      <c r="F619" s="357"/>
      <c r="G619" s="409" t="s">
        <v>1112</v>
      </c>
      <c r="H619" s="329"/>
      <c r="I619" s="326"/>
      <c r="J619" s="358"/>
      <c r="K619" s="358"/>
      <c r="L619" s="358"/>
      <c r="M619" s="358"/>
      <c r="N619" s="327"/>
      <c r="O619" s="328"/>
      <c r="P619" s="326">
        <v>0</v>
      </c>
      <c r="Q619" s="327"/>
      <c r="R619" s="313">
        <v>40585.53</v>
      </c>
      <c r="S619" s="311"/>
      <c r="T619" s="311"/>
      <c r="U619" s="311">
        <v>40585.53</v>
      </c>
      <c r="V619" s="311"/>
      <c r="W619" s="311"/>
      <c r="X619" s="311">
        <v>42545</v>
      </c>
      <c r="Y619" s="1350">
        <f t="shared" si="63"/>
        <v>40585.53</v>
      </c>
      <c r="Z619" s="1357">
        <f t="shared" si="64"/>
        <v>0</v>
      </c>
      <c r="AA619" s="311">
        <f t="shared" si="65"/>
        <v>0</v>
      </c>
      <c r="AB619" s="311">
        <f t="shared" si="66"/>
        <v>40585.53</v>
      </c>
      <c r="AC619" s="311">
        <f t="shared" si="67"/>
        <v>0</v>
      </c>
      <c r="AD619" s="311">
        <f t="shared" si="68"/>
        <v>0</v>
      </c>
      <c r="AE619" s="311">
        <f t="shared" si="69"/>
        <v>42545</v>
      </c>
      <c r="AF619" s="355"/>
      <c r="AG619" s="838"/>
      <c r="AH619" s="744"/>
      <c r="AI619" s="292"/>
      <c r="AK619" s="300"/>
      <c r="AS619" s="452"/>
    </row>
    <row r="620" spans="1:45" s="299" customFormat="1">
      <c r="A620" s="353">
        <v>330</v>
      </c>
      <c r="B620" s="352">
        <v>200</v>
      </c>
      <c r="C620" s="352">
        <v>200</v>
      </c>
      <c r="D620" s="357">
        <v>200</v>
      </c>
      <c r="E620" s="357"/>
      <c r="F620" s="357"/>
      <c r="G620" s="409" t="s">
        <v>1148</v>
      </c>
      <c r="H620" s="329"/>
      <c r="I620" s="326"/>
      <c r="J620" s="358"/>
      <c r="K620" s="358"/>
      <c r="L620" s="358"/>
      <c r="M620" s="358"/>
      <c r="N620" s="327"/>
      <c r="O620" s="328"/>
      <c r="P620" s="326">
        <v>0</v>
      </c>
      <c r="Q620" s="327"/>
      <c r="R620" s="313">
        <v>247.55</v>
      </c>
      <c r="S620" s="311"/>
      <c r="T620" s="311"/>
      <c r="U620" s="311">
        <v>157.80000000000001</v>
      </c>
      <c r="V620" s="311"/>
      <c r="W620" s="311"/>
      <c r="X620" s="311">
        <v>903</v>
      </c>
      <c r="Y620" s="1350">
        <f t="shared" si="63"/>
        <v>247.55</v>
      </c>
      <c r="Z620" s="1357">
        <f t="shared" si="64"/>
        <v>0</v>
      </c>
      <c r="AA620" s="311">
        <f t="shared" si="65"/>
        <v>0</v>
      </c>
      <c r="AB620" s="311">
        <f t="shared" si="66"/>
        <v>157.80000000000001</v>
      </c>
      <c r="AC620" s="311">
        <f t="shared" si="67"/>
        <v>0</v>
      </c>
      <c r="AD620" s="311">
        <f t="shared" si="68"/>
        <v>0</v>
      </c>
      <c r="AE620" s="311">
        <f t="shared" si="69"/>
        <v>903</v>
      </c>
      <c r="AF620" s="355"/>
      <c r="AG620" s="838"/>
      <c r="AH620" s="744"/>
      <c r="AI620" s="292"/>
      <c r="AK620" s="300"/>
      <c r="AS620" s="452"/>
    </row>
    <row r="621" spans="1:45" s="299" customFormat="1">
      <c r="A621" s="353">
        <v>330</v>
      </c>
      <c r="B621" s="352">
        <v>200</v>
      </c>
      <c r="C621" s="352">
        <v>200</v>
      </c>
      <c r="D621" s="357">
        <v>300</v>
      </c>
      <c r="E621" s="357"/>
      <c r="F621" s="357"/>
      <c r="G621" s="409" t="s">
        <v>1149</v>
      </c>
      <c r="H621" s="329"/>
      <c r="I621" s="326"/>
      <c r="J621" s="358"/>
      <c r="K621" s="358"/>
      <c r="L621" s="358"/>
      <c r="M621" s="358"/>
      <c r="N621" s="327"/>
      <c r="O621" s="328"/>
      <c r="P621" s="326">
        <v>0</v>
      </c>
      <c r="Q621" s="327"/>
      <c r="R621" s="313">
        <v>375.62</v>
      </c>
      <c r="S621" s="311"/>
      <c r="T621" s="311"/>
      <c r="U621" s="311">
        <v>21419.62</v>
      </c>
      <c r="V621" s="311"/>
      <c r="W621" s="311"/>
      <c r="X621" s="311">
        <v>21804</v>
      </c>
      <c r="Y621" s="1350">
        <f t="shared" si="63"/>
        <v>375.62</v>
      </c>
      <c r="Z621" s="1357">
        <f t="shared" si="64"/>
        <v>0</v>
      </c>
      <c r="AA621" s="311">
        <f t="shared" si="65"/>
        <v>0</v>
      </c>
      <c r="AB621" s="311">
        <f t="shared" si="66"/>
        <v>21419.62</v>
      </c>
      <c r="AC621" s="311">
        <f t="shared" si="67"/>
        <v>0</v>
      </c>
      <c r="AD621" s="311">
        <f t="shared" si="68"/>
        <v>0</v>
      </c>
      <c r="AE621" s="311">
        <f t="shared" si="69"/>
        <v>21804</v>
      </c>
      <c r="AF621" s="355"/>
      <c r="AG621" s="838"/>
      <c r="AH621" s="744"/>
      <c r="AI621" s="292"/>
      <c r="AK621" s="300"/>
      <c r="AS621" s="452"/>
    </row>
    <row r="622" spans="1:45" s="299" customFormat="1">
      <c r="A622" s="353">
        <v>330</v>
      </c>
      <c r="B622" s="352">
        <v>200</v>
      </c>
      <c r="C622" s="352">
        <v>200</v>
      </c>
      <c r="D622" s="357">
        <v>400</v>
      </c>
      <c r="E622" s="357"/>
      <c r="F622" s="357"/>
      <c r="G622" s="409" t="s">
        <v>1150</v>
      </c>
      <c r="H622" s="329"/>
      <c r="I622" s="326"/>
      <c r="J622" s="358"/>
      <c r="K622" s="358"/>
      <c r="L622" s="358"/>
      <c r="M622" s="358"/>
      <c r="N622" s="327"/>
      <c r="O622" s="328"/>
      <c r="P622" s="326">
        <v>0</v>
      </c>
      <c r="Q622" s="327"/>
      <c r="R622" s="313">
        <v>6215.32</v>
      </c>
      <c r="S622" s="311"/>
      <c r="T622" s="311"/>
      <c r="U622" s="311">
        <v>85798.469999999987</v>
      </c>
      <c r="V622" s="311"/>
      <c r="W622" s="311"/>
      <c r="X622" s="311">
        <v>3606</v>
      </c>
      <c r="Y622" s="1350">
        <f t="shared" si="63"/>
        <v>6215.32</v>
      </c>
      <c r="Z622" s="1357">
        <f t="shared" si="64"/>
        <v>0</v>
      </c>
      <c r="AA622" s="311">
        <f t="shared" si="65"/>
        <v>0</v>
      </c>
      <c r="AB622" s="311">
        <f t="shared" si="66"/>
        <v>85798.469999999987</v>
      </c>
      <c r="AC622" s="311">
        <f t="shared" si="67"/>
        <v>0</v>
      </c>
      <c r="AD622" s="311">
        <f t="shared" si="68"/>
        <v>0</v>
      </c>
      <c r="AE622" s="311">
        <f t="shared" si="69"/>
        <v>3606</v>
      </c>
      <c r="AF622" s="355"/>
      <c r="AG622" s="838"/>
      <c r="AH622" s="744"/>
      <c r="AI622" s="292"/>
      <c r="AK622" s="300"/>
      <c r="AS622" s="452"/>
    </row>
    <row r="623" spans="1:45" s="299" customFormat="1">
      <c r="A623" s="353">
        <v>330</v>
      </c>
      <c r="B623" s="352">
        <v>200</v>
      </c>
      <c r="C623" s="352">
        <v>200</v>
      </c>
      <c r="D623" s="357">
        <v>500</v>
      </c>
      <c r="E623" s="357"/>
      <c r="F623" s="357"/>
      <c r="G623" s="409" t="s">
        <v>1137</v>
      </c>
      <c r="H623" s="329"/>
      <c r="I623" s="326"/>
      <c r="J623" s="358"/>
      <c r="K623" s="358"/>
      <c r="L623" s="358"/>
      <c r="M623" s="358"/>
      <c r="N623" s="327"/>
      <c r="O623" s="328"/>
      <c r="P623" s="326">
        <v>0</v>
      </c>
      <c r="Q623" s="327"/>
      <c r="R623" s="313">
        <v>761.95</v>
      </c>
      <c r="S623" s="311">
        <v>46.35</v>
      </c>
      <c r="T623" s="311"/>
      <c r="U623" s="311">
        <v>17249.64</v>
      </c>
      <c r="V623" s="311">
        <v>46.35</v>
      </c>
      <c r="W623" s="311"/>
      <c r="X623" s="311">
        <v>8805</v>
      </c>
      <c r="Y623" s="1350">
        <f t="shared" si="63"/>
        <v>761.95</v>
      </c>
      <c r="Z623" s="1357">
        <f t="shared" si="64"/>
        <v>46.35</v>
      </c>
      <c r="AA623" s="311">
        <f t="shared" si="65"/>
        <v>0</v>
      </c>
      <c r="AB623" s="311">
        <f t="shared" si="66"/>
        <v>17249.64</v>
      </c>
      <c r="AC623" s="311">
        <f t="shared" si="67"/>
        <v>46.35</v>
      </c>
      <c r="AD623" s="311">
        <f t="shared" si="68"/>
        <v>0</v>
      </c>
      <c r="AE623" s="311">
        <f t="shared" si="69"/>
        <v>8805</v>
      </c>
      <c r="AF623" s="355"/>
      <c r="AG623" s="838"/>
      <c r="AH623" s="744"/>
      <c r="AI623" s="292"/>
      <c r="AK623" s="300"/>
      <c r="AS623" s="452"/>
    </row>
    <row r="624" spans="1:45" s="299" customFormat="1">
      <c r="A624" s="353">
        <v>330</v>
      </c>
      <c r="B624" s="352">
        <v>200</v>
      </c>
      <c r="C624" s="352">
        <v>200</v>
      </c>
      <c r="D624" s="352">
        <v>600</v>
      </c>
      <c r="E624" s="352"/>
      <c r="F624" s="352"/>
      <c r="G624" s="411" t="s">
        <v>1120</v>
      </c>
      <c r="H624" s="334"/>
      <c r="I624" s="331"/>
      <c r="J624" s="359"/>
      <c r="K624" s="359"/>
      <c r="L624" s="359"/>
      <c r="M624" s="359"/>
      <c r="N624" s="332"/>
      <c r="O624" s="333"/>
      <c r="P624" s="331">
        <v>0</v>
      </c>
      <c r="Q624" s="332"/>
      <c r="R624" s="531"/>
      <c r="S624" s="415"/>
      <c r="T624" s="415"/>
      <c r="U624" s="415"/>
      <c r="V624" s="415"/>
      <c r="W624" s="415"/>
      <c r="X624" s="415">
        <v>0</v>
      </c>
      <c r="Y624" s="1352">
        <f t="shared" si="63"/>
        <v>0</v>
      </c>
      <c r="Z624" s="1366">
        <f t="shared" si="64"/>
        <v>0</v>
      </c>
      <c r="AA624" s="415">
        <f t="shared" si="65"/>
        <v>0</v>
      </c>
      <c r="AB624" s="415">
        <f t="shared" si="66"/>
        <v>0</v>
      </c>
      <c r="AC624" s="415">
        <f t="shared" si="67"/>
        <v>0</v>
      </c>
      <c r="AD624" s="415">
        <f t="shared" si="68"/>
        <v>0</v>
      </c>
      <c r="AE624" s="415">
        <f t="shared" si="69"/>
        <v>0</v>
      </c>
      <c r="AF624" s="355"/>
      <c r="AG624" s="838"/>
      <c r="AH624" s="744"/>
      <c r="AI624" s="292"/>
      <c r="AK624" s="300"/>
      <c r="AS624" s="452"/>
    </row>
    <row r="625" spans="1:45" s="299" customFormat="1">
      <c r="A625" s="353">
        <v>330</v>
      </c>
      <c r="B625" s="352">
        <v>200</v>
      </c>
      <c r="C625" s="352">
        <v>200</v>
      </c>
      <c r="D625" s="352">
        <v>600</v>
      </c>
      <c r="E625" s="357">
        <v>5</v>
      </c>
      <c r="F625" s="357"/>
      <c r="G625" s="409" t="s">
        <v>1121</v>
      </c>
      <c r="H625" s="329"/>
      <c r="I625" s="326"/>
      <c r="J625" s="358"/>
      <c r="K625" s="358"/>
      <c r="L625" s="358"/>
      <c r="M625" s="358"/>
      <c r="N625" s="327"/>
      <c r="O625" s="328"/>
      <c r="P625" s="326">
        <v>0</v>
      </c>
      <c r="Q625" s="327"/>
      <c r="R625" s="313"/>
      <c r="S625" s="311"/>
      <c r="T625" s="311"/>
      <c r="U625" s="311"/>
      <c r="V625" s="311"/>
      <c r="W625" s="311"/>
      <c r="X625" s="311">
        <v>0</v>
      </c>
      <c r="Y625" s="1350">
        <f t="shared" si="63"/>
        <v>0</v>
      </c>
      <c r="Z625" s="1357">
        <f t="shared" si="64"/>
        <v>0</v>
      </c>
      <c r="AA625" s="311">
        <f t="shared" si="65"/>
        <v>0</v>
      </c>
      <c r="AB625" s="311">
        <f t="shared" si="66"/>
        <v>0</v>
      </c>
      <c r="AC625" s="311">
        <f t="shared" si="67"/>
        <v>0</v>
      </c>
      <c r="AD625" s="311">
        <f t="shared" si="68"/>
        <v>0</v>
      </c>
      <c r="AE625" s="311">
        <f t="shared" si="69"/>
        <v>0</v>
      </c>
      <c r="AF625" s="355"/>
      <c r="AG625" s="838"/>
      <c r="AH625" s="744"/>
      <c r="AI625" s="292"/>
      <c r="AK625" s="300"/>
      <c r="AS625" s="452"/>
    </row>
    <row r="626" spans="1:45" s="299" customFormat="1">
      <c r="A626" s="353">
        <v>330</v>
      </c>
      <c r="B626" s="352">
        <v>200</v>
      </c>
      <c r="C626" s="352">
        <v>200</v>
      </c>
      <c r="D626" s="352">
        <v>600</v>
      </c>
      <c r="E626" s="357">
        <v>10</v>
      </c>
      <c r="F626" s="357"/>
      <c r="G626" s="409" t="s">
        <v>1122</v>
      </c>
      <c r="H626" s="329"/>
      <c r="I626" s="326"/>
      <c r="J626" s="358"/>
      <c r="K626" s="358"/>
      <c r="L626" s="358"/>
      <c r="M626" s="358"/>
      <c r="N626" s="327"/>
      <c r="O626" s="328"/>
      <c r="P626" s="326">
        <v>0</v>
      </c>
      <c r="Q626" s="327"/>
      <c r="R626" s="313"/>
      <c r="S626" s="311"/>
      <c r="T626" s="311"/>
      <c r="U626" s="311"/>
      <c r="V626" s="311"/>
      <c r="W626" s="311"/>
      <c r="X626" s="311">
        <v>0</v>
      </c>
      <c r="Y626" s="1350">
        <f t="shared" si="63"/>
        <v>0</v>
      </c>
      <c r="Z626" s="1357">
        <f t="shared" si="64"/>
        <v>0</v>
      </c>
      <c r="AA626" s="311">
        <f t="shared" si="65"/>
        <v>0</v>
      </c>
      <c r="AB626" s="311">
        <f t="shared" si="66"/>
        <v>0</v>
      </c>
      <c r="AC626" s="311">
        <f t="shared" si="67"/>
        <v>0</v>
      </c>
      <c r="AD626" s="311">
        <f t="shared" si="68"/>
        <v>0</v>
      </c>
      <c r="AE626" s="311">
        <f t="shared" si="69"/>
        <v>0</v>
      </c>
      <c r="AF626" s="355"/>
      <c r="AG626" s="838"/>
      <c r="AH626" s="744"/>
      <c r="AI626" s="292"/>
      <c r="AK626" s="300"/>
      <c r="AS626" s="452"/>
    </row>
    <row r="627" spans="1:45" s="299" customFormat="1">
      <c r="A627" s="353">
        <v>330</v>
      </c>
      <c r="B627" s="352">
        <v>200</v>
      </c>
      <c r="C627" s="352">
        <v>200</v>
      </c>
      <c r="D627" s="352">
        <v>600</v>
      </c>
      <c r="E627" s="357">
        <v>15</v>
      </c>
      <c r="F627" s="357"/>
      <c r="G627" s="409" t="s">
        <v>1151</v>
      </c>
      <c r="H627" s="329"/>
      <c r="I627" s="326"/>
      <c r="J627" s="358"/>
      <c r="K627" s="358"/>
      <c r="L627" s="358"/>
      <c r="M627" s="358"/>
      <c r="N627" s="327"/>
      <c r="O627" s="328"/>
      <c r="P627" s="326">
        <v>0</v>
      </c>
      <c r="Q627" s="327"/>
      <c r="R627" s="532"/>
      <c r="S627" s="413"/>
      <c r="T627" s="413"/>
      <c r="U627" s="413"/>
      <c r="V627" s="413"/>
      <c r="W627" s="413"/>
      <c r="X627" s="413">
        <v>0</v>
      </c>
      <c r="Y627" s="1350">
        <f t="shared" si="63"/>
        <v>0</v>
      </c>
      <c r="Z627" s="1367">
        <f t="shared" si="64"/>
        <v>0</v>
      </c>
      <c r="AA627" s="413">
        <f t="shared" si="65"/>
        <v>0</v>
      </c>
      <c r="AB627" s="413">
        <f t="shared" si="66"/>
        <v>0</v>
      </c>
      <c r="AC627" s="413">
        <f t="shared" si="67"/>
        <v>0</v>
      </c>
      <c r="AD627" s="413">
        <f t="shared" si="68"/>
        <v>0</v>
      </c>
      <c r="AE627" s="413">
        <f t="shared" si="69"/>
        <v>0</v>
      </c>
      <c r="AF627" s="355"/>
      <c r="AG627" s="838"/>
      <c r="AH627" s="744"/>
      <c r="AI627" s="292"/>
      <c r="AK627" s="300"/>
      <c r="AS627" s="452"/>
    </row>
    <row r="628" spans="1:45" s="299" customFormat="1">
      <c r="A628" s="353">
        <v>330</v>
      </c>
      <c r="B628" s="352">
        <v>200</v>
      </c>
      <c r="C628" s="352">
        <v>200</v>
      </c>
      <c r="D628" s="357">
        <v>900</v>
      </c>
      <c r="E628" s="357"/>
      <c r="F628" s="357"/>
      <c r="G628" s="409" t="s">
        <v>1140</v>
      </c>
      <c r="H628" s="329"/>
      <c r="I628" s="326"/>
      <c r="J628" s="358"/>
      <c r="K628" s="358"/>
      <c r="L628" s="358"/>
      <c r="M628" s="358"/>
      <c r="N628" s="327"/>
      <c r="O628" s="328"/>
      <c r="P628" s="326">
        <v>0</v>
      </c>
      <c r="Q628" s="327"/>
      <c r="R628" s="313">
        <v>15108.21</v>
      </c>
      <c r="S628" s="311">
        <v>11.65</v>
      </c>
      <c r="T628" s="311"/>
      <c r="U628" s="311">
        <v>25885.54</v>
      </c>
      <c r="V628" s="311">
        <v>11.65</v>
      </c>
      <c r="W628" s="311"/>
      <c r="X628" s="311">
        <v>24469</v>
      </c>
      <c r="Y628" s="1350">
        <f t="shared" si="63"/>
        <v>15108.21</v>
      </c>
      <c r="Z628" s="1357">
        <f t="shared" si="64"/>
        <v>11.65</v>
      </c>
      <c r="AA628" s="311">
        <f t="shared" si="65"/>
        <v>0</v>
      </c>
      <c r="AB628" s="311">
        <f t="shared" si="66"/>
        <v>25885.54</v>
      </c>
      <c r="AC628" s="311">
        <f t="shared" si="67"/>
        <v>11.65</v>
      </c>
      <c r="AD628" s="311">
        <f t="shared" si="68"/>
        <v>0</v>
      </c>
      <c r="AE628" s="311">
        <f t="shared" si="69"/>
        <v>24469</v>
      </c>
      <c r="AF628" s="355"/>
      <c r="AG628" s="838"/>
      <c r="AH628" s="744"/>
      <c r="AI628" s="292"/>
      <c r="AK628" s="300"/>
      <c r="AS628" s="452"/>
    </row>
    <row r="629" spans="1:45" s="292" customFormat="1" ht="27.6">
      <c r="A629" s="353">
        <v>330</v>
      </c>
      <c r="B629" s="352">
        <v>200</v>
      </c>
      <c r="C629" s="357">
        <v>300</v>
      </c>
      <c r="D629" s="357"/>
      <c r="E629" s="357"/>
      <c r="F629" s="357"/>
      <c r="G629" s="323" t="s">
        <v>1192</v>
      </c>
      <c r="H629" s="329"/>
      <c r="I629" s="326"/>
      <c r="J629" s="358"/>
      <c r="K629" s="358"/>
      <c r="L629" s="358"/>
      <c r="M629" s="358"/>
      <c r="N629" s="327"/>
      <c r="O629" s="328"/>
      <c r="P629" s="326">
        <v>0</v>
      </c>
      <c r="Q629" s="327"/>
      <c r="R629" s="313"/>
      <c r="S629" s="311"/>
      <c r="T629" s="311"/>
      <c r="U629" s="311"/>
      <c r="V629" s="311"/>
      <c r="W629" s="311"/>
      <c r="X629" s="311">
        <v>0</v>
      </c>
      <c r="Y629" s="1350">
        <f t="shared" si="63"/>
        <v>0</v>
      </c>
      <c r="Z629" s="1357">
        <f t="shared" si="64"/>
        <v>0</v>
      </c>
      <c r="AA629" s="311">
        <f t="shared" si="65"/>
        <v>0</v>
      </c>
      <c r="AB629" s="311">
        <f t="shared" si="66"/>
        <v>0</v>
      </c>
      <c r="AC629" s="311">
        <f t="shared" si="67"/>
        <v>0</v>
      </c>
      <c r="AD629" s="311">
        <f t="shared" si="68"/>
        <v>0</v>
      </c>
      <c r="AE629" s="311">
        <f t="shared" si="69"/>
        <v>0</v>
      </c>
      <c r="AF629" s="355" t="s">
        <v>1193</v>
      </c>
      <c r="AG629" s="838"/>
      <c r="AH629" s="744"/>
      <c r="AK629" s="293"/>
      <c r="AS629" s="744"/>
    </row>
    <row r="630" spans="1:45" s="299" customFormat="1">
      <c r="A630" s="338">
        <v>335</v>
      </c>
      <c r="B630" s="337">
        <v>0</v>
      </c>
      <c r="C630" s="337">
        <v>0</v>
      </c>
      <c r="D630" s="337">
        <v>0</v>
      </c>
      <c r="E630" s="337">
        <v>0</v>
      </c>
      <c r="F630" s="337">
        <v>0</v>
      </c>
      <c r="G630" s="391" t="s">
        <v>1194</v>
      </c>
      <c r="H630" s="334"/>
      <c r="I630" s="331"/>
      <c r="J630" s="359"/>
      <c r="K630" s="359"/>
      <c r="L630" s="359"/>
      <c r="M630" s="359"/>
      <c r="N630" s="332"/>
      <c r="O630" s="333"/>
      <c r="P630" s="331">
        <v>0</v>
      </c>
      <c r="Q630" s="332"/>
      <c r="R630" s="539"/>
      <c r="S630" s="417"/>
      <c r="T630" s="417"/>
      <c r="U630" s="417"/>
      <c r="V630" s="417"/>
      <c r="W630" s="417"/>
      <c r="X630" s="417"/>
      <c r="Y630" s="1352">
        <f t="shared" si="63"/>
        <v>0</v>
      </c>
      <c r="Z630" s="1376">
        <f t="shared" si="64"/>
        <v>0</v>
      </c>
      <c r="AA630" s="417">
        <f t="shared" si="65"/>
        <v>0</v>
      </c>
      <c r="AB630" s="417">
        <f t="shared" si="66"/>
        <v>0</v>
      </c>
      <c r="AC630" s="417">
        <f t="shared" si="67"/>
        <v>0</v>
      </c>
      <c r="AD630" s="417">
        <f t="shared" si="68"/>
        <v>0</v>
      </c>
      <c r="AE630" s="417">
        <f t="shared" si="69"/>
        <v>0</v>
      </c>
      <c r="AF630" s="330" t="s">
        <v>1195</v>
      </c>
      <c r="AG630" s="837"/>
      <c r="AH630" s="744">
        <f>SUM(Y630:Y676)</f>
        <v>2924818.5900000003</v>
      </c>
      <c r="AI630" s="292" t="s">
        <v>2268</v>
      </c>
      <c r="AK630" s="300"/>
      <c r="AS630" s="452"/>
    </row>
    <row r="631" spans="1:45" s="299" customFormat="1" ht="27.6">
      <c r="A631" s="353">
        <v>335</v>
      </c>
      <c r="B631" s="352">
        <v>100</v>
      </c>
      <c r="C631" s="352"/>
      <c r="D631" s="352"/>
      <c r="E631" s="352"/>
      <c r="F631" s="352"/>
      <c r="G631" s="323" t="s">
        <v>1196</v>
      </c>
      <c r="H631" s="334"/>
      <c r="I631" s="331"/>
      <c r="J631" s="359"/>
      <c r="K631" s="359"/>
      <c r="L631" s="359"/>
      <c r="M631" s="359"/>
      <c r="N631" s="332"/>
      <c r="O631" s="333"/>
      <c r="P631" s="331">
        <v>0</v>
      </c>
      <c r="Q631" s="332"/>
      <c r="R631" s="537"/>
      <c r="S631" s="416"/>
      <c r="T631" s="416"/>
      <c r="U631" s="416"/>
      <c r="V631" s="416"/>
      <c r="W631" s="416"/>
      <c r="X631" s="416"/>
      <c r="Y631" s="1352">
        <f t="shared" si="63"/>
        <v>0</v>
      </c>
      <c r="Z631" s="1372">
        <f t="shared" si="64"/>
        <v>0</v>
      </c>
      <c r="AA631" s="416">
        <f t="shared" si="65"/>
        <v>0</v>
      </c>
      <c r="AB631" s="416">
        <f t="shared" si="66"/>
        <v>0</v>
      </c>
      <c r="AC631" s="416">
        <f t="shared" si="67"/>
        <v>0</v>
      </c>
      <c r="AD631" s="416">
        <f t="shared" si="68"/>
        <v>0</v>
      </c>
      <c r="AE631" s="416">
        <f t="shared" si="69"/>
        <v>0</v>
      </c>
      <c r="AF631" s="355" t="s">
        <v>1197</v>
      </c>
      <c r="AG631" s="838"/>
      <c r="AH631" s="744"/>
      <c r="AI631" s="292"/>
      <c r="AK631" s="300"/>
      <c r="AS631" s="452"/>
    </row>
    <row r="632" spans="1:45" s="299" customFormat="1" ht="41.4">
      <c r="A632" s="353">
        <v>335</v>
      </c>
      <c r="B632" s="352">
        <v>100</v>
      </c>
      <c r="C632" s="352">
        <v>100</v>
      </c>
      <c r="D632" s="352"/>
      <c r="E632" s="352"/>
      <c r="F632" s="352"/>
      <c r="G632" s="323" t="s">
        <v>1198</v>
      </c>
      <c r="H632" s="334"/>
      <c r="I632" s="331"/>
      <c r="J632" s="359"/>
      <c r="K632" s="359"/>
      <c r="L632" s="359"/>
      <c r="M632" s="359"/>
      <c r="N632" s="332"/>
      <c r="O632" s="333"/>
      <c r="P632" s="331">
        <v>0</v>
      </c>
      <c r="Q632" s="332"/>
      <c r="R632" s="537"/>
      <c r="S632" s="416"/>
      <c r="T632" s="416"/>
      <c r="U632" s="416"/>
      <c r="V632" s="416"/>
      <c r="W632" s="416"/>
      <c r="X632" s="416"/>
      <c r="Y632" s="1352">
        <f t="shared" si="63"/>
        <v>0</v>
      </c>
      <c r="Z632" s="1372">
        <f t="shared" si="64"/>
        <v>0</v>
      </c>
      <c r="AA632" s="416">
        <f t="shared" si="65"/>
        <v>0</v>
      </c>
      <c r="AB632" s="416">
        <f t="shared" si="66"/>
        <v>0</v>
      </c>
      <c r="AC632" s="416">
        <f t="shared" si="67"/>
        <v>0</v>
      </c>
      <c r="AD632" s="416">
        <f t="shared" si="68"/>
        <v>0</v>
      </c>
      <c r="AE632" s="416">
        <f t="shared" si="69"/>
        <v>0</v>
      </c>
      <c r="AF632" s="355" t="s">
        <v>1199</v>
      </c>
      <c r="AG632" s="838"/>
      <c r="AH632" s="744"/>
      <c r="AI632" s="292"/>
      <c r="AK632" s="300"/>
      <c r="AS632" s="452"/>
    </row>
    <row r="633" spans="1:45" s="299" customFormat="1">
      <c r="A633" s="353">
        <v>335</v>
      </c>
      <c r="B633" s="352">
        <v>100</v>
      </c>
      <c r="C633" s="352">
        <v>100</v>
      </c>
      <c r="D633" s="357">
        <v>100</v>
      </c>
      <c r="E633" s="357"/>
      <c r="F633" s="357"/>
      <c r="G633" s="409" t="s">
        <v>1112</v>
      </c>
      <c r="H633" s="329"/>
      <c r="I633" s="326"/>
      <c r="J633" s="358"/>
      <c r="K633" s="358"/>
      <c r="L633" s="358"/>
      <c r="M633" s="358"/>
      <c r="N633" s="327"/>
      <c r="O633" s="328"/>
      <c r="P633" s="326">
        <v>0</v>
      </c>
      <c r="Q633" s="327"/>
      <c r="R633" s="313">
        <v>180996.06</v>
      </c>
      <c r="S633" s="311"/>
      <c r="T633" s="311"/>
      <c r="U633" s="311">
        <v>180996.07</v>
      </c>
      <c r="V633" s="311"/>
      <c r="W633" s="311"/>
      <c r="X633" s="311">
        <v>176529</v>
      </c>
      <c r="Y633" s="1350">
        <f t="shared" si="63"/>
        <v>180996.06</v>
      </c>
      <c r="Z633" s="1357">
        <f t="shared" si="64"/>
        <v>0</v>
      </c>
      <c r="AA633" s="311">
        <f t="shared" si="65"/>
        <v>0</v>
      </c>
      <c r="AB633" s="311">
        <f t="shared" si="66"/>
        <v>180996.07</v>
      </c>
      <c r="AC633" s="311">
        <f t="shared" si="67"/>
        <v>0</v>
      </c>
      <c r="AD633" s="311">
        <f t="shared" si="68"/>
        <v>0</v>
      </c>
      <c r="AE633" s="311">
        <f t="shared" si="69"/>
        <v>176529</v>
      </c>
      <c r="AF633" s="355"/>
      <c r="AG633" s="838"/>
      <c r="AH633" s="744"/>
      <c r="AI633" s="292"/>
      <c r="AK633" s="300"/>
      <c r="AS633" s="452"/>
    </row>
    <row r="634" spans="1:45" s="299" customFormat="1">
      <c r="A634" s="353">
        <v>335</v>
      </c>
      <c r="B634" s="352">
        <v>100</v>
      </c>
      <c r="C634" s="352">
        <v>100</v>
      </c>
      <c r="D634" s="357">
        <v>200</v>
      </c>
      <c r="E634" s="357"/>
      <c r="F634" s="357"/>
      <c r="G634" s="409" t="s">
        <v>1113</v>
      </c>
      <c r="H634" s="329"/>
      <c r="I634" s="326"/>
      <c r="J634" s="358"/>
      <c r="K634" s="358"/>
      <c r="L634" s="358"/>
      <c r="M634" s="358"/>
      <c r="N634" s="327"/>
      <c r="O634" s="328"/>
      <c r="P634" s="326">
        <v>0</v>
      </c>
      <c r="Q634" s="327"/>
      <c r="R634" s="313">
        <v>79463.179999999993</v>
      </c>
      <c r="S634" s="311"/>
      <c r="T634" s="311"/>
      <c r="U634" s="311">
        <v>63279.06</v>
      </c>
      <c r="V634" s="311"/>
      <c r="W634" s="311"/>
      <c r="X634" s="311">
        <v>57041</v>
      </c>
      <c r="Y634" s="1350">
        <f t="shared" si="63"/>
        <v>79463.179999999993</v>
      </c>
      <c r="Z634" s="1357">
        <f t="shared" si="64"/>
        <v>0</v>
      </c>
      <c r="AA634" s="311">
        <f t="shared" si="65"/>
        <v>0</v>
      </c>
      <c r="AB634" s="311">
        <f t="shared" si="66"/>
        <v>63279.06</v>
      </c>
      <c r="AC634" s="311">
        <f t="shared" si="67"/>
        <v>0</v>
      </c>
      <c r="AD634" s="311">
        <f t="shared" si="68"/>
        <v>0</v>
      </c>
      <c r="AE634" s="311">
        <f t="shared" si="69"/>
        <v>57041</v>
      </c>
      <c r="AF634" s="355"/>
      <c r="AG634" s="838"/>
      <c r="AH634" s="744"/>
      <c r="AI634" s="292"/>
      <c r="AK634" s="300"/>
      <c r="AS634" s="452"/>
    </row>
    <row r="635" spans="1:45" s="299" customFormat="1">
      <c r="A635" s="353">
        <v>335</v>
      </c>
      <c r="B635" s="352">
        <v>100</v>
      </c>
      <c r="C635" s="352">
        <v>100</v>
      </c>
      <c r="D635" s="357">
        <v>300</v>
      </c>
      <c r="E635" s="357"/>
      <c r="F635" s="357"/>
      <c r="G635" s="409" t="s">
        <v>1136</v>
      </c>
      <c r="H635" s="329"/>
      <c r="I635" s="326"/>
      <c r="J635" s="358"/>
      <c r="K635" s="358"/>
      <c r="L635" s="358"/>
      <c r="M635" s="358"/>
      <c r="N635" s="327"/>
      <c r="O635" s="328"/>
      <c r="P635" s="326">
        <v>0</v>
      </c>
      <c r="Q635" s="327"/>
      <c r="R635" s="313">
        <v>17704.689999999999</v>
      </c>
      <c r="S635" s="311"/>
      <c r="T635" s="311"/>
      <c r="U635" s="311">
        <v>34636.770000000004</v>
      </c>
      <c r="V635" s="311"/>
      <c r="W635" s="311"/>
      <c r="X635" s="311">
        <v>2227</v>
      </c>
      <c r="Y635" s="1350">
        <f t="shared" si="63"/>
        <v>17704.689999999999</v>
      </c>
      <c r="Z635" s="1357">
        <f t="shared" si="64"/>
        <v>0</v>
      </c>
      <c r="AA635" s="311">
        <f t="shared" si="65"/>
        <v>0</v>
      </c>
      <c r="AB635" s="311">
        <f t="shared" si="66"/>
        <v>34636.770000000004</v>
      </c>
      <c r="AC635" s="311">
        <f t="shared" si="67"/>
        <v>0</v>
      </c>
      <c r="AD635" s="311">
        <f t="shared" si="68"/>
        <v>0</v>
      </c>
      <c r="AE635" s="311">
        <f t="shared" si="69"/>
        <v>2227</v>
      </c>
      <c r="AF635" s="355"/>
      <c r="AG635" s="838"/>
      <c r="AH635" s="744"/>
      <c r="AI635" s="292"/>
      <c r="AK635" s="300"/>
      <c r="AS635" s="452"/>
    </row>
    <row r="636" spans="1:45" s="299" customFormat="1">
      <c r="A636" s="353">
        <v>335</v>
      </c>
      <c r="B636" s="352">
        <v>100</v>
      </c>
      <c r="C636" s="352">
        <v>100</v>
      </c>
      <c r="D636" s="357">
        <v>400</v>
      </c>
      <c r="E636" s="357"/>
      <c r="F636" s="357"/>
      <c r="G636" s="409" t="s">
        <v>1137</v>
      </c>
      <c r="H636" s="329"/>
      <c r="I636" s="326"/>
      <c r="J636" s="358"/>
      <c r="K636" s="358"/>
      <c r="L636" s="358"/>
      <c r="M636" s="358"/>
      <c r="N636" s="327"/>
      <c r="O636" s="328"/>
      <c r="P636" s="326">
        <v>0</v>
      </c>
      <c r="Q636" s="327"/>
      <c r="R636" s="532">
        <v>1291.05</v>
      </c>
      <c r="S636" s="413"/>
      <c r="T636" s="413"/>
      <c r="U636" s="413">
        <v>18.5</v>
      </c>
      <c r="V636" s="413"/>
      <c r="W636" s="413"/>
      <c r="X636" s="413">
        <v>0</v>
      </c>
      <c r="Y636" s="1350">
        <f t="shared" si="63"/>
        <v>1291.05</v>
      </c>
      <c r="Z636" s="1367">
        <f t="shared" si="64"/>
        <v>0</v>
      </c>
      <c r="AA636" s="413">
        <f t="shared" si="65"/>
        <v>0</v>
      </c>
      <c r="AB636" s="413">
        <f t="shared" si="66"/>
        <v>18.5</v>
      </c>
      <c r="AC636" s="413">
        <f t="shared" si="67"/>
        <v>0</v>
      </c>
      <c r="AD636" s="413">
        <f t="shared" si="68"/>
        <v>0</v>
      </c>
      <c r="AE636" s="413">
        <f t="shared" si="69"/>
        <v>0</v>
      </c>
      <c r="AF636" s="355"/>
      <c r="AG636" s="838"/>
      <c r="AH636" s="744"/>
      <c r="AI636" s="292"/>
      <c r="AK636" s="300"/>
      <c r="AS636" s="452"/>
    </row>
    <row r="637" spans="1:45" s="299" customFormat="1">
      <c r="A637" s="353">
        <v>335</v>
      </c>
      <c r="B637" s="352">
        <v>100</v>
      </c>
      <c r="C637" s="352">
        <v>100</v>
      </c>
      <c r="D637" s="352">
        <v>500</v>
      </c>
      <c r="E637" s="352"/>
      <c r="F637" s="352"/>
      <c r="G637" s="411" t="s">
        <v>1120</v>
      </c>
      <c r="H637" s="334"/>
      <c r="I637" s="331"/>
      <c r="J637" s="359"/>
      <c r="K637" s="359"/>
      <c r="L637" s="359"/>
      <c r="M637" s="359"/>
      <c r="N637" s="332"/>
      <c r="O637" s="333"/>
      <c r="P637" s="331">
        <v>0</v>
      </c>
      <c r="Q637" s="332"/>
      <c r="R637" s="531"/>
      <c r="S637" s="415"/>
      <c r="T637" s="415"/>
      <c r="U637" s="415"/>
      <c r="V637" s="415"/>
      <c r="W637" s="415"/>
      <c r="X637" s="415">
        <v>0</v>
      </c>
      <c r="Y637" s="1352">
        <f t="shared" si="63"/>
        <v>0</v>
      </c>
      <c r="Z637" s="1366">
        <f t="shared" si="64"/>
        <v>0</v>
      </c>
      <c r="AA637" s="415">
        <f t="shared" si="65"/>
        <v>0</v>
      </c>
      <c r="AB637" s="415">
        <f t="shared" si="66"/>
        <v>0</v>
      </c>
      <c r="AC637" s="415">
        <f t="shared" si="67"/>
        <v>0</v>
      </c>
      <c r="AD637" s="415">
        <f t="shared" si="68"/>
        <v>0</v>
      </c>
      <c r="AE637" s="415">
        <f t="shared" si="69"/>
        <v>0</v>
      </c>
      <c r="AF637" s="355"/>
      <c r="AG637" s="838"/>
      <c r="AH637" s="744"/>
      <c r="AI637" s="292"/>
      <c r="AK637" s="300"/>
      <c r="AS637" s="452"/>
    </row>
    <row r="638" spans="1:45" s="299" customFormat="1">
      <c r="A638" s="353">
        <v>335</v>
      </c>
      <c r="B638" s="352">
        <v>100</v>
      </c>
      <c r="C638" s="352">
        <v>100</v>
      </c>
      <c r="D638" s="352">
        <v>500</v>
      </c>
      <c r="E638" s="357">
        <v>5</v>
      </c>
      <c r="F638" s="357"/>
      <c r="G638" s="409" t="s">
        <v>1121</v>
      </c>
      <c r="H638" s="329"/>
      <c r="I638" s="326"/>
      <c r="J638" s="358"/>
      <c r="K638" s="358"/>
      <c r="L638" s="358"/>
      <c r="M638" s="358"/>
      <c r="N638" s="327"/>
      <c r="O638" s="328"/>
      <c r="P638" s="326">
        <v>0</v>
      </c>
      <c r="Q638" s="327"/>
      <c r="R638" s="313"/>
      <c r="S638" s="311"/>
      <c r="T638" s="311"/>
      <c r="U638" s="311"/>
      <c r="V638" s="311"/>
      <c r="W638" s="311"/>
      <c r="X638" s="311">
        <v>0</v>
      </c>
      <c r="Y638" s="1350">
        <f t="shared" si="63"/>
        <v>0</v>
      </c>
      <c r="Z638" s="1357">
        <f t="shared" si="64"/>
        <v>0</v>
      </c>
      <c r="AA638" s="311">
        <f t="shared" si="65"/>
        <v>0</v>
      </c>
      <c r="AB638" s="311">
        <f t="shared" si="66"/>
        <v>0</v>
      </c>
      <c r="AC638" s="311">
        <f t="shared" si="67"/>
        <v>0</v>
      </c>
      <c r="AD638" s="311">
        <f t="shared" si="68"/>
        <v>0</v>
      </c>
      <c r="AE638" s="311">
        <f t="shared" si="69"/>
        <v>0</v>
      </c>
      <c r="AF638" s="355"/>
      <c r="AG638" s="838"/>
      <c r="AH638" s="744"/>
      <c r="AI638" s="292"/>
      <c r="AK638" s="300"/>
      <c r="AS638" s="452"/>
    </row>
    <row r="639" spans="1:45" s="299" customFormat="1">
      <c r="A639" s="353">
        <v>335</v>
      </c>
      <c r="B639" s="352">
        <v>100</v>
      </c>
      <c r="C639" s="352">
        <v>100</v>
      </c>
      <c r="D639" s="352">
        <v>500</v>
      </c>
      <c r="E639" s="357">
        <v>10</v>
      </c>
      <c r="F639" s="357"/>
      <c r="G639" s="409" t="s">
        <v>1122</v>
      </c>
      <c r="H639" s="329"/>
      <c r="I639" s="326"/>
      <c r="J639" s="358"/>
      <c r="K639" s="358"/>
      <c r="L639" s="358"/>
      <c r="M639" s="358"/>
      <c r="N639" s="327"/>
      <c r="O639" s="328"/>
      <c r="P639" s="326">
        <v>0</v>
      </c>
      <c r="Q639" s="327"/>
      <c r="R639" s="313"/>
      <c r="S639" s="311"/>
      <c r="T639" s="311"/>
      <c r="U639" s="311"/>
      <c r="V639" s="311"/>
      <c r="W639" s="311"/>
      <c r="X639" s="311">
        <v>0</v>
      </c>
      <c r="Y639" s="1350">
        <f t="shared" si="63"/>
        <v>0</v>
      </c>
      <c r="Z639" s="1357">
        <f t="shared" si="64"/>
        <v>0</v>
      </c>
      <c r="AA639" s="311">
        <f t="shared" si="65"/>
        <v>0</v>
      </c>
      <c r="AB639" s="311">
        <f t="shared" si="66"/>
        <v>0</v>
      </c>
      <c r="AC639" s="311">
        <f t="shared" si="67"/>
        <v>0</v>
      </c>
      <c r="AD639" s="311">
        <f t="shared" si="68"/>
        <v>0</v>
      </c>
      <c r="AE639" s="311">
        <f t="shared" si="69"/>
        <v>0</v>
      </c>
      <c r="AF639" s="355"/>
      <c r="AG639" s="838"/>
      <c r="AH639" s="744"/>
      <c r="AI639" s="292"/>
      <c r="AK639" s="300"/>
      <c r="AS639" s="452"/>
    </row>
    <row r="640" spans="1:45" s="299" customFormat="1">
      <c r="A640" s="353">
        <v>335</v>
      </c>
      <c r="B640" s="352">
        <v>100</v>
      </c>
      <c r="C640" s="352">
        <v>100</v>
      </c>
      <c r="D640" s="352">
        <v>500</v>
      </c>
      <c r="E640" s="357">
        <v>15</v>
      </c>
      <c r="F640" s="357"/>
      <c r="G640" s="409" t="s">
        <v>1200</v>
      </c>
      <c r="H640" s="329"/>
      <c r="I640" s="326"/>
      <c r="J640" s="358"/>
      <c r="K640" s="358"/>
      <c r="L640" s="358"/>
      <c r="M640" s="358"/>
      <c r="N640" s="327"/>
      <c r="O640" s="328"/>
      <c r="P640" s="326">
        <v>0</v>
      </c>
      <c r="Q640" s="327"/>
      <c r="R640" s="532">
        <v>18.5</v>
      </c>
      <c r="S640" s="413"/>
      <c r="T640" s="413"/>
      <c r="U640" s="413"/>
      <c r="V640" s="413"/>
      <c r="W640" s="413"/>
      <c r="X640" s="413">
        <v>150</v>
      </c>
      <c r="Y640" s="1350">
        <f t="shared" si="63"/>
        <v>18.5</v>
      </c>
      <c r="Z640" s="1367">
        <f t="shared" si="64"/>
        <v>0</v>
      </c>
      <c r="AA640" s="413">
        <f t="shared" si="65"/>
        <v>0</v>
      </c>
      <c r="AB640" s="413">
        <f t="shared" si="66"/>
        <v>0</v>
      </c>
      <c r="AC640" s="413">
        <f t="shared" si="67"/>
        <v>0</v>
      </c>
      <c r="AD640" s="413">
        <f t="shared" si="68"/>
        <v>0</v>
      </c>
      <c r="AE640" s="413">
        <f t="shared" si="69"/>
        <v>150</v>
      </c>
      <c r="AF640" s="355"/>
      <c r="AG640" s="838"/>
      <c r="AH640" s="744"/>
      <c r="AI640" s="292"/>
      <c r="AK640" s="300"/>
      <c r="AS640" s="452"/>
    </row>
    <row r="641" spans="1:45" s="299" customFormat="1">
      <c r="A641" s="353">
        <v>335</v>
      </c>
      <c r="B641" s="352">
        <v>100</v>
      </c>
      <c r="C641" s="352">
        <v>100</v>
      </c>
      <c r="D641" s="357">
        <v>900</v>
      </c>
      <c r="E641" s="357"/>
      <c r="F641" s="357"/>
      <c r="G641" s="409" t="s">
        <v>1140</v>
      </c>
      <c r="H641" s="329"/>
      <c r="I641" s="326"/>
      <c r="J641" s="358"/>
      <c r="K641" s="358"/>
      <c r="L641" s="358"/>
      <c r="M641" s="358"/>
      <c r="N641" s="327"/>
      <c r="O641" s="328"/>
      <c r="P641" s="326">
        <v>0</v>
      </c>
      <c r="Q641" s="327"/>
      <c r="R641" s="313">
        <v>71320.240000000005</v>
      </c>
      <c r="S641" s="311"/>
      <c r="T641" s="311"/>
      <c r="U641" s="311">
        <v>130271.16</v>
      </c>
      <c r="V641" s="311"/>
      <c r="W641" s="311"/>
      <c r="X641" s="311">
        <v>57284</v>
      </c>
      <c r="Y641" s="1350">
        <f t="shared" si="63"/>
        <v>71320.240000000005</v>
      </c>
      <c r="Z641" s="1357">
        <f t="shared" si="64"/>
        <v>0</v>
      </c>
      <c r="AA641" s="311">
        <f t="shared" si="65"/>
        <v>0</v>
      </c>
      <c r="AB641" s="311">
        <f t="shared" si="66"/>
        <v>130271.16</v>
      </c>
      <c r="AC641" s="311">
        <f t="shared" si="67"/>
        <v>0</v>
      </c>
      <c r="AD641" s="311">
        <f t="shared" si="68"/>
        <v>0</v>
      </c>
      <c r="AE641" s="311">
        <f t="shared" si="69"/>
        <v>57284</v>
      </c>
      <c r="AF641" s="355"/>
      <c r="AG641" s="838"/>
      <c r="AH641" s="744"/>
      <c r="AI641" s="292"/>
      <c r="AK641" s="300"/>
      <c r="AS641" s="452"/>
    </row>
    <row r="642" spans="1:45" s="299" customFormat="1" ht="41.4">
      <c r="A642" s="353">
        <v>335</v>
      </c>
      <c r="B642" s="352">
        <v>100</v>
      </c>
      <c r="C642" s="352">
        <v>200</v>
      </c>
      <c r="D642" s="352"/>
      <c r="E642" s="352"/>
      <c r="F642" s="352"/>
      <c r="G642" s="323" t="s">
        <v>1201</v>
      </c>
      <c r="H642" s="334"/>
      <c r="I642" s="331"/>
      <c r="J642" s="359"/>
      <c r="K642" s="359"/>
      <c r="L642" s="359"/>
      <c r="M642" s="359"/>
      <c r="N642" s="332"/>
      <c r="O642" s="333"/>
      <c r="P642" s="331">
        <v>0</v>
      </c>
      <c r="Q642" s="332"/>
      <c r="R642" s="537"/>
      <c r="S642" s="416"/>
      <c r="T642" s="416"/>
      <c r="U642" s="416"/>
      <c r="V642" s="416"/>
      <c r="W642" s="416"/>
      <c r="X642" s="416">
        <v>0</v>
      </c>
      <c r="Y642" s="1352">
        <f t="shared" si="63"/>
        <v>0</v>
      </c>
      <c r="Z642" s="1372">
        <f t="shared" si="64"/>
        <v>0</v>
      </c>
      <c r="AA642" s="416">
        <f t="shared" si="65"/>
        <v>0</v>
      </c>
      <c r="AB642" s="416">
        <f t="shared" si="66"/>
        <v>0</v>
      </c>
      <c r="AC642" s="416">
        <f t="shared" si="67"/>
        <v>0</v>
      </c>
      <c r="AD642" s="416">
        <f t="shared" si="68"/>
        <v>0</v>
      </c>
      <c r="AE642" s="416">
        <f t="shared" si="69"/>
        <v>0</v>
      </c>
      <c r="AF642" s="355" t="s">
        <v>1202</v>
      </c>
      <c r="AG642" s="838"/>
      <c r="AH642" s="744"/>
      <c r="AI642" s="292"/>
      <c r="AK642" s="300"/>
      <c r="AS642" s="452"/>
    </row>
    <row r="643" spans="1:45" s="299" customFormat="1">
      <c r="A643" s="353">
        <v>335</v>
      </c>
      <c r="B643" s="352">
        <v>100</v>
      </c>
      <c r="C643" s="352">
        <v>200</v>
      </c>
      <c r="D643" s="357">
        <v>100</v>
      </c>
      <c r="E643" s="357"/>
      <c r="F643" s="357"/>
      <c r="G643" s="409" t="s">
        <v>1112</v>
      </c>
      <c r="H643" s="329"/>
      <c r="I643" s="326"/>
      <c r="J643" s="358"/>
      <c r="K643" s="358"/>
      <c r="L643" s="358"/>
      <c r="M643" s="358"/>
      <c r="N643" s="327"/>
      <c r="O643" s="328"/>
      <c r="P643" s="326">
        <v>0</v>
      </c>
      <c r="Q643" s="327"/>
      <c r="R643" s="313">
        <v>132732.01999999999</v>
      </c>
      <c r="S643" s="311"/>
      <c r="T643" s="311"/>
      <c r="U643" s="311">
        <v>132732.01999999999</v>
      </c>
      <c r="V643" s="311"/>
      <c r="W643" s="311"/>
      <c r="X643" s="311">
        <v>130000</v>
      </c>
      <c r="Y643" s="1350">
        <f t="shared" si="63"/>
        <v>132732.01999999999</v>
      </c>
      <c r="Z643" s="1357">
        <f t="shared" si="64"/>
        <v>0</v>
      </c>
      <c r="AA643" s="311">
        <f t="shared" si="65"/>
        <v>0</v>
      </c>
      <c r="AB643" s="311">
        <f t="shared" si="66"/>
        <v>132732.01999999999</v>
      </c>
      <c r="AC643" s="311">
        <f t="shared" si="67"/>
        <v>0</v>
      </c>
      <c r="AD643" s="311">
        <f t="shared" si="68"/>
        <v>0</v>
      </c>
      <c r="AE643" s="311">
        <f t="shared" si="69"/>
        <v>130000</v>
      </c>
      <c r="AF643" s="355"/>
      <c r="AG643" s="838"/>
      <c r="AH643" s="744"/>
      <c r="AI643" s="292"/>
      <c r="AK643" s="300"/>
      <c r="AS643" s="452"/>
    </row>
    <row r="644" spans="1:45" s="299" customFormat="1">
      <c r="A644" s="353">
        <v>335</v>
      </c>
      <c r="B644" s="352">
        <v>100</v>
      </c>
      <c r="C644" s="352">
        <v>200</v>
      </c>
      <c r="D644" s="357">
        <v>200</v>
      </c>
      <c r="E644" s="357"/>
      <c r="F644" s="357"/>
      <c r="G644" s="409" t="s">
        <v>1113</v>
      </c>
      <c r="H644" s="329"/>
      <c r="I644" s="326"/>
      <c r="J644" s="358"/>
      <c r="K644" s="358"/>
      <c r="L644" s="358"/>
      <c r="M644" s="358"/>
      <c r="N644" s="327"/>
      <c r="O644" s="328"/>
      <c r="P644" s="326">
        <v>0</v>
      </c>
      <c r="Q644" s="327"/>
      <c r="R644" s="313">
        <v>42387.35</v>
      </c>
      <c r="S644" s="311"/>
      <c r="T644" s="311"/>
      <c r="U644" s="311">
        <v>32040.550000000003</v>
      </c>
      <c r="V644" s="311"/>
      <c r="W644" s="311"/>
      <c r="X644" s="311">
        <v>19014</v>
      </c>
      <c r="Y644" s="1350">
        <f t="shared" si="63"/>
        <v>42387.35</v>
      </c>
      <c r="Z644" s="1357">
        <f t="shared" si="64"/>
        <v>0</v>
      </c>
      <c r="AA644" s="311">
        <f t="shared" si="65"/>
        <v>0</v>
      </c>
      <c r="AB644" s="311">
        <f t="shared" si="66"/>
        <v>32040.550000000003</v>
      </c>
      <c r="AC644" s="311">
        <f t="shared" si="67"/>
        <v>0</v>
      </c>
      <c r="AD644" s="311">
        <f t="shared" si="68"/>
        <v>0</v>
      </c>
      <c r="AE644" s="311">
        <f t="shared" si="69"/>
        <v>19014</v>
      </c>
      <c r="AF644" s="355"/>
      <c r="AG644" s="838"/>
      <c r="AH644" s="744"/>
      <c r="AI644" s="292"/>
      <c r="AK644" s="300"/>
      <c r="AS644" s="452"/>
    </row>
    <row r="645" spans="1:45" s="299" customFormat="1">
      <c r="A645" s="353">
        <v>335</v>
      </c>
      <c r="B645" s="352">
        <v>100</v>
      </c>
      <c r="C645" s="352">
        <v>200</v>
      </c>
      <c r="D645" s="357">
        <v>300</v>
      </c>
      <c r="E645" s="357"/>
      <c r="F645" s="357"/>
      <c r="G645" s="409" t="s">
        <v>1136</v>
      </c>
      <c r="H645" s="329"/>
      <c r="I645" s="326"/>
      <c r="J645" s="358"/>
      <c r="K645" s="358"/>
      <c r="L645" s="358"/>
      <c r="M645" s="358"/>
      <c r="N645" s="327"/>
      <c r="O645" s="328"/>
      <c r="P645" s="326">
        <v>0</v>
      </c>
      <c r="Q645" s="327"/>
      <c r="R645" s="313">
        <v>7747.86</v>
      </c>
      <c r="S645" s="311"/>
      <c r="T645" s="311"/>
      <c r="U645" s="311">
        <v>3570.07</v>
      </c>
      <c r="V645" s="311"/>
      <c r="W645" s="311"/>
      <c r="X645" s="311">
        <v>1104</v>
      </c>
      <c r="Y645" s="1350">
        <f t="shared" si="63"/>
        <v>7747.86</v>
      </c>
      <c r="Z645" s="1357">
        <f t="shared" si="64"/>
        <v>0</v>
      </c>
      <c r="AA645" s="311">
        <f t="shared" si="65"/>
        <v>0</v>
      </c>
      <c r="AB645" s="311">
        <f t="shared" si="66"/>
        <v>3570.07</v>
      </c>
      <c r="AC645" s="311">
        <f t="shared" si="67"/>
        <v>0</v>
      </c>
      <c r="AD645" s="311">
        <f t="shared" si="68"/>
        <v>0</v>
      </c>
      <c r="AE645" s="311">
        <f t="shared" si="69"/>
        <v>1104</v>
      </c>
      <c r="AF645" s="355"/>
      <c r="AG645" s="838"/>
      <c r="AH645" s="744"/>
      <c r="AI645" s="292"/>
      <c r="AK645" s="300"/>
      <c r="AS645" s="452"/>
    </row>
    <row r="646" spans="1:45" s="299" customFormat="1">
      <c r="A646" s="353">
        <v>335</v>
      </c>
      <c r="B646" s="352">
        <v>100</v>
      </c>
      <c r="C646" s="352">
        <v>200</v>
      </c>
      <c r="D646" s="357">
        <v>400</v>
      </c>
      <c r="E646" s="357"/>
      <c r="F646" s="357"/>
      <c r="G646" s="409" t="s">
        <v>1137</v>
      </c>
      <c r="H646" s="329"/>
      <c r="I646" s="326"/>
      <c r="J646" s="358"/>
      <c r="K646" s="358"/>
      <c r="L646" s="358"/>
      <c r="M646" s="358"/>
      <c r="N646" s="327"/>
      <c r="O646" s="328"/>
      <c r="P646" s="326">
        <v>0</v>
      </c>
      <c r="Q646" s="327"/>
      <c r="R646" s="532">
        <v>430.35</v>
      </c>
      <c r="S646" s="413"/>
      <c r="T646" s="413"/>
      <c r="U646" s="413"/>
      <c r="V646" s="413"/>
      <c r="W646" s="413"/>
      <c r="X646" s="413">
        <v>0</v>
      </c>
      <c r="Y646" s="1350">
        <f t="shared" si="63"/>
        <v>430.35</v>
      </c>
      <c r="Z646" s="1367">
        <f t="shared" si="64"/>
        <v>0</v>
      </c>
      <c r="AA646" s="413">
        <f t="shared" si="65"/>
        <v>0</v>
      </c>
      <c r="AB646" s="413">
        <f t="shared" si="66"/>
        <v>0</v>
      </c>
      <c r="AC646" s="413">
        <f t="shared" si="67"/>
        <v>0</v>
      </c>
      <c r="AD646" s="413">
        <f t="shared" si="68"/>
        <v>0</v>
      </c>
      <c r="AE646" s="413">
        <f t="shared" si="69"/>
        <v>0</v>
      </c>
      <c r="AF646" s="355"/>
      <c r="AG646" s="838"/>
      <c r="AH646" s="744"/>
      <c r="AI646" s="292"/>
      <c r="AK646" s="300"/>
      <c r="AS646" s="452"/>
    </row>
    <row r="647" spans="1:45" s="299" customFormat="1">
      <c r="A647" s="353">
        <v>335</v>
      </c>
      <c r="B647" s="352">
        <v>100</v>
      </c>
      <c r="C647" s="352">
        <v>200</v>
      </c>
      <c r="D647" s="352">
        <v>500</v>
      </c>
      <c r="E647" s="352"/>
      <c r="F647" s="352"/>
      <c r="G647" s="411" t="s">
        <v>1120</v>
      </c>
      <c r="H647" s="334"/>
      <c r="I647" s="331"/>
      <c r="J647" s="359"/>
      <c r="K647" s="359"/>
      <c r="L647" s="359"/>
      <c r="M647" s="359"/>
      <c r="N647" s="332"/>
      <c r="O647" s="333"/>
      <c r="P647" s="331">
        <v>0</v>
      </c>
      <c r="Q647" s="332"/>
      <c r="R647" s="531"/>
      <c r="S647" s="415"/>
      <c r="T647" s="415"/>
      <c r="U647" s="415"/>
      <c r="V647" s="415"/>
      <c r="W647" s="415"/>
      <c r="X647" s="415">
        <v>0</v>
      </c>
      <c r="Y647" s="1352">
        <f t="shared" ref="Y647:Y710" si="70">+H647+O647+R647</f>
        <v>0</v>
      </c>
      <c r="Z647" s="1366">
        <f t="shared" ref="Z647:Z710" si="71">+I647+S647</f>
        <v>0</v>
      </c>
      <c r="AA647" s="415">
        <f t="shared" ref="AA647:AA710" si="72">+J647+T647</f>
        <v>0</v>
      </c>
      <c r="AB647" s="415">
        <f t="shared" ref="AB647:AB710" si="73">+K647+P647+U647</f>
        <v>0</v>
      </c>
      <c r="AC647" s="415">
        <f t="shared" ref="AC647:AC710" si="74">+L647+V647</f>
        <v>0</v>
      </c>
      <c r="AD647" s="415">
        <f t="shared" ref="AD647:AD710" si="75">+M647+W647</f>
        <v>0</v>
      </c>
      <c r="AE647" s="415">
        <f t="shared" ref="AE647:AE710" si="76">+N647+X647+Q647</f>
        <v>0</v>
      </c>
      <c r="AF647" s="355"/>
      <c r="AG647" s="838"/>
      <c r="AH647" s="744"/>
      <c r="AI647" s="292"/>
      <c r="AK647" s="300"/>
      <c r="AS647" s="452"/>
    </row>
    <row r="648" spans="1:45" s="299" customFormat="1">
      <c r="A648" s="353">
        <v>335</v>
      </c>
      <c r="B648" s="352">
        <v>100</v>
      </c>
      <c r="C648" s="352">
        <v>200</v>
      </c>
      <c r="D648" s="352">
        <v>500</v>
      </c>
      <c r="E648" s="357">
        <v>5</v>
      </c>
      <c r="F648" s="357"/>
      <c r="G648" s="409" t="s">
        <v>1121</v>
      </c>
      <c r="H648" s="329"/>
      <c r="I648" s="326"/>
      <c r="J648" s="358"/>
      <c r="K648" s="358"/>
      <c r="L648" s="358"/>
      <c r="M648" s="358"/>
      <c r="N648" s="327"/>
      <c r="O648" s="328"/>
      <c r="P648" s="326">
        <v>0</v>
      </c>
      <c r="Q648" s="327"/>
      <c r="R648" s="313"/>
      <c r="S648" s="311"/>
      <c r="T648" s="311"/>
      <c r="U648" s="311"/>
      <c r="V648" s="311"/>
      <c r="W648" s="311"/>
      <c r="X648" s="311">
        <v>0</v>
      </c>
      <c r="Y648" s="1350">
        <f t="shared" si="70"/>
        <v>0</v>
      </c>
      <c r="Z648" s="1357">
        <f t="shared" si="71"/>
        <v>0</v>
      </c>
      <c r="AA648" s="311">
        <f t="shared" si="72"/>
        <v>0</v>
      </c>
      <c r="AB648" s="311">
        <f t="shared" si="73"/>
        <v>0</v>
      </c>
      <c r="AC648" s="311">
        <f t="shared" si="74"/>
        <v>0</v>
      </c>
      <c r="AD648" s="311">
        <f t="shared" si="75"/>
        <v>0</v>
      </c>
      <c r="AE648" s="311">
        <f t="shared" si="76"/>
        <v>0</v>
      </c>
      <c r="AF648" s="355"/>
      <c r="AG648" s="838"/>
      <c r="AH648" s="744"/>
      <c r="AI648" s="292"/>
      <c r="AK648" s="300"/>
      <c r="AS648" s="452"/>
    </row>
    <row r="649" spans="1:45" s="299" customFormat="1">
      <c r="A649" s="353">
        <v>335</v>
      </c>
      <c r="B649" s="352">
        <v>100</v>
      </c>
      <c r="C649" s="352">
        <v>200</v>
      </c>
      <c r="D649" s="352">
        <v>500</v>
      </c>
      <c r="E649" s="357">
        <v>10</v>
      </c>
      <c r="F649" s="357"/>
      <c r="G649" s="409" t="s">
        <v>1122</v>
      </c>
      <c r="H649" s="329"/>
      <c r="I649" s="326"/>
      <c r="J649" s="358"/>
      <c r="K649" s="358"/>
      <c r="L649" s="358"/>
      <c r="M649" s="358"/>
      <c r="N649" s="327"/>
      <c r="O649" s="328"/>
      <c r="P649" s="326">
        <v>0</v>
      </c>
      <c r="Q649" s="327"/>
      <c r="R649" s="313"/>
      <c r="S649" s="311"/>
      <c r="T649" s="311"/>
      <c r="U649" s="311"/>
      <c r="V649" s="311"/>
      <c r="W649" s="311"/>
      <c r="X649" s="311">
        <v>0</v>
      </c>
      <c r="Y649" s="1350">
        <f t="shared" si="70"/>
        <v>0</v>
      </c>
      <c r="Z649" s="1357">
        <f t="shared" si="71"/>
        <v>0</v>
      </c>
      <c r="AA649" s="311">
        <f t="shared" si="72"/>
        <v>0</v>
      </c>
      <c r="AB649" s="311">
        <f t="shared" si="73"/>
        <v>0</v>
      </c>
      <c r="AC649" s="311">
        <f t="shared" si="74"/>
        <v>0</v>
      </c>
      <c r="AD649" s="311">
        <f t="shared" si="75"/>
        <v>0</v>
      </c>
      <c r="AE649" s="311">
        <f t="shared" si="76"/>
        <v>0</v>
      </c>
      <c r="AF649" s="355"/>
      <c r="AG649" s="838"/>
      <c r="AH649" s="744"/>
      <c r="AI649" s="292"/>
      <c r="AK649" s="300"/>
      <c r="AS649" s="452"/>
    </row>
    <row r="650" spans="1:45" s="299" customFormat="1">
      <c r="A650" s="353">
        <v>335</v>
      </c>
      <c r="B650" s="352">
        <v>100</v>
      </c>
      <c r="C650" s="352">
        <v>200</v>
      </c>
      <c r="D650" s="352">
        <v>500</v>
      </c>
      <c r="E650" s="357">
        <v>15</v>
      </c>
      <c r="F650" s="357"/>
      <c r="G650" s="409" t="s">
        <v>1200</v>
      </c>
      <c r="H650" s="329"/>
      <c r="I650" s="326"/>
      <c r="J650" s="358"/>
      <c r="K650" s="358"/>
      <c r="L650" s="358"/>
      <c r="M650" s="358"/>
      <c r="N650" s="327"/>
      <c r="O650" s="328"/>
      <c r="P650" s="326">
        <v>0</v>
      </c>
      <c r="Q650" s="327"/>
      <c r="R650" s="532"/>
      <c r="S650" s="413"/>
      <c r="T650" s="413"/>
      <c r="U650" s="413"/>
      <c r="V650" s="413"/>
      <c r="W650" s="413"/>
      <c r="X650" s="413">
        <v>0</v>
      </c>
      <c r="Y650" s="1350">
        <f t="shared" si="70"/>
        <v>0</v>
      </c>
      <c r="Z650" s="1367">
        <f t="shared" si="71"/>
        <v>0</v>
      </c>
      <c r="AA650" s="413">
        <f t="shared" si="72"/>
        <v>0</v>
      </c>
      <c r="AB650" s="413">
        <f t="shared" si="73"/>
        <v>0</v>
      </c>
      <c r="AC650" s="413">
        <f t="shared" si="74"/>
        <v>0</v>
      </c>
      <c r="AD650" s="413">
        <f t="shared" si="75"/>
        <v>0</v>
      </c>
      <c r="AE650" s="413">
        <f t="shared" si="76"/>
        <v>0</v>
      </c>
      <c r="AF650" s="355"/>
      <c r="AG650" s="838"/>
      <c r="AH650" s="744"/>
      <c r="AI650" s="292"/>
      <c r="AK650" s="300"/>
      <c r="AS650" s="452"/>
    </row>
    <row r="651" spans="1:45" s="299" customFormat="1">
      <c r="A651" s="353">
        <v>335</v>
      </c>
      <c r="B651" s="352">
        <v>100</v>
      </c>
      <c r="C651" s="352">
        <v>200</v>
      </c>
      <c r="D651" s="357">
        <v>900</v>
      </c>
      <c r="E651" s="357"/>
      <c r="F651" s="357"/>
      <c r="G651" s="409" t="s">
        <v>1140</v>
      </c>
      <c r="H651" s="329"/>
      <c r="I651" s="326"/>
      <c r="J651" s="358"/>
      <c r="K651" s="358"/>
      <c r="L651" s="358"/>
      <c r="M651" s="358"/>
      <c r="N651" s="327"/>
      <c r="O651" s="328"/>
      <c r="P651" s="326">
        <v>0</v>
      </c>
      <c r="Q651" s="327"/>
      <c r="R651" s="313">
        <v>50681.31</v>
      </c>
      <c r="S651" s="311"/>
      <c r="T651" s="311"/>
      <c r="U651" s="311">
        <v>48236.430000000008</v>
      </c>
      <c r="V651" s="311"/>
      <c r="W651" s="311"/>
      <c r="X651" s="311">
        <v>42525</v>
      </c>
      <c r="Y651" s="1350">
        <f t="shared" si="70"/>
        <v>50681.31</v>
      </c>
      <c r="Z651" s="1357">
        <f t="shared" si="71"/>
        <v>0</v>
      </c>
      <c r="AA651" s="311">
        <f t="shared" si="72"/>
        <v>0</v>
      </c>
      <c r="AB651" s="311">
        <f t="shared" si="73"/>
        <v>48236.430000000008</v>
      </c>
      <c r="AC651" s="311">
        <f t="shared" si="74"/>
        <v>0</v>
      </c>
      <c r="AD651" s="311">
        <f t="shared" si="75"/>
        <v>0</v>
      </c>
      <c r="AE651" s="311">
        <f t="shared" si="76"/>
        <v>42525</v>
      </c>
      <c r="AF651" s="355"/>
      <c r="AG651" s="838"/>
      <c r="AH651" s="744"/>
      <c r="AI651" s="292"/>
      <c r="AK651" s="300"/>
      <c r="AS651" s="452"/>
    </row>
    <row r="652" spans="1:45" s="299" customFormat="1" ht="27.6">
      <c r="A652" s="353">
        <v>335</v>
      </c>
      <c r="B652" s="352">
        <v>100</v>
      </c>
      <c r="C652" s="357">
        <v>300</v>
      </c>
      <c r="D652" s="357"/>
      <c r="E652" s="357"/>
      <c r="F652" s="357"/>
      <c r="G652" s="323" t="s">
        <v>1203</v>
      </c>
      <c r="H652" s="329"/>
      <c r="I652" s="326"/>
      <c r="J652" s="358"/>
      <c r="K652" s="358"/>
      <c r="L652" s="358"/>
      <c r="M652" s="358"/>
      <c r="N652" s="327"/>
      <c r="O652" s="328"/>
      <c r="P652" s="326">
        <v>0</v>
      </c>
      <c r="Q652" s="327"/>
      <c r="R652" s="536"/>
      <c r="S652" s="412"/>
      <c r="T652" s="412"/>
      <c r="U652" s="412"/>
      <c r="V652" s="412"/>
      <c r="W652" s="412"/>
      <c r="X652" s="412">
        <v>0</v>
      </c>
      <c r="Y652" s="1350">
        <f t="shared" si="70"/>
        <v>0</v>
      </c>
      <c r="Z652" s="1371">
        <f t="shared" si="71"/>
        <v>0</v>
      </c>
      <c r="AA652" s="412">
        <f t="shared" si="72"/>
        <v>0</v>
      </c>
      <c r="AB652" s="412">
        <f t="shared" si="73"/>
        <v>0</v>
      </c>
      <c r="AC652" s="412">
        <f t="shared" si="74"/>
        <v>0</v>
      </c>
      <c r="AD652" s="412">
        <f t="shared" si="75"/>
        <v>0</v>
      </c>
      <c r="AE652" s="412">
        <f t="shared" si="76"/>
        <v>0</v>
      </c>
      <c r="AF652" s="355" t="s">
        <v>1204</v>
      </c>
      <c r="AG652" s="838"/>
      <c r="AH652" s="744"/>
      <c r="AI652" s="292"/>
      <c r="AK652" s="300"/>
      <c r="AS652" s="452"/>
    </row>
    <row r="653" spans="1:45" s="299" customFormat="1" ht="27.6">
      <c r="A653" s="353">
        <v>335</v>
      </c>
      <c r="B653" s="352">
        <v>200</v>
      </c>
      <c r="C653" s="352"/>
      <c r="D653" s="352"/>
      <c r="E653" s="352"/>
      <c r="F653" s="352"/>
      <c r="G653" s="323" t="s">
        <v>1205</v>
      </c>
      <c r="H653" s="334"/>
      <c r="I653" s="331"/>
      <c r="J653" s="359"/>
      <c r="K653" s="359"/>
      <c r="L653" s="359"/>
      <c r="M653" s="359"/>
      <c r="N653" s="332"/>
      <c r="O653" s="333"/>
      <c r="P653" s="331">
        <v>0</v>
      </c>
      <c r="Q653" s="332"/>
      <c r="R653" s="537"/>
      <c r="S653" s="416"/>
      <c r="T653" s="416"/>
      <c r="U653" s="416"/>
      <c r="V653" s="416"/>
      <c r="W653" s="416"/>
      <c r="X653" s="416">
        <v>0</v>
      </c>
      <c r="Y653" s="1352">
        <f t="shared" si="70"/>
        <v>0</v>
      </c>
      <c r="Z653" s="1372">
        <f t="shared" si="71"/>
        <v>0</v>
      </c>
      <c r="AA653" s="416">
        <f t="shared" si="72"/>
        <v>0</v>
      </c>
      <c r="AB653" s="416">
        <f t="shared" si="73"/>
        <v>0</v>
      </c>
      <c r="AC653" s="416">
        <f t="shared" si="74"/>
        <v>0</v>
      </c>
      <c r="AD653" s="416">
        <f t="shared" si="75"/>
        <v>0</v>
      </c>
      <c r="AE653" s="416">
        <f t="shared" si="76"/>
        <v>0</v>
      </c>
      <c r="AF653" s="355" t="s">
        <v>1206</v>
      </c>
      <c r="AG653" s="838"/>
      <c r="AH653" s="744"/>
      <c r="AI653" s="292"/>
      <c r="AK653" s="300"/>
      <c r="AS653" s="452"/>
    </row>
    <row r="654" spans="1:45" s="299" customFormat="1" ht="41.4">
      <c r="A654" s="353">
        <v>335</v>
      </c>
      <c r="B654" s="352">
        <v>200</v>
      </c>
      <c r="C654" s="352">
        <v>100</v>
      </c>
      <c r="D654" s="352"/>
      <c r="E654" s="352"/>
      <c r="F654" s="352"/>
      <c r="G654" s="323" t="s">
        <v>1207</v>
      </c>
      <c r="H654" s="334"/>
      <c r="I654" s="331"/>
      <c r="J654" s="359"/>
      <c r="K654" s="359"/>
      <c r="L654" s="359"/>
      <c r="M654" s="359"/>
      <c r="N654" s="332"/>
      <c r="O654" s="333"/>
      <c r="P654" s="331">
        <v>0</v>
      </c>
      <c r="Q654" s="332"/>
      <c r="R654" s="537"/>
      <c r="S654" s="416"/>
      <c r="T654" s="416"/>
      <c r="U654" s="416"/>
      <c r="V654" s="416"/>
      <c r="W654" s="416"/>
      <c r="X654" s="416">
        <v>0</v>
      </c>
      <c r="Y654" s="1352">
        <f t="shared" si="70"/>
        <v>0</v>
      </c>
      <c r="Z654" s="1372">
        <f t="shared" si="71"/>
        <v>0</v>
      </c>
      <c r="AA654" s="416">
        <f t="shared" si="72"/>
        <v>0</v>
      </c>
      <c r="AB654" s="416">
        <f t="shared" si="73"/>
        <v>0</v>
      </c>
      <c r="AC654" s="416">
        <f t="shared" si="74"/>
        <v>0</v>
      </c>
      <c r="AD654" s="416">
        <f t="shared" si="75"/>
        <v>0</v>
      </c>
      <c r="AE654" s="416">
        <f t="shared" si="76"/>
        <v>0</v>
      </c>
      <c r="AF654" s="355" t="s">
        <v>1208</v>
      </c>
      <c r="AG654" s="838"/>
      <c r="AH654" s="744"/>
      <c r="AI654" s="292"/>
      <c r="AK654" s="300"/>
      <c r="AS654" s="452"/>
    </row>
    <row r="655" spans="1:45" s="299" customFormat="1">
      <c r="A655" s="353">
        <v>335</v>
      </c>
      <c r="B655" s="352">
        <v>200</v>
      </c>
      <c r="C655" s="352">
        <v>100</v>
      </c>
      <c r="D655" s="357">
        <v>100</v>
      </c>
      <c r="E655" s="357"/>
      <c r="F655" s="357"/>
      <c r="G655" s="409" t="s">
        <v>1112</v>
      </c>
      <c r="H655" s="329"/>
      <c r="I655" s="326"/>
      <c r="J655" s="358"/>
      <c r="K655" s="358"/>
      <c r="L655" s="358"/>
      <c r="M655" s="358"/>
      <c r="N655" s="327"/>
      <c r="O655" s="328"/>
      <c r="P655" s="326">
        <v>0</v>
      </c>
      <c r="Q655" s="327"/>
      <c r="R655" s="313">
        <v>1380330.28</v>
      </c>
      <c r="S655" s="311"/>
      <c r="T655" s="311"/>
      <c r="U655" s="311">
        <v>1379760.28</v>
      </c>
      <c r="V655" s="311">
        <v>1845.52</v>
      </c>
      <c r="W655" s="311"/>
      <c r="X655" s="311">
        <v>1387588</v>
      </c>
      <c r="Y655" s="1350">
        <f t="shared" si="70"/>
        <v>1380330.28</v>
      </c>
      <c r="Z655" s="1357">
        <f t="shared" si="71"/>
        <v>0</v>
      </c>
      <c r="AA655" s="311">
        <f t="shared" si="72"/>
        <v>0</v>
      </c>
      <c r="AB655" s="311">
        <f t="shared" si="73"/>
        <v>1379760.28</v>
      </c>
      <c r="AC655" s="311">
        <f t="shared" si="74"/>
        <v>1845.52</v>
      </c>
      <c r="AD655" s="311">
        <f t="shared" si="75"/>
        <v>0</v>
      </c>
      <c r="AE655" s="311">
        <f t="shared" si="76"/>
        <v>1387588</v>
      </c>
      <c r="AF655" s="355"/>
      <c r="AG655" s="838"/>
      <c r="AH655" s="744"/>
      <c r="AI655" s="292"/>
      <c r="AK655" s="300"/>
      <c r="AS655" s="452"/>
    </row>
    <row r="656" spans="1:45" s="299" customFormat="1">
      <c r="A656" s="353">
        <v>335</v>
      </c>
      <c r="B656" s="352">
        <v>200</v>
      </c>
      <c r="C656" s="352">
        <v>100</v>
      </c>
      <c r="D656" s="357">
        <v>200</v>
      </c>
      <c r="E656" s="357"/>
      <c r="F656" s="357"/>
      <c r="G656" s="409" t="s">
        <v>1148</v>
      </c>
      <c r="H656" s="329"/>
      <c r="I656" s="326"/>
      <c r="J656" s="358"/>
      <c r="K656" s="358"/>
      <c r="L656" s="358"/>
      <c r="M656" s="358"/>
      <c r="N656" s="327"/>
      <c r="O656" s="328"/>
      <c r="P656" s="326">
        <v>0</v>
      </c>
      <c r="Q656" s="327"/>
      <c r="R656" s="313">
        <v>8581.0499999999993</v>
      </c>
      <c r="S656" s="311"/>
      <c r="T656" s="311"/>
      <c r="U656" s="311">
        <v>6559.34</v>
      </c>
      <c r="V656" s="311"/>
      <c r="W656" s="311"/>
      <c r="X656" s="311">
        <v>10006</v>
      </c>
      <c r="Y656" s="1350">
        <f t="shared" si="70"/>
        <v>8581.0499999999993</v>
      </c>
      <c r="Z656" s="1357">
        <f t="shared" si="71"/>
        <v>0</v>
      </c>
      <c r="AA656" s="311">
        <f t="shared" si="72"/>
        <v>0</v>
      </c>
      <c r="AB656" s="311">
        <f t="shared" si="73"/>
        <v>6559.34</v>
      </c>
      <c r="AC656" s="311">
        <f t="shared" si="74"/>
        <v>0</v>
      </c>
      <c r="AD656" s="311">
        <f t="shared" si="75"/>
        <v>0</v>
      </c>
      <c r="AE656" s="311">
        <f t="shared" si="76"/>
        <v>10006</v>
      </c>
      <c r="AF656" s="355"/>
      <c r="AG656" s="838"/>
      <c r="AH656" s="744"/>
      <c r="AI656" s="292"/>
      <c r="AK656" s="300"/>
      <c r="AS656" s="452"/>
    </row>
    <row r="657" spans="1:45" s="299" customFormat="1">
      <c r="A657" s="353">
        <v>335</v>
      </c>
      <c r="B657" s="352">
        <v>200</v>
      </c>
      <c r="C657" s="352">
        <v>100</v>
      </c>
      <c r="D657" s="357">
        <v>300</v>
      </c>
      <c r="E657" s="357"/>
      <c r="F657" s="357"/>
      <c r="G657" s="409" t="s">
        <v>1149</v>
      </c>
      <c r="H657" s="329"/>
      <c r="I657" s="326"/>
      <c r="J657" s="358"/>
      <c r="K657" s="358"/>
      <c r="L657" s="358"/>
      <c r="M657" s="358"/>
      <c r="N657" s="327"/>
      <c r="O657" s="328"/>
      <c r="P657" s="326">
        <v>0</v>
      </c>
      <c r="Q657" s="327"/>
      <c r="R657" s="313">
        <v>74559.8</v>
      </c>
      <c r="S657" s="311"/>
      <c r="T657" s="311"/>
      <c r="U657" s="311">
        <v>74559.8</v>
      </c>
      <c r="V657" s="311"/>
      <c r="W657" s="311"/>
      <c r="X657" s="311">
        <v>241657</v>
      </c>
      <c r="Y657" s="1350">
        <f t="shared" si="70"/>
        <v>74559.8</v>
      </c>
      <c r="Z657" s="1357">
        <f t="shared" si="71"/>
        <v>0</v>
      </c>
      <c r="AA657" s="311">
        <f t="shared" si="72"/>
        <v>0</v>
      </c>
      <c r="AB657" s="311">
        <f t="shared" si="73"/>
        <v>74559.8</v>
      </c>
      <c r="AC657" s="311">
        <f t="shared" si="74"/>
        <v>0</v>
      </c>
      <c r="AD657" s="311">
        <f t="shared" si="75"/>
        <v>0</v>
      </c>
      <c r="AE657" s="311">
        <f t="shared" si="76"/>
        <v>241657</v>
      </c>
      <c r="AF657" s="355"/>
      <c r="AG657" s="838"/>
      <c r="AH657" s="744"/>
      <c r="AI657" s="292"/>
      <c r="AK657" s="300"/>
      <c r="AS657" s="452"/>
    </row>
    <row r="658" spans="1:45" s="299" customFormat="1">
      <c r="A658" s="353">
        <v>335</v>
      </c>
      <c r="B658" s="352">
        <v>200</v>
      </c>
      <c r="C658" s="352">
        <v>100</v>
      </c>
      <c r="D658" s="357">
        <v>400</v>
      </c>
      <c r="E658" s="357"/>
      <c r="F658" s="357"/>
      <c r="G658" s="409" t="s">
        <v>1150</v>
      </c>
      <c r="H658" s="329"/>
      <c r="I658" s="326"/>
      <c r="J658" s="358"/>
      <c r="K658" s="358"/>
      <c r="L658" s="358"/>
      <c r="M658" s="358"/>
      <c r="N658" s="327"/>
      <c r="O658" s="328"/>
      <c r="P658" s="326">
        <v>0</v>
      </c>
      <c r="Q658" s="327"/>
      <c r="R658" s="313">
        <v>254425.23</v>
      </c>
      <c r="S658" s="311"/>
      <c r="T658" s="311"/>
      <c r="U658" s="311">
        <v>210219.85</v>
      </c>
      <c r="V658" s="311"/>
      <c r="W658" s="311"/>
      <c r="X658" s="311">
        <v>49687</v>
      </c>
      <c r="Y658" s="1350">
        <f t="shared" si="70"/>
        <v>254425.23</v>
      </c>
      <c r="Z658" s="1357">
        <f t="shared" si="71"/>
        <v>0</v>
      </c>
      <c r="AA658" s="311">
        <f t="shared" si="72"/>
        <v>0</v>
      </c>
      <c r="AB658" s="311">
        <f t="shared" si="73"/>
        <v>210219.85</v>
      </c>
      <c r="AC658" s="311">
        <f t="shared" si="74"/>
        <v>0</v>
      </c>
      <c r="AD658" s="311">
        <f t="shared" si="75"/>
        <v>0</v>
      </c>
      <c r="AE658" s="311">
        <f t="shared" si="76"/>
        <v>49687</v>
      </c>
      <c r="AF658" s="355"/>
      <c r="AG658" s="838"/>
      <c r="AH658" s="744"/>
      <c r="AI658" s="292"/>
      <c r="AK658" s="300"/>
      <c r="AS658" s="452"/>
    </row>
    <row r="659" spans="1:45" s="299" customFormat="1">
      <c r="A659" s="353">
        <v>335</v>
      </c>
      <c r="B659" s="352">
        <v>200</v>
      </c>
      <c r="C659" s="352">
        <v>100</v>
      </c>
      <c r="D659" s="357">
        <v>500</v>
      </c>
      <c r="E659" s="357"/>
      <c r="F659" s="357"/>
      <c r="G659" s="409" t="s">
        <v>1137</v>
      </c>
      <c r="H659" s="329"/>
      <c r="I659" s="326"/>
      <c r="J659" s="358"/>
      <c r="K659" s="358"/>
      <c r="L659" s="358"/>
      <c r="M659" s="358"/>
      <c r="N659" s="327"/>
      <c r="O659" s="328"/>
      <c r="P659" s="326">
        <v>0</v>
      </c>
      <c r="Q659" s="327"/>
      <c r="R659" s="313">
        <v>4261.12</v>
      </c>
      <c r="S659" s="311"/>
      <c r="T659" s="311"/>
      <c r="U659" s="311">
        <v>1794.69</v>
      </c>
      <c r="V659" s="311"/>
      <c r="W659" s="311"/>
      <c r="X659" s="311">
        <v>0</v>
      </c>
      <c r="Y659" s="1350">
        <f t="shared" si="70"/>
        <v>4261.12</v>
      </c>
      <c r="Z659" s="1357">
        <f t="shared" si="71"/>
        <v>0</v>
      </c>
      <c r="AA659" s="311">
        <f t="shared" si="72"/>
        <v>0</v>
      </c>
      <c r="AB659" s="311">
        <f t="shared" si="73"/>
        <v>1794.69</v>
      </c>
      <c r="AC659" s="311">
        <f t="shared" si="74"/>
        <v>0</v>
      </c>
      <c r="AD659" s="311">
        <f t="shared" si="75"/>
        <v>0</v>
      </c>
      <c r="AE659" s="311">
        <f t="shared" si="76"/>
        <v>0</v>
      </c>
      <c r="AF659" s="355"/>
      <c r="AG659" s="838"/>
      <c r="AH659" s="744"/>
      <c r="AI659" s="292"/>
      <c r="AK659" s="300"/>
      <c r="AS659" s="452"/>
    </row>
    <row r="660" spans="1:45" s="299" customFormat="1">
      <c r="A660" s="353">
        <v>335</v>
      </c>
      <c r="B660" s="352">
        <v>200</v>
      </c>
      <c r="C660" s="352">
        <v>100</v>
      </c>
      <c r="D660" s="352">
        <v>600</v>
      </c>
      <c r="E660" s="352"/>
      <c r="F660" s="352"/>
      <c r="G660" s="411" t="s">
        <v>1120</v>
      </c>
      <c r="H660" s="334"/>
      <c r="I660" s="331"/>
      <c r="J660" s="359"/>
      <c r="K660" s="359"/>
      <c r="L660" s="359"/>
      <c r="M660" s="359"/>
      <c r="N660" s="332"/>
      <c r="O660" s="333"/>
      <c r="P660" s="331">
        <v>0</v>
      </c>
      <c r="Q660" s="332"/>
      <c r="R660" s="531"/>
      <c r="S660" s="415"/>
      <c r="T660" s="415"/>
      <c r="U660" s="415"/>
      <c r="V660" s="415"/>
      <c r="W660" s="415"/>
      <c r="X660" s="415">
        <v>0</v>
      </c>
      <c r="Y660" s="1352">
        <f t="shared" si="70"/>
        <v>0</v>
      </c>
      <c r="Z660" s="1366">
        <f t="shared" si="71"/>
        <v>0</v>
      </c>
      <c r="AA660" s="415">
        <f t="shared" si="72"/>
        <v>0</v>
      </c>
      <c r="AB660" s="415">
        <f t="shared" si="73"/>
        <v>0</v>
      </c>
      <c r="AC660" s="415">
        <f t="shared" si="74"/>
        <v>0</v>
      </c>
      <c r="AD660" s="415">
        <f t="shared" si="75"/>
        <v>0</v>
      </c>
      <c r="AE660" s="415">
        <f t="shared" si="76"/>
        <v>0</v>
      </c>
      <c r="AF660" s="355"/>
      <c r="AG660" s="838"/>
      <c r="AH660" s="744"/>
      <c r="AI660" s="292"/>
      <c r="AK660" s="300"/>
      <c r="AS660" s="452"/>
    </row>
    <row r="661" spans="1:45" s="299" customFormat="1">
      <c r="A661" s="353">
        <v>335</v>
      </c>
      <c r="B661" s="352">
        <v>200</v>
      </c>
      <c r="C661" s="352">
        <v>100</v>
      </c>
      <c r="D661" s="352">
        <v>600</v>
      </c>
      <c r="E661" s="357">
        <v>5</v>
      </c>
      <c r="F661" s="357"/>
      <c r="G661" s="409" t="s">
        <v>1121</v>
      </c>
      <c r="H661" s="329"/>
      <c r="I661" s="326"/>
      <c r="J661" s="358"/>
      <c r="K661" s="358"/>
      <c r="L661" s="358"/>
      <c r="M661" s="358"/>
      <c r="N661" s="327"/>
      <c r="O661" s="328"/>
      <c r="P661" s="326">
        <v>0</v>
      </c>
      <c r="Q661" s="327"/>
      <c r="R661" s="313"/>
      <c r="S661" s="311"/>
      <c r="T661" s="311"/>
      <c r="U661" s="311"/>
      <c r="V661" s="311"/>
      <c r="W661" s="311"/>
      <c r="X661" s="311">
        <v>0</v>
      </c>
      <c r="Y661" s="1350">
        <f t="shared" si="70"/>
        <v>0</v>
      </c>
      <c r="Z661" s="1357">
        <f t="shared" si="71"/>
        <v>0</v>
      </c>
      <c r="AA661" s="311">
        <f t="shared" si="72"/>
        <v>0</v>
      </c>
      <c r="AB661" s="311">
        <f t="shared" si="73"/>
        <v>0</v>
      </c>
      <c r="AC661" s="311">
        <f t="shared" si="74"/>
        <v>0</v>
      </c>
      <c r="AD661" s="311">
        <f t="shared" si="75"/>
        <v>0</v>
      </c>
      <c r="AE661" s="311">
        <f t="shared" si="76"/>
        <v>0</v>
      </c>
      <c r="AF661" s="355"/>
      <c r="AG661" s="838"/>
      <c r="AH661" s="744"/>
      <c r="AI661" s="292"/>
      <c r="AK661" s="300"/>
      <c r="AS661" s="452"/>
    </row>
    <row r="662" spans="1:45" s="299" customFormat="1">
      <c r="A662" s="353">
        <v>335</v>
      </c>
      <c r="B662" s="352">
        <v>200</v>
      </c>
      <c r="C662" s="352">
        <v>100</v>
      </c>
      <c r="D662" s="352">
        <v>600</v>
      </c>
      <c r="E662" s="357">
        <v>10</v>
      </c>
      <c r="F662" s="357"/>
      <c r="G662" s="409" t="s">
        <v>1122</v>
      </c>
      <c r="H662" s="329"/>
      <c r="I662" s="326"/>
      <c r="J662" s="358"/>
      <c r="K662" s="358"/>
      <c r="L662" s="358"/>
      <c r="M662" s="358"/>
      <c r="N662" s="327"/>
      <c r="O662" s="328"/>
      <c r="P662" s="326">
        <v>0</v>
      </c>
      <c r="Q662" s="327"/>
      <c r="R662" s="313"/>
      <c r="S662" s="311"/>
      <c r="T662" s="311"/>
      <c r="U662" s="311"/>
      <c r="V662" s="311"/>
      <c r="W662" s="311"/>
      <c r="X662" s="311">
        <v>0</v>
      </c>
      <c r="Y662" s="1350">
        <f t="shared" si="70"/>
        <v>0</v>
      </c>
      <c r="Z662" s="1357">
        <f t="shared" si="71"/>
        <v>0</v>
      </c>
      <c r="AA662" s="311">
        <f t="shared" si="72"/>
        <v>0</v>
      </c>
      <c r="AB662" s="311">
        <f t="shared" si="73"/>
        <v>0</v>
      </c>
      <c r="AC662" s="311">
        <f t="shared" si="74"/>
        <v>0</v>
      </c>
      <c r="AD662" s="311">
        <f t="shared" si="75"/>
        <v>0</v>
      </c>
      <c r="AE662" s="311">
        <f t="shared" si="76"/>
        <v>0</v>
      </c>
      <c r="AF662" s="355"/>
      <c r="AG662" s="838"/>
      <c r="AH662" s="744"/>
      <c r="AI662" s="292"/>
      <c r="AK662" s="300"/>
      <c r="AS662" s="452"/>
    </row>
    <row r="663" spans="1:45" s="299" customFormat="1">
      <c r="A663" s="353">
        <v>335</v>
      </c>
      <c r="B663" s="352">
        <v>200</v>
      </c>
      <c r="C663" s="352">
        <v>100</v>
      </c>
      <c r="D663" s="352">
        <v>600</v>
      </c>
      <c r="E663" s="357">
        <v>15</v>
      </c>
      <c r="F663" s="357"/>
      <c r="G663" s="409" t="s">
        <v>1151</v>
      </c>
      <c r="H663" s="329"/>
      <c r="I663" s="326"/>
      <c r="J663" s="358"/>
      <c r="K663" s="358"/>
      <c r="L663" s="358"/>
      <c r="M663" s="358"/>
      <c r="N663" s="327"/>
      <c r="O663" s="328"/>
      <c r="P663" s="326">
        <v>0</v>
      </c>
      <c r="Q663" s="327"/>
      <c r="R663" s="532">
        <v>8860.2900000000009</v>
      </c>
      <c r="S663" s="413"/>
      <c r="T663" s="413"/>
      <c r="U663" s="413">
        <v>5036.6400000000003</v>
      </c>
      <c r="V663" s="413"/>
      <c r="W663" s="413"/>
      <c r="X663" s="413">
        <v>1000</v>
      </c>
      <c r="Y663" s="1350">
        <f t="shared" si="70"/>
        <v>8860.2900000000009</v>
      </c>
      <c r="Z663" s="1367">
        <f t="shared" si="71"/>
        <v>0</v>
      </c>
      <c r="AA663" s="413">
        <f t="shared" si="72"/>
        <v>0</v>
      </c>
      <c r="AB663" s="413">
        <f t="shared" si="73"/>
        <v>5036.6400000000003</v>
      </c>
      <c r="AC663" s="413">
        <f t="shared" si="74"/>
        <v>0</v>
      </c>
      <c r="AD663" s="413">
        <f t="shared" si="75"/>
        <v>0</v>
      </c>
      <c r="AE663" s="413">
        <f t="shared" si="76"/>
        <v>1000</v>
      </c>
      <c r="AF663" s="355"/>
      <c r="AG663" s="838"/>
      <c r="AH663" s="744"/>
      <c r="AI663" s="292"/>
      <c r="AK663" s="300"/>
      <c r="AS663" s="452"/>
    </row>
    <row r="664" spans="1:45" s="299" customFormat="1">
      <c r="A664" s="353">
        <v>335</v>
      </c>
      <c r="B664" s="352">
        <v>200</v>
      </c>
      <c r="C664" s="352">
        <v>100</v>
      </c>
      <c r="D664" s="357">
        <v>900</v>
      </c>
      <c r="E664" s="357"/>
      <c r="F664" s="357"/>
      <c r="G664" s="409" t="s">
        <v>1140</v>
      </c>
      <c r="H664" s="329"/>
      <c r="I664" s="326"/>
      <c r="J664" s="358"/>
      <c r="K664" s="358"/>
      <c r="L664" s="358"/>
      <c r="M664" s="358"/>
      <c r="N664" s="327"/>
      <c r="O664" s="328"/>
      <c r="P664" s="326">
        <v>0</v>
      </c>
      <c r="Q664" s="327"/>
      <c r="R664" s="313">
        <v>496142.82</v>
      </c>
      <c r="S664" s="311"/>
      <c r="T664" s="311"/>
      <c r="U664" s="311">
        <v>483668.35</v>
      </c>
      <c r="V664" s="311">
        <v>515.27</v>
      </c>
      <c r="W664" s="311"/>
      <c r="X664" s="311">
        <v>486314</v>
      </c>
      <c r="Y664" s="1350">
        <f t="shared" si="70"/>
        <v>496142.82</v>
      </c>
      <c r="Z664" s="1357">
        <f t="shared" si="71"/>
        <v>0</v>
      </c>
      <c r="AA664" s="311">
        <f t="shared" si="72"/>
        <v>0</v>
      </c>
      <c r="AB664" s="311">
        <f t="shared" si="73"/>
        <v>483668.35</v>
      </c>
      <c r="AC664" s="311">
        <f t="shared" si="74"/>
        <v>515.27</v>
      </c>
      <c r="AD664" s="311">
        <f t="shared" si="75"/>
        <v>0</v>
      </c>
      <c r="AE664" s="311">
        <f t="shared" si="76"/>
        <v>486314</v>
      </c>
      <c r="AF664" s="355"/>
      <c r="AG664" s="838"/>
      <c r="AH664" s="744"/>
      <c r="AI664" s="292"/>
      <c r="AK664" s="300"/>
      <c r="AS664" s="452"/>
    </row>
    <row r="665" spans="1:45" s="299" customFormat="1" ht="41.4">
      <c r="A665" s="353">
        <v>335</v>
      </c>
      <c r="B665" s="352">
        <v>200</v>
      </c>
      <c r="C665" s="352">
        <v>200</v>
      </c>
      <c r="D665" s="352"/>
      <c r="E665" s="352"/>
      <c r="F665" s="352"/>
      <c r="G665" s="323" t="s">
        <v>1209</v>
      </c>
      <c r="H665" s="334"/>
      <c r="I665" s="331"/>
      <c r="J665" s="359"/>
      <c r="K665" s="359"/>
      <c r="L665" s="359"/>
      <c r="M665" s="359"/>
      <c r="N665" s="332"/>
      <c r="O665" s="333"/>
      <c r="P665" s="331">
        <v>0</v>
      </c>
      <c r="Q665" s="332"/>
      <c r="R665" s="537"/>
      <c r="S665" s="416"/>
      <c r="T665" s="416"/>
      <c r="U665" s="416"/>
      <c r="V665" s="416"/>
      <c r="W665" s="416"/>
      <c r="X665" s="416">
        <v>0</v>
      </c>
      <c r="Y665" s="1352">
        <f t="shared" si="70"/>
        <v>0</v>
      </c>
      <c r="Z665" s="1372">
        <f t="shared" si="71"/>
        <v>0</v>
      </c>
      <c r="AA665" s="416">
        <f t="shared" si="72"/>
        <v>0</v>
      </c>
      <c r="AB665" s="416">
        <f t="shared" si="73"/>
        <v>0</v>
      </c>
      <c r="AC665" s="416">
        <f t="shared" si="74"/>
        <v>0</v>
      </c>
      <c r="AD665" s="416">
        <f t="shared" si="75"/>
        <v>0</v>
      </c>
      <c r="AE665" s="416">
        <f t="shared" si="76"/>
        <v>0</v>
      </c>
      <c r="AF665" s="355" t="s">
        <v>1210</v>
      </c>
      <c r="AG665" s="838"/>
      <c r="AH665" s="744"/>
      <c r="AI665" s="292"/>
      <c r="AK665" s="300"/>
      <c r="AS665" s="452"/>
    </row>
    <row r="666" spans="1:45" s="299" customFormat="1">
      <c r="A666" s="353">
        <v>335</v>
      </c>
      <c r="B666" s="352">
        <v>200</v>
      </c>
      <c r="C666" s="352">
        <v>200</v>
      </c>
      <c r="D666" s="357">
        <v>100</v>
      </c>
      <c r="E666" s="357"/>
      <c r="F666" s="357"/>
      <c r="G666" s="409" t="s">
        <v>1112</v>
      </c>
      <c r="H666" s="329"/>
      <c r="I666" s="326"/>
      <c r="J666" s="358"/>
      <c r="K666" s="358"/>
      <c r="L666" s="358"/>
      <c r="M666" s="358"/>
      <c r="N666" s="327"/>
      <c r="O666" s="328"/>
      <c r="P666" s="326">
        <v>0</v>
      </c>
      <c r="Q666" s="327"/>
      <c r="R666" s="313">
        <v>78709.789999999994</v>
      </c>
      <c r="S666" s="311"/>
      <c r="T666" s="311"/>
      <c r="U666" s="311">
        <v>77991.649999999994</v>
      </c>
      <c r="V666" s="311"/>
      <c r="W666" s="311"/>
      <c r="X666" s="311">
        <v>90204</v>
      </c>
      <c r="Y666" s="1350">
        <f t="shared" si="70"/>
        <v>78709.789999999994</v>
      </c>
      <c r="Z666" s="1357">
        <f t="shared" si="71"/>
        <v>0</v>
      </c>
      <c r="AA666" s="311">
        <f t="shared" si="72"/>
        <v>0</v>
      </c>
      <c r="AB666" s="311">
        <f t="shared" si="73"/>
        <v>77991.649999999994</v>
      </c>
      <c r="AC666" s="311">
        <f t="shared" si="74"/>
        <v>0</v>
      </c>
      <c r="AD666" s="311">
        <f t="shared" si="75"/>
        <v>0</v>
      </c>
      <c r="AE666" s="311">
        <f t="shared" si="76"/>
        <v>90204</v>
      </c>
      <c r="AF666" s="355"/>
      <c r="AG666" s="838"/>
      <c r="AH666" s="744"/>
      <c r="AI666" s="292"/>
      <c r="AK666" s="300"/>
      <c r="AS666" s="452"/>
    </row>
    <row r="667" spans="1:45" s="299" customFormat="1">
      <c r="A667" s="353">
        <v>335</v>
      </c>
      <c r="B667" s="352">
        <v>200</v>
      </c>
      <c r="C667" s="352">
        <v>200</v>
      </c>
      <c r="D667" s="357">
        <v>200</v>
      </c>
      <c r="E667" s="357"/>
      <c r="F667" s="357"/>
      <c r="G667" s="409" t="s">
        <v>1148</v>
      </c>
      <c r="H667" s="329"/>
      <c r="I667" s="326"/>
      <c r="J667" s="358"/>
      <c r="K667" s="358"/>
      <c r="L667" s="358"/>
      <c r="M667" s="358"/>
      <c r="N667" s="327"/>
      <c r="O667" s="328"/>
      <c r="P667" s="326">
        <v>0</v>
      </c>
      <c r="Q667" s="327"/>
      <c r="R667" s="313">
        <v>169.64</v>
      </c>
      <c r="S667" s="311"/>
      <c r="T667" s="311"/>
      <c r="U667" s="311">
        <v>169.64</v>
      </c>
      <c r="V667" s="311"/>
      <c r="W667" s="311"/>
      <c r="X667" s="311">
        <v>0</v>
      </c>
      <c r="Y667" s="1350">
        <f t="shared" si="70"/>
        <v>169.64</v>
      </c>
      <c r="Z667" s="1357">
        <f t="shared" si="71"/>
        <v>0</v>
      </c>
      <c r="AA667" s="311">
        <f t="shared" si="72"/>
        <v>0</v>
      </c>
      <c r="AB667" s="311">
        <f t="shared" si="73"/>
        <v>169.64</v>
      </c>
      <c r="AC667" s="311">
        <f t="shared" si="74"/>
        <v>0</v>
      </c>
      <c r="AD667" s="311">
        <f t="shared" si="75"/>
        <v>0</v>
      </c>
      <c r="AE667" s="311">
        <f t="shared" si="76"/>
        <v>0</v>
      </c>
      <c r="AF667" s="355"/>
      <c r="AG667" s="838"/>
      <c r="AH667" s="744"/>
      <c r="AI667" s="292"/>
      <c r="AK667" s="300"/>
      <c r="AS667" s="452"/>
    </row>
    <row r="668" spans="1:45" s="299" customFormat="1">
      <c r="A668" s="353">
        <v>335</v>
      </c>
      <c r="B668" s="352">
        <v>200</v>
      </c>
      <c r="C668" s="352">
        <v>200</v>
      </c>
      <c r="D668" s="357">
        <v>300</v>
      </c>
      <c r="E668" s="357"/>
      <c r="F668" s="357"/>
      <c r="G668" s="409" t="s">
        <v>1149</v>
      </c>
      <c r="H668" s="329"/>
      <c r="I668" s="326"/>
      <c r="J668" s="358"/>
      <c r="K668" s="358"/>
      <c r="L668" s="358"/>
      <c r="M668" s="358"/>
      <c r="N668" s="327"/>
      <c r="O668" s="328"/>
      <c r="P668" s="326">
        <v>0</v>
      </c>
      <c r="Q668" s="327"/>
      <c r="R668" s="313">
        <v>3196.21</v>
      </c>
      <c r="S668" s="311"/>
      <c r="T668" s="311"/>
      <c r="U668" s="311">
        <v>3196.21</v>
      </c>
      <c r="V668" s="311"/>
      <c r="W668" s="311"/>
      <c r="X668" s="311">
        <v>527</v>
      </c>
      <c r="Y668" s="1350">
        <f t="shared" si="70"/>
        <v>3196.21</v>
      </c>
      <c r="Z668" s="1357">
        <f t="shared" si="71"/>
        <v>0</v>
      </c>
      <c r="AA668" s="311">
        <f t="shared" si="72"/>
        <v>0</v>
      </c>
      <c r="AB668" s="311">
        <f t="shared" si="73"/>
        <v>3196.21</v>
      </c>
      <c r="AC668" s="311">
        <f t="shared" si="74"/>
        <v>0</v>
      </c>
      <c r="AD668" s="311">
        <f t="shared" si="75"/>
        <v>0</v>
      </c>
      <c r="AE668" s="311">
        <f t="shared" si="76"/>
        <v>527</v>
      </c>
      <c r="AF668" s="355"/>
      <c r="AG668" s="838"/>
      <c r="AH668" s="744"/>
      <c r="AI668" s="292"/>
      <c r="AK668" s="300"/>
      <c r="AS668" s="452"/>
    </row>
    <row r="669" spans="1:45" s="299" customFormat="1">
      <c r="A669" s="353">
        <v>335</v>
      </c>
      <c r="B669" s="352">
        <v>200</v>
      </c>
      <c r="C669" s="352">
        <v>200</v>
      </c>
      <c r="D669" s="357">
        <v>400</v>
      </c>
      <c r="E669" s="357"/>
      <c r="F669" s="357"/>
      <c r="G669" s="409" t="s">
        <v>1150</v>
      </c>
      <c r="H669" s="329"/>
      <c r="I669" s="326"/>
      <c r="J669" s="358"/>
      <c r="K669" s="358"/>
      <c r="L669" s="358"/>
      <c r="M669" s="358"/>
      <c r="N669" s="327"/>
      <c r="O669" s="328"/>
      <c r="P669" s="326">
        <v>0</v>
      </c>
      <c r="Q669" s="327"/>
      <c r="R669" s="313">
        <v>3807.58</v>
      </c>
      <c r="S669" s="311"/>
      <c r="T669" s="311"/>
      <c r="U669" s="311">
        <v>2610.6999999999998</v>
      </c>
      <c r="V669" s="311"/>
      <c r="W669" s="311"/>
      <c r="X669" s="311">
        <v>12719</v>
      </c>
      <c r="Y669" s="1350">
        <f t="shared" si="70"/>
        <v>3807.58</v>
      </c>
      <c r="Z669" s="1357">
        <f t="shared" si="71"/>
        <v>0</v>
      </c>
      <c r="AA669" s="311">
        <f t="shared" si="72"/>
        <v>0</v>
      </c>
      <c r="AB669" s="311">
        <f t="shared" si="73"/>
        <v>2610.6999999999998</v>
      </c>
      <c r="AC669" s="311">
        <f t="shared" si="74"/>
        <v>0</v>
      </c>
      <c r="AD669" s="311">
        <f t="shared" si="75"/>
        <v>0</v>
      </c>
      <c r="AE669" s="311">
        <f t="shared" si="76"/>
        <v>12719</v>
      </c>
      <c r="AF669" s="355"/>
      <c r="AG669" s="838"/>
      <c r="AH669" s="744"/>
      <c r="AI669" s="292"/>
      <c r="AK669" s="300"/>
      <c r="AS669" s="452"/>
    </row>
    <row r="670" spans="1:45" s="299" customFormat="1">
      <c r="A670" s="353">
        <v>335</v>
      </c>
      <c r="B670" s="352">
        <v>200</v>
      </c>
      <c r="C670" s="352">
        <v>200</v>
      </c>
      <c r="D670" s="357">
        <v>500</v>
      </c>
      <c r="E670" s="357"/>
      <c r="F670" s="357"/>
      <c r="G670" s="409" t="s">
        <v>1137</v>
      </c>
      <c r="H670" s="329"/>
      <c r="I670" s="326"/>
      <c r="J670" s="358"/>
      <c r="K670" s="358"/>
      <c r="L670" s="358"/>
      <c r="M670" s="358"/>
      <c r="N670" s="327"/>
      <c r="O670" s="328"/>
      <c r="P670" s="326">
        <v>0</v>
      </c>
      <c r="Q670" s="327"/>
      <c r="R670" s="313">
        <v>594.38</v>
      </c>
      <c r="S670" s="311"/>
      <c r="T670" s="311"/>
      <c r="U670" s="311">
        <v>519.57000000000005</v>
      </c>
      <c r="V670" s="311"/>
      <c r="W670" s="311"/>
      <c r="X670" s="311">
        <v>2797</v>
      </c>
      <c r="Y670" s="1350">
        <f t="shared" si="70"/>
        <v>594.38</v>
      </c>
      <c r="Z670" s="1357">
        <f t="shared" si="71"/>
        <v>0</v>
      </c>
      <c r="AA670" s="311">
        <f t="shared" si="72"/>
        <v>0</v>
      </c>
      <c r="AB670" s="311">
        <f t="shared" si="73"/>
        <v>519.57000000000005</v>
      </c>
      <c r="AC670" s="311">
        <f t="shared" si="74"/>
        <v>0</v>
      </c>
      <c r="AD670" s="311">
        <f t="shared" si="75"/>
        <v>0</v>
      </c>
      <c r="AE670" s="311">
        <f t="shared" si="76"/>
        <v>2797</v>
      </c>
      <c r="AF670" s="355"/>
      <c r="AG670" s="838"/>
      <c r="AH670" s="744"/>
      <c r="AI670" s="292"/>
      <c r="AK670" s="300"/>
      <c r="AS670" s="452"/>
    </row>
    <row r="671" spans="1:45" s="299" customFormat="1">
      <c r="A671" s="353">
        <v>335</v>
      </c>
      <c r="B671" s="352">
        <v>200</v>
      </c>
      <c r="C671" s="352">
        <v>200</v>
      </c>
      <c r="D671" s="352">
        <v>600</v>
      </c>
      <c r="E671" s="352"/>
      <c r="F671" s="352"/>
      <c r="G671" s="411" t="s">
        <v>1120</v>
      </c>
      <c r="H671" s="334"/>
      <c r="I671" s="331"/>
      <c r="J671" s="359"/>
      <c r="K671" s="359"/>
      <c r="L671" s="359"/>
      <c r="M671" s="359"/>
      <c r="N671" s="332"/>
      <c r="O671" s="333"/>
      <c r="P671" s="331">
        <v>0</v>
      </c>
      <c r="Q671" s="332"/>
      <c r="R671" s="531"/>
      <c r="S671" s="415"/>
      <c r="T671" s="415"/>
      <c r="U671" s="415"/>
      <c r="V671" s="415"/>
      <c r="W671" s="415"/>
      <c r="X671" s="415">
        <v>0</v>
      </c>
      <c r="Y671" s="1352">
        <f t="shared" si="70"/>
        <v>0</v>
      </c>
      <c r="Z671" s="1366">
        <f t="shared" si="71"/>
        <v>0</v>
      </c>
      <c r="AA671" s="415">
        <f t="shared" si="72"/>
        <v>0</v>
      </c>
      <c r="AB671" s="415">
        <f t="shared" si="73"/>
        <v>0</v>
      </c>
      <c r="AC671" s="415">
        <f t="shared" si="74"/>
        <v>0</v>
      </c>
      <c r="AD671" s="415">
        <f t="shared" si="75"/>
        <v>0</v>
      </c>
      <c r="AE671" s="415">
        <f t="shared" si="76"/>
        <v>0</v>
      </c>
      <c r="AF671" s="355"/>
      <c r="AG671" s="838"/>
      <c r="AH671" s="744"/>
      <c r="AI671" s="292"/>
      <c r="AK671" s="300"/>
      <c r="AS671" s="452"/>
    </row>
    <row r="672" spans="1:45" s="299" customFormat="1">
      <c r="A672" s="353">
        <v>335</v>
      </c>
      <c r="B672" s="352">
        <v>200</v>
      </c>
      <c r="C672" s="352">
        <v>200</v>
      </c>
      <c r="D672" s="352">
        <v>600</v>
      </c>
      <c r="E672" s="357">
        <v>5</v>
      </c>
      <c r="F672" s="357"/>
      <c r="G672" s="409" t="s">
        <v>1121</v>
      </c>
      <c r="H672" s="329"/>
      <c r="I672" s="326"/>
      <c r="J672" s="358"/>
      <c r="K672" s="358"/>
      <c r="L672" s="358"/>
      <c r="M672" s="358"/>
      <c r="N672" s="327"/>
      <c r="O672" s="328"/>
      <c r="P672" s="326">
        <v>0</v>
      </c>
      <c r="Q672" s="327"/>
      <c r="R672" s="313"/>
      <c r="S672" s="311"/>
      <c r="T672" s="311"/>
      <c r="U672" s="311"/>
      <c r="V672" s="311"/>
      <c r="W672" s="311"/>
      <c r="X672" s="311">
        <v>0</v>
      </c>
      <c r="Y672" s="1350">
        <f t="shared" si="70"/>
        <v>0</v>
      </c>
      <c r="Z672" s="1357">
        <f t="shared" si="71"/>
        <v>0</v>
      </c>
      <c r="AA672" s="311">
        <f t="shared" si="72"/>
        <v>0</v>
      </c>
      <c r="AB672" s="311">
        <f t="shared" si="73"/>
        <v>0</v>
      </c>
      <c r="AC672" s="311">
        <f t="shared" si="74"/>
        <v>0</v>
      </c>
      <c r="AD672" s="311">
        <f t="shared" si="75"/>
        <v>0</v>
      </c>
      <c r="AE672" s="311">
        <f t="shared" si="76"/>
        <v>0</v>
      </c>
      <c r="AF672" s="355"/>
      <c r="AG672" s="838"/>
      <c r="AH672" s="744"/>
      <c r="AI672" s="292"/>
      <c r="AK672" s="300"/>
      <c r="AS672" s="452"/>
    </row>
    <row r="673" spans="1:45" s="299" customFormat="1">
      <c r="A673" s="353">
        <v>335</v>
      </c>
      <c r="B673" s="352">
        <v>200</v>
      </c>
      <c r="C673" s="352">
        <v>200</v>
      </c>
      <c r="D673" s="352">
        <v>600</v>
      </c>
      <c r="E673" s="357">
        <v>10</v>
      </c>
      <c r="F673" s="357"/>
      <c r="G673" s="409" t="s">
        <v>1122</v>
      </c>
      <c r="H673" s="329"/>
      <c r="I673" s="326"/>
      <c r="J673" s="358"/>
      <c r="K673" s="358"/>
      <c r="L673" s="358"/>
      <c r="M673" s="358"/>
      <c r="N673" s="327"/>
      <c r="O673" s="328"/>
      <c r="P673" s="326">
        <v>0</v>
      </c>
      <c r="Q673" s="327"/>
      <c r="R673" s="538"/>
      <c r="S673" s="414"/>
      <c r="T673" s="414"/>
      <c r="U673" s="414"/>
      <c r="V673" s="414"/>
      <c r="W673" s="414"/>
      <c r="X673" s="414">
        <v>0</v>
      </c>
      <c r="Y673" s="1350">
        <f t="shared" si="70"/>
        <v>0</v>
      </c>
      <c r="Z673" s="1373">
        <f t="shared" si="71"/>
        <v>0</v>
      </c>
      <c r="AA673" s="414">
        <f t="shared" si="72"/>
        <v>0</v>
      </c>
      <c r="AB673" s="414">
        <f t="shared" si="73"/>
        <v>0</v>
      </c>
      <c r="AC673" s="414">
        <f t="shared" si="74"/>
        <v>0</v>
      </c>
      <c r="AD673" s="414">
        <f t="shared" si="75"/>
        <v>0</v>
      </c>
      <c r="AE673" s="414">
        <f t="shared" si="76"/>
        <v>0</v>
      </c>
      <c r="AF673" s="355"/>
      <c r="AG673" s="838"/>
      <c r="AH673" s="744"/>
      <c r="AI673" s="292"/>
      <c r="AK673" s="300"/>
      <c r="AS673" s="452"/>
    </row>
    <row r="674" spans="1:45" s="299" customFormat="1">
      <c r="A674" s="353">
        <v>335</v>
      </c>
      <c r="B674" s="352">
        <v>200</v>
      </c>
      <c r="C674" s="352">
        <v>200</v>
      </c>
      <c r="D674" s="352">
        <v>600</v>
      </c>
      <c r="E674" s="357">
        <v>15</v>
      </c>
      <c r="F674" s="357"/>
      <c r="G674" s="409" t="s">
        <v>1151</v>
      </c>
      <c r="H674" s="329"/>
      <c r="I674" s="326"/>
      <c r="J674" s="358"/>
      <c r="K674" s="358"/>
      <c r="L674" s="358"/>
      <c r="M674" s="358"/>
      <c r="N674" s="327"/>
      <c r="O674" s="328"/>
      <c r="P674" s="326">
        <v>0</v>
      </c>
      <c r="Q674" s="327"/>
      <c r="R674" s="532"/>
      <c r="S674" s="413"/>
      <c r="T674" s="413"/>
      <c r="U674" s="413"/>
      <c r="V674" s="413"/>
      <c r="W674" s="413"/>
      <c r="X674" s="413">
        <v>0</v>
      </c>
      <c r="Y674" s="1350">
        <f t="shared" si="70"/>
        <v>0</v>
      </c>
      <c r="Z674" s="1367">
        <f t="shared" si="71"/>
        <v>0</v>
      </c>
      <c r="AA674" s="413">
        <f t="shared" si="72"/>
        <v>0</v>
      </c>
      <c r="AB674" s="413">
        <f t="shared" si="73"/>
        <v>0</v>
      </c>
      <c r="AC674" s="413">
        <f t="shared" si="74"/>
        <v>0</v>
      </c>
      <c r="AD674" s="413">
        <f t="shared" si="75"/>
        <v>0</v>
      </c>
      <c r="AE674" s="413">
        <f t="shared" si="76"/>
        <v>0</v>
      </c>
      <c r="AF674" s="355"/>
      <c r="AG674" s="838"/>
      <c r="AH674" s="744"/>
      <c r="AI674" s="292"/>
      <c r="AK674" s="300"/>
      <c r="AS674" s="452"/>
    </row>
    <row r="675" spans="1:45" s="299" customFormat="1">
      <c r="A675" s="353">
        <v>335</v>
      </c>
      <c r="B675" s="352">
        <v>200</v>
      </c>
      <c r="C675" s="352">
        <v>200</v>
      </c>
      <c r="D675" s="357">
        <v>900</v>
      </c>
      <c r="E675" s="357"/>
      <c r="F675" s="357"/>
      <c r="G675" s="409" t="s">
        <v>1140</v>
      </c>
      <c r="H675" s="329"/>
      <c r="I675" s="326"/>
      <c r="J675" s="358"/>
      <c r="K675" s="358"/>
      <c r="L675" s="358"/>
      <c r="M675" s="358"/>
      <c r="N675" s="327"/>
      <c r="O675" s="328"/>
      <c r="P675" s="326">
        <v>0</v>
      </c>
      <c r="Q675" s="327"/>
      <c r="R675" s="313">
        <v>26407.79</v>
      </c>
      <c r="S675" s="311"/>
      <c r="T675" s="311"/>
      <c r="U675" s="311">
        <v>26124.89</v>
      </c>
      <c r="V675" s="311"/>
      <c r="W675" s="311"/>
      <c r="X675" s="311">
        <v>32176</v>
      </c>
      <c r="Y675" s="1350">
        <f t="shared" si="70"/>
        <v>26407.79</v>
      </c>
      <c r="Z675" s="1357">
        <f t="shared" si="71"/>
        <v>0</v>
      </c>
      <c r="AA675" s="311">
        <f t="shared" si="72"/>
        <v>0</v>
      </c>
      <c r="AB675" s="311">
        <f t="shared" si="73"/>
        <v>26124.89</v>
      </c>
      <c r="AC675" s="311">
        <f t="shared" si="74"/>
        <v>0</v>
      </c>
      <c r="AD675" s="311">
        <f t="shared" si="75"/>
        <v>0</v>
      </c>
      <c r="AE675" s="311">
        <f t="shared" si="76"/>
        <v>32176</v>
      </c>
      <c r="AF675" s="355"/>
      <c r="AG675" s="838"/>
      <c r="AH675" s="744"/>
      <c r="AI675" s="292"/>
      <c r="AK675" s="300"/>
      <c r="AS675" s="452"/>
    </row>
    <row r="676" spans="1:45" s="292" customFormat="1" ht="27.6">
      <c r="A676" s="353">
        <v>335</v>
      </c>
      <c r="B676" s="352">
        <v>200</v>
      </c>
      <c r="C676" s="357">
        <v>300</v>
      </c>
      <c r="D676" s="357"/>
      <c r="E676" s="357"/>
      <c r="F676" s="357"/>
      <c r="G676" s="323" t="s">
        <v>1211</v>
      </c>
      <c r="H676" s="329"/>
      <c r="I676" s="326"/>
      <c r="J676" s="358"/>
      <c r="K676" s="358"/>
      <c r="L676" s="358"/>
      <c r="M676" s="358"/>
      <c r="N676" s="327"/>
      <c r="O676" s="328"/>
      <c r="P676" s="326">
        <v>0</v>
      </c>
      <c r="Q676" s="327"/>
      <c r="R676" s="536"/>
      <c r="S676" s="412"/>
      <c r="T676" s="412"/>
      <c r="U676" s="412"/>
      <c r="V676" s="412"/>
      <c r="W676" s="412"/>
      <c r="X676" s="412">
        <v>0</v>
      </c>
      <c r="Y676" s="1350">
        <f t="shared" si="70"/>
        <v>0</v>
      </c>
      <c r="Z676" s="1371">
        <f t="shared" si="71"/>
        <v>0</v>
      </c>
      <c r="AA676" s="412">
        <f t="shared" si="72"/>
        <v>0</v>
      </c>
      <c r="AB676" s="412">
        <f t="shared" si="73"/>
        <v>0</v>
      </c>
      <c r="AC676" s="412">
        <f t="shared" si="74"/>
        <v>0</v>
      </c>
      <c r="AD676" s="412">
        <f t="shared" si="75"/>
        <v>0</v>
      </c>
      <c r="AE676" s="412">
        <f t="shared" si="76"/>
        <v>0</v>
      </c>
      <c r="AF676" s="355" t="s">
        <v>1212</v>
      </c>
      <c r="AG676" s="838"/>
      <c r="AH676" s="744"/>
      <c r="AK676" s="293"/>
      <c r="AS676" s="744"/>
    </row>
    <row r="677" spans="1:45" s="299" customFormat="1">
      <c r="A677" s="338">
        <v>340</v>
      </c>
      <c r="B677" s="337">
        <v>0</v>
      </c>
      <c r="C677" s="337">
        <v>0</v>
      </c>
      <c r="D677" s="337">
        <v>0</v>
      </c>
      <c r="E677" s="337">
        <v>0</v>
      </c>
      <c r="F677" s="337">
        <v>0</v>
      </c>
      <c r="G677" s="391" t="s">
        <v>68</v>
      </c>
      <c r="H677" s="334"/>
      <c r="I677" s="331"/>
      <c r="J677" s="359"/>
      <c r="K677" s="359"/>
      <c r="L677" s="359"/>
      <c r="M677" s="359"/>
      <c r="N677" s="332"/>
      <c r="O677" s="333"/>
      <c r="P677" s="331">
        <v>0</v>
      </c>
      <c r="Q677" s="332"/>
      <c r="R677" s="334"/>
      <c r="S677" s="331"/>
      <c r="T677" s="331"/>
      <c r="U677" s="331"/>
      <c r="V677" s="331"/>
      <c r="W677" s="331"/>
      <c r="X677" s="331"/>
      <c r="Y677" s="1352">
        <f t="shared" si="70"/>
        <v>0</v>
      </c>
      <c r="Z677" s="1353">
        <f t="shared" si="71"/>
        <v>0</v>
      </c>
      <c r="AA677" s="331">
        <f t="shared" si="72"/>
        <v>0</v>
      </c>
      <c r="AB677" s="331">
        <f t="shared" si="73"/>
        <v>0</v>
      </c>
      <c r="AC677" s="331">
        <f t="shared" si="74"/>
        <v>0</v>
      </c>
      <c r="AD677" s="331">
        <f t="shared" si="75"/>
        <v>0</v>
      </c>
      <c r="AE677" s="331">
        <f t="shared" si="76"/>
        <v>0</v>
      </c>
      <c r="AF677" s="330" t="s">
        <v>1213</v>
      </c>
      <c r="AG677" s="837"/>
      <c r="AH677" s="744">
        <f>SUM(Y678:Y706)</f>
        <v>803779.25</v>
      </c>
      <c r="AI677" s="292" t="s">
        <v>2267</v>
      </c>
      <c r="AK677" s="300"/>
      <c r="AS677" s="452"/>
    </row>
    <row r="678" spans="1:45" s="299" customFormat="1" ht="27.6">
      <c r="A678" s="353">
        <v>340</v>
      </c>
      <c r="B678" s="352">
        <v>100</v>
      </c>
      <c r="C678" s="352"/>
      <c r="D678" s="352"/>
      <c r="E678" s="352"/>
      <c r="F678" s="352"/>
      <c r="G678" s="323" t="s">
        <v>1214</v>
      </c>
      <c r="H678" s="334"/>
      <c r="I678" s="331"/>
      <c r="J678" s="359"/>
      <c r="K678" s="359"/>
      <c r="L678" s="359"/>
      <c r="M678" s="359"/>
      <c r="N678" s="332"/>
      <c r="O678" s="333"/>
      <c r="P678" s="331">
        <v>0</v>
      </c>
      <c r="Q678" s="332"/>
      <c r="R678" s="334"/>
      <c r="S678" s="331"/>
      <c r="T678" s="331"/>
      <c r="U678" s="331"/>
      <c r="V678" s="331"/>
      <c r="W678" s="331"/>
      <c r="X678" s="331"/>
      <c r="Y678" s="1352">
        <f t="shared" si="70"/>
        <v>0</v>
      </c>
      <c r="Z678" s="1353">
        <f t="shared" si="71"/>
        <v>0</v>
      </c>
      <c r="AA678" s="331">
        <f t="shared" si="72"/>
        <v>0</v>
      </c>
      <c r="AB678" s="331">
        <f t="shared" si="73"/>
        <v>0</v>
      </c>
      <c r="AC678" s="331">
        <f t="shared" si="74"/>
        <v>0</v>
      </c>
      <c r="AD678" s="331">
        <f t="shared" si="75"/>
        <v>0</v>
      </c>
      <c r="AE678" s="331">
        <f t="shared" si="76"/>
        <v>0</v>
      </c>
      <c r="AF678" s="355" t="s">
        <v>1215</v>
      </c>
      <c r="AG678" s="838"/>
      <c r="AH678" s="744"/>
      <c r="AI678" s="292"/>
      <c r="AK678" s="300"/>
      <c r="AS678" s="452"/>
    </row>
    <row r="679" spans="1:45" s="299" customFormat="1">
      <c r="A679" s="353">
        <v>340</v>
      </c>
      <c r="B679" s="352">
        <v>100</v>
      </c>
      <c r="C679" s="357">
        <v>100</v>
      </c>
      <c r="D679" s="357"/>
      <c r="E679" s="357"/>
      <c r="F679" s="357"/>
      <c r="G679" s="315" t="s">
        <v>1216</v>
      </c>
      <c r="H679" s="314"/>
      <c r="I679" s="311"/>
      <c r="J679" s="319"/>
      <c r="K679" s="319"/>
      <c r="L679" s="319"/>
      <c r="M679" s="319"/>
      <c r="N679" s="312"/>
      <c r="O679" s="313"/>
      <c r="P679" s="311">
        <v>0</v>
      </c>
      <c r="Q679" s="312"/>
      <c r="R679" s="314"/>
      <c r="S679" s="311"/>
      <c r="T679" s="311"/>
      <c r="U679" s="311"/>
      <c r="V679" s="311"/>
      <c r="W679" s="311"/>
      <c r="X679" s="311"/>
      <c r="Y679" s="1356">
        <f t="shared" si="70"/>
        <v>0</v>
      </c>
      <c r="Z679" s="1357">
        <f t="shared" si="71"/>
        <v>0</v>
      </c>
      <c r="AA679" s="311">
        <f t="shared" si="72"/>
        <v>0</v>
      </c>
      <c r="AB679" s="311">
        <f t="shared" si="73"/>
        <v>0</v>
      </c>
      <c r="AC679" s="311">
        <f t="shared" si="74"/>
        <v>0</v>
      </c>
      <c r="AD679" s="311">
        <f t="shared" si="75"/>
        <v>0</v>
      </c>
      <c r="AE679" s="311">
        <f t="shared" si="76"/>
        <v>0</v>
      </c>
      <c r="AF679" s="355"/>
      <c r="AG679" s="838"/>
      <c r="AH679" s="744"/>
      <c r="AI679" s="292"/>
      <c r="AK679" s="300"/>
      <c r="AS679" s="452"/>
    </row>
    <row r="680" spans="1:45" s="299" customFormat="1">
      <c r="A680" s="353">
        <v>340</v>
      </c>
      <c r="B680" s="352">
        <v>100</v>
      </c>
      <c r="C680" s="357">
        <v>200</v>
      </c>
      <c r="D680" s="357"/>
      <c r="E680" s="357"/>
      <c r="F680" s="357"/>
      <c r="G680" s="315" t="s">
        <v>1217</v>
      </c>
      <c r="H680" s="314"/>
      <c r="I680" s="311"/>
      <c r="J680" s="319"/>
      <c r="K680" s="319"/>
      <c r="L680" s="319"/>
      <c r="M680" s="319"/>
      <c r="N680" s="312"/>
      <c r="O680" s="313"/>
      <c r="P680" s="311">
        <v>0</v>
      </c>
      <c r="Q680" s="312"/>
      <c r="R680" s="314">
        <v>20626.66</v>
      </c>
      <c r="S680" s="311"/>
      <c r="T680" s="311"/>
      <c r="U680" s="311">
        <v>20512.47</v>
      </c>
      <c r="V680" s="311"/>
      <c r="W680" s="311"/>
      <c r="X680" s="311">
        <v>10000</v>
      </c>
      <c r="Y680" s="1356">
        <f t="shared" si="70"/>
        <v>20626.66</v>
      </c>
      <c r="Z680" s="1357">
        <f t="shared" si="71"/>
        <v>0</v>
      </c>
      <c r="AA680" s="311">
        <f t="shared" si="72"/>
        <v>0</v>
      </c>
      <c r="AB680" s="311">
        <f t="shared" si="73"/>
        <v>20512.47</v>
      </c>
      <c r="AC680" s="311">
        <f t="shared" si="74"/>
        <v>0</v>
      </c>
      <c r="AD680" s="311">
        <f t="shared" si="75"/>
        <v>0</v>
      </c>
      <c r="AE680" s="311">
        <f t="shared" si="76"/>
        <v>10000</v>
      </c>
      <c r="AF680" s="355"/>
      <c r="AG680" s="838"/>
      <c r="AH680" s="744"/>
      <c r="AI680" s="292"/>
      <c r="AK680" s="300"/>
      <c r="AS680" s="452"/>
    </row>
    <row r="681" spans="1:45" s="299" customFormat="1">
      <c r="A681" s="353">
        <v>340</v>
      </c>
      <c r="B681" s="352">
        <v>100</v>
      </c>
      <c r="C681" s="357">
        <v>300</v>
      </c>
      <c r="D681" s="357"/>
      <c r="E681" s="357"/>
      <c r="F681" s="357"/>
      <c r="G681" s="315" t="s">
        <v>1218</v>
      </c>
      <c r="H681" s="314"/>
      <c r="I681" s="311"/>
      <c r="J681" s="319"/>
      <c r="K681" s="319"/>
      <c r="L681" s="319"/>
      <c r="M681" s="319"/>
      <c r="N681" s="312"/>
      <c r="O681" s="313"/>
      <c r="P681" s="311">
        <v>0</v>
      </c>
      <c r="Q681" s="312"/>
      <c r="R681" s="314"/>
      <c r="S681" s="311"/>
      <c r="T681" s="311"/>
      <c r="U681" s="311">
        <v>0</v>
      </c>
      <c r="V681" s="311"/>
      <c r="W681" s="311"/>
      <c r="X681" s="311">
        <v>2000</v>
      </c>
      <c r="Y681" s="1356">
        <f t="shared" si="70"/>
        <v>0</v>
      </c>
      <c r="Z681" s="1357">
        <f t="shared" si="71"/>
        <v>0</v>
      </c>
      <c r="AA681" s="311">
        <f t="shared" si="72"/>
        <v>0</v>
      </c>
      <c r="AB681" s="311">
        <f t="shared" si="73"/>
        <v>0</v>
      </c>
      <c r="AC681" s="311">
        <f t="shared" si="74"/>
        <v>0</v>
      </c>
      <c r="AD681" s="311">
        <f t="shared" si="75"/>
        <v>0</v>
      </c>
      <c r="AE681" s="311">
        <f t="shared" si="76"/>
        <v>2000</v>
      </c>
      <c r="AF681" s="355"/>
      <c r="AG681" s="838"/>
      <c r="AH681" s="744"/>
      <c r="AI681" s="292"/>
      <c r="AK681" s="300"/>
      <c r="AS681" s="452"/>
    </row>
    <row r="682" spans="1:45" s="299" customFormat="1">
      <c r="A682" s="353">
        <v>340</v>
      </c>
      <c r="B682" s="352">
        <v>100</v>
      </c>
      <c r="C682" s="357">
        <v>400</v>
      </c>
      <c r="D682" s="357"/>
      <c r="E682" s="357"/>
      <c r="F682" s="357"/>
      <c r="G682" s="315" t="s">
        <v>1219</v>
      </c>
      <c r="H682" s="314"/>
      <c r="I682" s="311"/>
      <c r="J682" s="319"/>
      <c r="K682" s="319"/>
      <c r="L682" s="319"/>
      <c r="M682" s="319"/>
      <c r="N682" s="312"/>
      <c r="O682" s="313"/>
      <c r="P682" s="311">
        <v>0</v>
      </c>
      <c r="Q682" s="312"/>
      <c r="R682" s="314">
        <v>95460</v>
      </c>
      <c r="S682" s="311"/>
      <c r="T682" s="311"/>
      <c r="U682" s="311">
        <v>95460</v>
      </c>
      <c r="V682" s="311"/>
      <c r="W682" s="311"/>
      <c r="X682" s="311">
        <v>90000</v>
      </c>
      <c r="Y682" s="1356">
        <f t="shared" si="70"/>
        <v>95460</v>
      </c>
      <c r="Z682" s="1357">
        <f t="shared" si="71"/>
        <v>0</v>
      </c>
      <c r="AA682" s="311">
        <f t="shared" si="72"/>
        <v>0</v>
      </c>
      <c r="AB682" s="311">
        <f t="shared" si="73"/>
        <v>95460</v>
      </c>
      <c r="AC682" s="311">
        <f t="shared" si="74"/>
        <v>0</v>
      </c>
      <c r="AD682" s="311">
        <f t="shared" si="75"/>
        <v>0</v>
      </c>
      <c r="AE682" s="311">
        <f t="shared" si="76"/>
        <v>90000</v>
      </c>
      <c r="AF682" s="355"/>
      <c r="AG682" s="838"/>
      <c r="AH682" s="744"/>
      <c r="AI682" s="292"/>
      <c r="AK682" s="300"/>
      <c r="AS682" s="452"/>
    </row>
    <row r="683" spans="1:45" s="299" customFormat="1">
      <c r="A683" s="353">
        <v>340</v>
      </c>
      <c r="B683" s="352">
        <v>100</v>
      </c>
      <c r="C683" s="357">
        <v>500</v>
      </c>
      <c r="D683" s="357"/>
      <c r="E683" s="357"/>
      <c r="F683" s="357"/>
      <c r="G683" s="315" t="s">
        <v>1220</v>
      </c>
      <c r="H683" s="314"/>
      <c r="I683" s="311"/>
      <c r="J683" s="319"/>
      <c r="K683" s="319"/>
      <c r="L683" s="319"/>
      <c r="M683" s="319"/>
      <c r="N683" s="312"/>
      <c r="O683" s="313"/>
      <c r="P683" s="311">
        <v>0</v>
      </c>
      <c r="Q683" s="312"/>
      <c r="R683" s="314"/>
      <c r="S683" s="311"/>
      <c r="T683" s="311"/>
      <c r="U683" s="311">
        <v>0</v>
      </c>
      <c r="V683" s="311"/>
      <c r="W683" s="311"/>
      <c r="X683" s="311">
        <v>1000</v>
      </c>
      <c r="Y683" s="1356">
        <f t="shared" si="70"/>
        <v>0</v>
      </c>
      <c r="Z683" s="1357">
        <f t="shared" si="71"/>
        <v>0</v>
      </c>
      <c r="AA683" s="311">
        <f t="shared" si="72"/>
        <v>0</v>
      </c>
      <c r="AB683" s="311">
        <f t="shared" si="73"/>
        <v>0</v>
      </c>
      <c r="AC683" s="311">
        <f t="shared" si="74"/>
        <v>0</v>
      </c>
      <c r="AD683" s="311">
        <f t="shared" si="75"/>
        <v>0</v>
      </c>
      <c r="AE683" s="311">
        <f t="shared" si="76"/>
        <v>1000</v>
      </c>
      <c r="AF683" s="355"/>
      <c r="AG683" s="838"/>
      <c r="AH683" s="744"/>
      <c r="AI683" s="292"/>
      <c r="AK683" s="300"/>
      <c r="AS683" s="452"/>
    </row>
    <row r="684" spans="1:45" s="299" customFormat="1">
      <c r="A684" s="353">
        <v>340</v>
      </c>
      <c r="B684" s="352">
        <v>100</v>
      </c>
      <c r="C684" s="357">
        <v>600</v>
      </c>
      <c r="D684" s="357"/>
      <c r="E684" s="357"/>
      <c r="F684" s="357"/>
      <c r="G684" s="315" t="s">
        <v>1221</v>
      </c>
      <c r="H684" s="314"/>
      <c r="I684" s="311"/>
      <c r="J684" s="319"/>
      <c r="K684" s="319"/>
      <c r="L684" s="319"/>
      <c r="M684" s="319"/>
      <c r="N684" s="312"/>
      <c r="O684" s="313"/>
      <c r="P684" s="311">
        <v>0</v>
      </c>
      <c r="Q684" s="312"/>
      <c r="R684" s="314"/>
      <c r="S684" s="311"/>
      <c r="T684" s="311"/>
      <c r="U684" s="311">
        <v>0</v>
      </c>
      <c r="V684" s="311"/>
      <c r="W684" s="311"/>
      <c r="X684" s="311">
        <v>300</v>
      </c>
      <c r="Y684" s="1356">
        <f t="shared" si="70"/>
        <v>0</v>
      </c>
      <c r="Z684" s="1357">
        <f t="shared" si="71"/>
        <v>0</v>
      </c>
      <c r="AA684" s="311">
        <f t="shared" si="72"/>
        <v>0</v>
      </c>
      <c r="AB684" s="311">
        <f t="shared" si="73"/>
        <v>0</v>
      </c>
      <c r="AC684" s="311">
        <f t="shared" si="74"/>
        <v>0</v>
      </c>
      <c r="AD684" s="311">
        <f t="shared" si="75"/>
        <v>0</v>
      </c>
      <c r="AE684" s="311">
        <f t="shared" si="76"/>
        <v>300</v>
      </c>
      <c r="AF684" s="355"/>
      <c r="AG684" s="838"/>
      <c r="AH684" s="744"/>
      <c r="AI684" s="292"/>
      <c r="AK684" s="300"/>
      <c r="AS684" s="452"/>
    </row>
    <row r="685" spans="1:45" s="299" customFormat="1">
      <c r="A685" s="353">
        <v>340</v>
      </c>
      <c r="B685" s="352">
        <v>100</v>
      </c>
      <c r="C685" s="357">
        <v>900</v>
      </c>
      <c r="D685" s="357"/>
      <c r="E685" s="357"/>
      <c r="F685" s="357"/>
      <c r="G685" s="315" t="s">
        <v>1222</v>
      </c>
      <c r="H685" s="314"/>
      <c r="I685" s="311"/>
      <c r="J685" s="319"/>
      <c r="K685" s="319"/>
      <c r="L685" s="319"/>
      <c r="M685" s="319"/>
      <c r="N685" s="312"/>
      <c r="O685" s="313"/>
      <c r="P685" s="311">
        <v>0</v>
      </c>
      <c r="Q685" s="312"/>
      <c r="R685" s="1420">
        <f>3213.24+9521</f>
        <v>12734.24</v>
      </c>
      <c r="S685" s="311"/>
      <c r="T685" s="311"/>
      <c r="U685" s="311">
        <v>3213.24</v>
      </c>
      <c r="V685" s="311"/>
      <c r="W685" s="311"/>
      <c r="X685" s="311">
        <v>5000</v>
      </c>
      <c r="Y685" s="1356">
        <f t="shared" si="70"/>
        <v>12734.24</v>
      </c>
      <c r="Z685" s="1357">
        <f t="shared" si="71"/>
        <v>0</v>
      </c>
      <c r="AA685" s="311">
        <f t="shared" si="72"/>
        <v>0</v>
      </c>
      <c r="AB685" s="311">
        <f t="shared" si="73"/>
        <v>3213.24</v>
      </c>
      <c r="AC685" s="311">
        <f t="shared" si="74"/>
        <v>0</v>
      </c>
      <c r="AD685" s="311">
        <f t="shared" si="75"/>
        <v>0</v>
      </c>
      <c r="AE685" s="311">
        <f t="shared" si="76"/>
        <v>5000</v>
      </c>
      <c r="AF685" s="355"/>
      <c r="AG685" s="838"/>
      <c r="AH685" s="744"/>
      <c r="AI685" s="292"/>
      <c r="AK685" s="300"/>
      <c r="AS685" s="452"/>
    </row>
    <row r="686" spans="1:45" s="299" customFormat="1">
      <c r="A686" s="353">
        <v>340</v>
      </c>
      <c r="B686" s="357">
        <v>200</v>
      </c>
      <c r="C686" s="357"/>
      <c r="D686" s="357"/>
      <c r="E686" s="357"/>
      <c r="F686" s="357"/>
      <c r="G686" s="323" t="s">
        <v>1223</v>
      </c>
      <c r="H686" s="314"/>
      <c r="I686" s="311"/>
      <c r="J686" s="319"/>
      <c r="K686" s="319"/>
      <c r="L686" s="319"/>
      <c r="M686" s="319"/>
      <c r="N686" s="312"/>
      <c r="O686" s="313"/>
      <c r="P686" s="311">
        <v>0</v>
      </c>
      <c r="Q686" s="312"/>
      <c r="R686" s="314"/>
      <c r="S686" s="311"/>
      <c r="T686" s="311"/>
      <c r="U686" s="311"/>
      <c r="V686" s="311"/>
      <c r="W686" s="311"/>
      <c r="X686" s="311"/>
      <c r="Y686" s="1356">
        <f t="shared" si="70"/>
        <v>0</v>
      </c>
      <c r="Z686" s="1357">
        <f t="shared" si="71"/>
        <v>0</v>
      </c>
      <c r="AA686" s="311">
        <f t="shared" si="72"/>
        <v>0</v>
      </c>
      <c r="AB686" s="311">
        <f t="shared" si="73"/>
        <v>0</v>
      </c>
      <c r="AC686" s="311">
        <f t="shared" si="74"/>
        <v>0</v>
      </c>
      <c r="AD686" s="311">
        <f t="shared" si="75"/>
        <v>0</v>
      </c>
      <c r="AE686" s="311">
        <f t="shared" si="76"/>
        <v>0</v>
      </c>
      <c r="AF686" s="355" t="s">
        <v>1224</v>
      </c>
      <c r="AG686" s="838"/>
      <c r="AH686" s="744"/>
      <c r="AI686" s="292"/>
      <c r="AK686" s="300"/>
      <c r="AS686" s="452"/>
    </row>
    <row r="687" spans="1:45" s="299" customFormat="1">
      <c r="A687" s="353">
        <v>340</v>
      </c>
      <c r="B687" s="352">
        <v>300</v>
      </c>
      <c r="C687" s="352"/>
      <c r="D687" s="352"/>
      <c r="E687" s="352"/>
      <c r="F687" s="352"/>
      <c r="G687" s="323" t="s">
        <v>1225</v>
      </c>
      <c r="H687" s="334"/>
      <c r="I687" s="331"/>
      <c r="J687" s="359"/>
      <c r="K687" s="359"/>
      <c r="L687" s="359"/>
      <c r="M687" s="359"/>
      <c r="N687" s="332"/>
      <c r="O687" s="333"/>
      <c r="P687" s="331">
        <v>0</v>
      </c>
      <c r="Q687" s="332"/>
      <c r="R687" s="334"/>
      <c r="S687" s="331"/>
      <c r="T687" s="331"/>
      <c r="U687" s="331"/>
      <c r="V687" s="331"/>
      <c r="W687" s="331"/>
      <c r="X687" s="331"/>
      <c r="Y687" s="1352">
        <f t="shared" si="70"/>
        <v>0</v>
      </c>
      <c r="Z687" s="1353">
        <f t="shared" si="71"/>
        <v>0</v>
      </c>
      <c r="AA687" s="331">
        <f t="shared" si="72"/>
        <v>0</v>
      </c>
      <c r="AB687" s="331">
        <f t="shared" si="73"/>
        <v>0</v>
      </c>
      <c r="AC687" s="331">
        <f t="shared" si="74"/>
        <v>0</v>
      </c>
      <c r="AD687" s="331">
        <f t="shared" si="75"/>
        <v>0</v>
      </c>
      <c r="AE687" s="331">
        <f t="shared" si="76"/>
        <v>0</v>
      </c>
      <c r="AF687" s="355" t="s">
        <v>1226</v>
      </c>
      <c r="AG687" s="838"/>
      <c r="AH687" s="744"/>
      <c r="AI687" s="292"/>
      <c r="AK687" s="300"/>
      <c r="AS687" s="452"/>
    </row>
    <row r="688" spans="1:45" s="299" customFormat="1" ht="41.4">
      <c r="A688" s="353">
        <v>340</v>
      </c>
      <c r="B688" s="352">
        <v>300</v>
      </c>
      <c r="C688" s="352">
        <v>100</v>
      </c>
      <c r="D688" s="352"/>
      <c r="E688" s="352"/>
      <c r="F688" s="352"/>
      <c r="G688" s="323" t="s">
        <v>1227</v>
      </c>
      <c r="H688" s="334"/>
      <c r="I688" s="331"/>
      <c r="J688" s="359"/>
      <c r="K688" s="359"/>
      <c r="L688" s="359"/>
      <c r="M688" s="359"/>
      <c r="N688" s="332"/>
      <c r="O688" s="333"/>
      <c r="P688" s="331">
        <v>0</v>
      </c>
      <c r="Q688" s="332"/>
      <c r="R688" s="334"/>
      <c r="S688" s="331"/>
      <c r="T688" s="331"/>
      <c r="U688" s="331"/>
      <c r="V688" s="331"/>
      <c r="W688" s="331"/>
      <c r="X688" s="331"/>
      <c r="Y688" s="1352">
        <f t="shared" si="70"/>
        <v>0</v>
      </c>
      <c r="Z688" s="1353">
        <f t="shared" si="71"/>
        <v>0</v>
      </c>
      <c r="AA688" s="331">
        <f t="shared" si="72"/>
        <v>0</v>
      </c>
      <c r="AB688" s="331">
        <f t="shared" si="73"/>
        <v>0</v>
      </c>
      <c r="AC688" s="331">
        <f t="shared" si="74"/>
        <v>0</v>
      </c>
      <c r="AD688" s="331">
        <f t="shared" si="75"/>
        <v>0</v>
      </c>
      <c r="AE688" s="331">
        <f t="shared" si="76"/>
        <v>0</v>
      </c>
      <c r="AF688" s="355" t="s">
        <v>1228</v>
      </c>
      <c r="AG688" s="838"/>
      <c r="AH688" s="744"/>
      <c r="AI688" s="292"/>
      <c r="AK688" s="300"/>
      <c r="AS688" s="452"/>
    </row>
    <row r="689" spans="1:45" s="299" customFormat="1" ht="27.6">
      <c r="A689" s="353">
        <v>340</v>
      </c>
      <c r="B689" s="352">
        <v>300</v>
      </c>
      <c r="C689" s="352">
        <v>100</v>
      </c>
      <c r="D689" s="352">
        <v>100</v>
      </c>
      <c r="E689" s="352"/>
      <c r="F689" s="352"/>
      <c r="G689" s="323" t="s">
        <v>1229</v>
      </c>
      <c r="H689" s="334"/>
      <c r="I689" s="331"/>
      <c r="J689" s="359"/>
      <c r="K689" s="359"/>
      <c r="L689" s="359"/>
      <c r="M689" s="359"/>
      <c r="N689" s="332"/>
      <c r="O689" s="333"/>
      <c r="P689" s="331">
        <v>0</v>
      </c>
      <c r="Q689" s="332"/>
      <c r="R689" s="334"/>
      <c r="S689" s="331"/>
      <c r="T689" s="331"/>
      <c r="U689" s="331"/>
      <c r="V689" s="331"/>
      <c r="W689" s="331"/>
      <c r="X689" s="331"/>
      <c r="Y689" s="1352">
        <f t="shared" si="70"/>
        <v>0</v>
      </c>
      <c r="Z689" s="1353">
        <f t="shared" si="71"/>
        <v>0</v>
      </c>
      <c r="AA689" s="331">
        <f t="shared" si="72"/>
        <v>0</v>
      </c>
      <c r="AB689" s="331">
        <f t="shared" si="73"/>
        <v>0</v>
      </c>
      <c r="AC689" s="331">
        <f t="shared" si="74"/>
        <v>0</v>
      </c>
      <c r="AD689" s="331">
        <f t="shared" si="75"/>
        <v>0</v>
      </c>
      <c r="AE689" s="331">
        <f t="shared" si="76"/>
        <v>0</v>
      </c>
      <c r="AF689" s="355"/>
      <c r="AG689" s="838"/>
      <c r="AH689" s="744"/>
      <c r="AI689" s="292"/>
      <c r="AK689" s="300"/>
      <c r="AS689" s="452"/>
    </row>
    <row r="690" spans="1:45" s="299" customFormat="1">
      <c r="A690" s="353">
        <v>340</v>
      </c>
      <c r="B690" s="352">
        <v>300</v>
      </c>
      <c r="C690" s="352">
        <v>100</v>
      </c>
      <c r="D690" s="352">
        <v>100</v>
      </c>
      <c r="E690" s="357">
        <v>10</v>
      </c>
      <c r="F690" s="357"/>
      <c r="G690" s="315" t="s">
        <v>1230</v>
      </c>
      <c r="H690" s="314"/>
      <c r="I690" s="311"/>
      <c r="J690" s="319"/>
      <c r="K690" s="319"/>
      <c r="L690" s="319"/>
      <c r="M690" s="319"/>
      <c r="N690" s="312"/>
      <c r="O690" s="313"/>
      <c r="P690" s="311">
        <v>0</v>
      </c>
      <c r="Q690" s="312"/>
      <c r="R690" s="314">
        <v>529128.44999999995</v>
      </c>
      <c r="S690" s="311"/>
      <c r="T690" s="311"/>
      <c r="U690" s="311">
        <v>583449</v>
      </c>
      <c r="V690" s="311"/>
      <c r="W690" s="311"/>
      <c r="X690" s="311">
        <v>583449</v>
      </c>
      <c r="Y690" s="1356">
        <f t="shared" si="70"/>
        <v>529128.44999999995</v>
      </c>
      <c r="Z690" s="1357">
        <f t="shared" si="71"/>
        <v>0</v>
      </c>
      <c r="AA690" s="311">
        <f t="shared" si="72"/>
        <v>0</v>
      </c>
      <c r="AB690" s="311">
        <f t="shared" si="73"/>
        <v>583449</v>
      </c>
      <c r="AC690" s="311">
        <f t="shared" si="74"/>
        <v>0</v>
      </c>
      <c r="AD690" s="311">
        <f t="shared" si="75"/>
        <v>0</v>
      </c>
      <c r="AE690" s="311">
        <f t="shared" si="76"/>
        <v>583449</v>
      </c>
      <c r="AF690" s="355"/>
      <c r="AG690" s="838"/>
      <c r="AH690" s="744"/>
      <c r="AI690" s="292"/>
      <c r="AK690" s="300"/>
      <c r="AS690" s="452"/>
    </row>
    <row r="691" spans="1:45" s="299" customFormat="1">
      <c r="A691" s="353">
        <v>340</v>
      </c>
      <c r="B691" s="352">
        <v>300</v>
      </c>
      <c r="C691" s="352">
        <v>100</v>
      </c>
      <c r="D691" s="352">
        <v>100</v>
      </c>
      <c r="E691" s="357">
        <v>30</v>
      </c>
      <c r="F691" s="357"/>
      <c r="G691" s="315" t="s">
        <v>637</v>
      </c>
      <c r="H691" s="314"/>
      <c r="I691" s="311"/>
      <c r="J691" s="319"/>
      <c r="K691" s="319"/>
      <c r="L691" s="319"/>
      <c r="M691" s="319"/>
      <c r="N691" s="312"/>
      <c r="O691" s="313"/>
      <c r="P691" s="311">
        <v>0</v>
      </c>
      <c r="Q691" s="312"/>
      <c r="R691" s="314">
        <v>83929.27</v>
      </c>
      <c r="S691" s="311"/>
      <c r="T691" s="311"/>
      <c r="U691" s="311">
        <v>166339</v>
      </c>
      <c r="V691" s="311"/>
      <c r="W691" s="311"/>
      <c r="X691" s="311">
        <v>166339</v>
      </c>
      <c r="Y691" s="1356">
        <f t="shared" si="70"/>
        <v>83929.27</v>
      </c>
      <c r="Z691" s="1357">
        <f t="shared" si="71"/>
        <v>0</v>
      </c>
      <c r="AA691" s="311">
        <f t="shared" si="72"/>
        <v>0</v>
      </c>
      <c r="AB691" s="311">
        <f t="shared" si="73"/>
        <v>166339</v>
      </c>
      <c r="AC691" s="311">
        <f t="shared" si="74"/>
        <v>0</v>
      </c>
      <c r="AD691" s="311">
        <f t="shared" si="75"/>
        <v>0</v>
      </c>
      <c r="AE691" s="311">
        <f t="shared" si="76"/>
        <v>166339</v>
      </c>
      <c r="AF691" s="355"/>
      <c r="AG691" s="838"/>
      <c r="AH691" s="744"/>
      <c r="AI691" s="292"/>
      <c r="AK691" s="300"/>
      <c r="AS691" s="452"/>
    </row>
    <row r="692" spans="1:45" s="299" customFormat="1" ht="27.6">
      <c r="A692" s="353">
        <v>340</v>
      </c>
      <c r="B692" s="352">
        <v>300</v>
      </c>
      <c r="C692" s="352">
        <v>100</v>
      </c>
      <c r="D692" s="352">
        <v>100</v>
      </c>
      <c r="E692" s="357">
        <v>90</v>
      </c>
      <c r="F692" s="357"/>
      <c r="G692" s="315" t="s">
        <v>1231</v>
      </c>
      <c r="H692" s="314"/>
      <c r="I692" s="311"/>
      <c r="J692" s="319"/>
      <c r="K692" s="319"/>
      <c r="L692" s="319"/>
      <c r="M692" s="319"/>
      <c r="N692" s="312"/>
      <c r="O692" s="313"/>
      <c r="P692" s="311">
        <v>0</v>
      </c>
      <c r="Q692" s="312"/>
      <c r="R692" s="314">
        <v>381.56</v>
      </c>
      <c r="S692" s="311"/>
      <c r="T692" s="311"/>
      <c r="U692" s="311">
        <v>0</v>
      </c>
      <c r="V692" s="311"/>
      <c r="W692" s="311"/>
      <c r="X692" s="311"/>
      <c r="Y692" s="1356">
        <f t="shared" si="70"/>
        <v>381.56</v>
      </c>
      <c r="Z692" s="1357">
        <f t="shared" si="71"/>
        <v>0</v>
      </c>
      <c r="AA692" s="311">
        <f t="shared" si="72"/>
        <v>0</v>
      </c>
      <c r="AB692" s="311">
        <f t="shared" si="73"/>
        <v>0</v>
      </c>
      <c r="AC692" s="311">
        <f t="shared" si="74"/>
        <v>0</v>
      </c>
      <c r="AD692" s="311">
        <f t="shared" si="75"/>
        <v>0</v>
      </c>
      <c r="AE692" s="311">
        <f t="shared" si="76"/>
        <v>0</v>
      </c>
      <c r="AF692" s="355"/>
      <c r="AG692" s="838"/>
      <c r="AH692" s="744"/>
      <c r="AI692" s="292"/>
      <c r="AK692" s="300"/>
      <c r="AS692" s="452"/>
    </row>
    <row r="693" spans="1:45" s="299" customFormat="1">
      <c r="A693" s="353">
        <v>340</v>
      </c>
      <c r="B693" s="352">
        <v>300</v>
      </c>
      <c r="C693" s="352">
        <v>100</v>
      </c>
      <c r="D693" s="352">
        <v>200</v>
      </c>
      <c r="E693" s="352"/>
      <c r="F693" s="352"/>
      <c r="G693" s="323" t="s">
        <v>1232</v>
      </c>
      <c r="H693" s="334"/>
      <c r="I693" s="331"/>
      <c r="J693" s="359"/>
      <c r="K693" s="359"/>
      <c r="L693" s="359"/>
      <c r="M693" s="359"/>
      <c r="N693" s="332"/>
      <c r="O693" s="333"/>
      <c r="P693" s="331">
        <v>0</v>
      </c>
      <c r="Q693" s="332"/>
      <c r="R693" s="334"/>
      <c r="S693" s="331"/>
      <c r="T693" s="331"/>
      <c r="U693" s="331">
        <v>0</v>
      </c>
      <c r="V693" s="331"/>
      <c r="W693" s="331"/>
      <c r="X693" s="331"/>
      <c r="Y693" s="1352">
        <f t="shared" si="70"/>
        <v>0</v>
      </c>
      <c r="Z693" s="1353">
        <f t="shared" si="71"/>
        <v>0</v>
      </c>
      <c r="AA693" s="331">
        <f t="shared" si="72"/>
        <v>0</v>
      </c>
      <c r="AB693" s="331">
        <f t="shared" si="73"/>
        <v>0</v>
      </c>
      <c r="AC693" s="331">
        <f t="shared" si="74"/>
        <v>0</v>
      </c>
      <c r="AD693" s="331">
        <f t="shared" si="75"/>
        <v>0</v>
      </c>
      <c r="AE693" s="331">
        <f t="shared" si="76"/>
        <v>0</v>
      </c>
      <c r="AF693" s="355"/>
      <c r="AG693" s="838"/>
      <c r="AH693" s="744"/>
      <c r="AI693" s="292"/>
      <c r="AK693" s="300"/>
      <c r="AS693" s="452"/>
    </row>
    <row r="694" spans="1:45" s="299" customFormat="1">
      <c r="A694" s="353">
        <v>340</v>
      </c>
      <c r="B694" s="352">
        <v>300</v>
      </c>
      <c r="C694" s="352">
        <v>100</v>
      </c>
      <c r="D694" s="352">
        <v>200</v>
      </c>
      <c r="E694" s="357">
        <v>10</v>
      </c>
      <c r="F694" s="357"/>
      <c r="G694" s="315" t="s">
        <v>1230</v>
      </c>
      <c r="H694" s="314"/>
      <c r="I694" s="311"/>
      <c r="J694" s="319"/>
      <c r="K694" s="319"/>
      <c r="L694" s="319"/>
      <c r="M694" s="319"/>
      <c r="N694" s="312"/>
      <c r="O694" s="313"/>
      <c r="P694" s="311">
        <v>0</v>
      </c>
      <c r="Q694" s="312"/>
      <c r="R694" s="314">
        <v>45355.61</v>
      </c>
      <c r="S694" s="311"/>
      <c r="T694" s="311"/>
      <c r="U694" s="311">
        <v>46842.62</v>
      </c>
      <c r="V694" s="311"/>
      <c r="W694" s="311"/>
      <c r="X694" s="311">
        <v>46016</v>
      </c>
      <c r="Y694" s="1356">
        <f t="shared" si="70"/>
        <v>45355.61</v>
      </c>
      <c r="Z694" s="1357">
        <f t="shared" si="71"/>
        <v>0</v>
      </c>
      <c r="AA694" s="311">
        <f t="shared" si="72"/>
        <v>0</v>
      </c>
      <c r="AB694" s="311">
        <f t="shared" si="73"/>
        <v>46842.62</v>
      </c>
      <c r="AC694" s="311">
        <f t="shared" si="74"/>
        <v>0</v>
      </c>
      <c r="AD694" s="311">
        <f t="shared" si="75"/>
        <v>0</v>
      </c>
      <c r="AE694" s="311">
        <f t="shared" si="76"/>
        <v>46016</v>
      </c>
      <c r="AF694" s="355"/>
      <c r="AG694" s="838"/>
      <c r="AH694" s="744"/>
      <c r="AI694" s="292"/>
      <c r="AK694" s="300"/>
      <c r="AS694" s="452"/>
    </row>
    <row r="695" spans="1:45" s="299" customFormat="1">
      <c r="A695" s="353">
        <v>340</v>
      </c>
      <c r="B695" s="352">
        <v>300</v>
      </c>
      <c r="C695" s="352">
        <v>100</v>
      </c>
      <c r="D695" s="352">
        <v>200</v>
      </c>
      <c r="E695" s="357">
        <v>30</v>
      </c>
      <c r="F695" s="357"/>
      <c r="G695" s="315" t="s">
        <v>637</v>
      </c>
      <c r="H695" s="314"/>
      <c r="I695" s="311"/>
      <c r="J695" s="319"/>
      <c r="K695" s="319"/>
      <c r="L695" s="319"/>
      <c r="M695" s="319"/>
      <c r="N695" s="312"/>
      <c r="O695" s="313"/>
      <c r="P695" s="311">
        <v>0</v>
      </c>
      <c r="Q695" s="312"/>
      <c r="R695" s="314"/>
      <c r="S695" s="311"/>
      <c r="T695" s="311"/>
      <c r="U695" s="311">
        <v>0</v>
      </c>
      <c r="V695" s="311"/>
      <c r="W695" s="311"/>
      <c r="X695" s="311">
        <v>11323</v>
      </c>
      <c r="Y695" s="1356">
        <f t="shared" si="70"/>
        <v>0</v>
      </c>
      <c r="Z695" s="1357">
        <f t="shared" si="71"/>
        <v>0</v>
      </c>
      <c r="AA695" s="311">
        <f t="shared" si="72"/>
        <v>0</v>
      </c>
      <c r="AB695" s="311">
        <f t="shared" si="73"/>
        <v>0</v>
      </c>
      <c r="AC695" s="311">
        <f t="shared" si="74"/>
        <v>0</v>
      </c>
      <c r="AD695" s="311">
        <f t="shared" si="75"/>
        <v>0</v>
      </c>
      <c r="AE695" s="311">
        <f t="shared" si="76"/>
        <v>11323</v>
      </c>
      <c r="AF695" s="355"/>
      <c r="AG695" s="838"/>
      <c r="AH695" s="744"/>
      <c r="AI695" s="292"/>
      <c r="AK695" s="300"/>
      <c r="AS695" s="452"/>
    </row>
    <row r="696" spans="1:45" s="299" customFormat="1">
      <c r="A696" s="353">
        <v>340</v>
      </c>
      <c r="B696" s="352">
        <v>300</v>
      </c>
      <c r="C696" s="352">
        <v>100</v>
      </c>
      <c r="D696" s="352">
        <v>200</v>
      </c>
      <c r="E696" s="357">
        <v>90</v>
      </c>
      <c r="F696" s="357"/>
      <c r="G696" s="315" t="s">
        <v>1233</v>
      </c>
      <c r="H696" s="314"/>
      <c r="I696" s="311"/>
      <c r="J696" s="319"/>
      <c r="K696" s="319"/>
      <c r="L696" s="319"/>
      <c r="M696" s="319"/>
      <c r="N696" s="312"/>
      <c r="O696" s="313"/>
      <c r="P696" s="311">
        <v>0</v>
      </c>
      <c r="Q696" s="312"/>
      <c r="R696" s="314">
        <v>1763.46</v>
      </c>
      <c r="S696" s="311"/>
      <c r="T696" s="311"/>
      <c r="U696" s="311">
        <v>0</v>
      </c>
      <c r="V696" s="311"/>
      <c r="W696" s="311"/>
      <c r="X696" s="311"/>
      <c r="Y696" s="1356">
        <f t="shared" si="70"/>
        <v>1763.46</v>
      </c>
      <c r="Z696" s="1357">
        <f t="shared" si="71"/>
        <v>0</v>
      </c>
      <c r="AA696" s="311">
        <f t="shared" si="72"/>
        <v>0</v>
      </c>
      <c r="AB696" s="311">
        <f t="shared" si="73"/>
        <v>0</v>
      </c>
      <c r="AC696" s="311">
        <f t="shared" si="74"/>
        <v>0</v>
      </c>
      <c r="AD696" s="311">
        <f t="shared" si="75"/>
        <v>0</v>
      </c>
      <c r="AE696" s="311">
        <f t="shared" si="76"/>
        <v>0</v>
      </c>
      <c r="AF696" s="355"/>
      <c r="AG696" s="838"/>
      <c r="AH696" s="744"/>
      <c r="AI696" s="292"/>
      <c r="AK696" s="300"/>
      <c r="AS696" s="452"/>
    </row>
    <row r="697" spans="1:45" s="299" customFormat="1">
      <c r="A697" s="353">
        <v>340</v>
      </c>
      <c r="B697" s="352">
        <v>300</v>
      </c>
      <c r="C697" s="352">
        <v>100</v>
      </c>
      <c r="D697" s="352">
        <v>300</v>
      </c>
      <c r="E697" s="352"/>
      <c r="F697" s="352"/>
      <c r="G697" s="323" t="s">
        <v>1234</v>
      </c>
      <c r="H697" s="334"/>
      <c r="I697" s="331"/>
      <c r="J697" s="359"/>
      <c r="K697" s="359"/>
      <c r="L697" s="359"/>
      <c r="M697" s="359"/>
      <c r="N697" s="332"/>
      <c r="O697" s="333"/>
      <c r="P697" s="331">
        <v>0</v>
      </c>
      <c r="Q697" s="332"/>
      <c r="R697" s="334"/>
      <c r="S697" s="331"/>
      <c r="T697" s="331"/>
      <c r="U697" s="331">
        <v>0</v>
      </c>
      <c r="V697" s="331"/>
      <c r="W697" s="331"/>
      <c r="X697" s="331"/>
      <c r="Y697" s="1352">
        <f t="shared" si="70"/>
        <v>0</v>
      </c>
      <c r="Z697" s="1353">
        <f t="shared" si="71"/>
        <v>0</v>
      </c>
      <c r="AA697" s="331">
        <f t="shared" si="72"/>
        <v>0</v>
      </c>
      <c r="AB697" s="331">
        <f t="shared" si="73"/>
        <v>0</v>
      </c>
      <c r="AC697" s="331">
        <f t="shared" si="74"/>
        <v>0</v>
      </c>
      <c r="AD697" s="331">
        <f t="shared" si="75"/>
        <v>0</v>
      </c>
      <c r="AE697" s="331">
        <f t="shared" si="76"/>
        <v>0</v>
      </c>
      <c r="AF697" s="355"/>
      <c r="AG697" s="838"/>
      <c r="AH697" s="744"/>
      <c r="AI697" s="292"/>
      <c r="AK697" s="300"/>
      <c r="AS697" s="452"/>
    </row>
    <row r="698" spans="1:45" s="299" customFormat="1">
      <c r="A698" s="353">
        <v>340</v>
      </c>
      <c r="B698" s="352">
        <v>300</v>
      </c>
      <c r="C698" s="352">
        <v>100</v>
      </c>
      <c r="D698" s="352">
        <v>300</v>
      </c>
      <c r="E698" s="357">
        <v>10</v>
      </c>
      <c r="F698" s="357"/>
      <c r="G698" s="315" t="s">
        <v>1230</v>
      </c>
      <c r="H698" s="314"/>
      <c r="I698" s="311"/>
      <c r="J698" s="319"/>
      <c r="K698" s="319"/>
      <c r="L698" s="319"/>
      <c r="M698" s="319"/>
      <c r="N698" s="312"/>
      <c r="O698" s="313"/>
      <c r="P698" s="311">
        <v>0</v>
      </c>
      <c r="Q698" s="312"/>
      <c r="R698" s="314">
        <v>14400</v>
      </c>
      <c r="S698" s="311"/>
      <c r="T698" s="311"/>
      <c r="U698" s="311">
        <v>7200</v>
      </c>
      <c r="V698" s="311"/>
      <c r="W698" s="311"/>
      <c r="X698" s="311">
        <v>7200</v>
      </c>
      <c r="Y698" s="1356">
        <f t="shared" si="70"/>
        <v>14400</v>
      </c>
      <c r="Z698" s="1357">
        <f t="shared" si="71"/>
        <v>0</v>
      </c>
      <c r="AA698" s="311">
        <f t="shared" si="72"/>
        <v>0</v>
      </c>
      <c r="AB698" s="311">
        <f t="shared" si="73"/>
        <v>7200</v>
      </c>
      <c r="AC698" s="311">
        <f t="shared" si="74"/>
        <v>0</v>
      </c>
      <c r="AD698" s="311">
        <f t="shared" si="75"/>
        <v>0</v>
      </c>
      <c r="AE698" s="311">
        <f t="shared" si="76"/>
        <v>7200</v>
      </c>
      <c r="AF698" s="355"/>
      <c r="AG698" s="838"/>
      <c r="AH698" s="744"/>
      <c r="AI698" s="292"/>
      <c r="AK698" s="300"/>
      <c r="AS698" s="452"/>
    </row>
    <row r="699" spans="1:45" s="299" customFormat="1">
      <c r="A699" s="353">
        <v>340</v>
      </c>
      <c r="B699" s="352">
        <v>300</v>
      </c>
      <c r="C699" s="352">
        <v>100</v>
      </c>
      <c r="D699" s="352">
        <v>300</v>
      </c>
      <c r="E699" s="357">
        <v>30</v>
      </c>
      <c r="F699" s="357"/>
      <c r="G699" s="315" t="s">
        <v>637</v>
      </c>
      <c r="H699" s="314"/>
      <c r="I699" s="311"/>
      <c r="J699" s="319"/>
      <c r="K699" s="319"/>
      <c r="L699" s="319"/>
      <c r="M699" s="319"/>
      <c r="N699" s="312"/>
      <c r="O699" s="313"/>
      <c r="P699" s="311">
        <v>0</v>
      </c>
      <c r="Q699" s="312"/>
      <c r="R699" s="314"/>
      <c r="S699" s="311"/>
      <c r="T699" s="311"/>
      <c r="U699" s="311">
        <v>1181</v>
      </c>
      <c r="V699" s="311"/>
      <c r="W699" s="311"/>
      <c r="X699" s="311">
        <v>1181</v>
      </c>
      <c r="Y699" s="1356">
        <f t="shared" si="70"/>
        <v>0</v>
      </c>
      <c r="Z699" s="1357">
        <f t="shared" si="71"/>
        <v>0</v>
      </c>
      <c r="AA699" s="311">
        <f t="shared" si="72"/>
        <v>0</v>
      </c>
      <c r="AB699" s="311">
        <f t="shared" si="73"/>
        <v>1181</v>
      </c>
      <c r="AC699" s="311">
        <f t="shared" si="74"/>
        <v>0</v>
      </c>
      <c r="AD699" s="311">
        <f t="shared" si="75"/>
        <v>0</v>
      </c>
      <c r="AE699" s="311">
        <f t="shared" si="76"/>
        <v>1181</v>
      </c>
      <c r="AF699" s="355"/>
      <c r="AG699" s="838"/>
      <c r="AH699" s="744"/>
      <c r="AI699" s="292"/>
      <c r="AK699" s="300"/>
      <c r="AS699" s="452"/>
    </row>
    <row r="700" spans="1:45" s="299" customFormat="1">
      <c r="A700" s="353">
        <v>340</v>
      </c>
      <c r="B700" s="352">
        <v>300</v>
      </c>
      <c r="C700" s="352">
        <v>100</v>
      </c>
      <c r="D700" s="352">
        <v>300</v>
      </c>
      <c r="E700" s="357">
        <v>90</v>
      </c>
      <c r="F700" s="357"/>
      <c r="G700" s="315" t="s">
        <v>1235</v>
      </c>
      <c r="H700" s="314"/>
      <c r="I700" s="311"/>
      <c r="J700" s="319"/>
      <c r="K700" s="319"/>
      <c r="L700" s="319"/>
      <c r="M700" s="319"/>
      <c r="N700" s="312"/>
      <c r="O700" s="313"/>
      <c r="P700" s="311">
        <v>0</v>
      </c>
      <c r="Q700" s="312"/>
      <c r="R700" s="314"/>
      <c r="S700" s="311"/>
      <c r="T700" s="311"/>
      <c r="U700" s="311"/>
      <c r="V700" s="311"/>
      <c r="W700" s="311"/>
      <c r="X700" s="311"/>
      <c r="Y700" s="1356">
        <f t="shared" si="70"/>
        <v>0</v>
      </c>
      <c r="Z700" s="1357">
        <f t="shared" si="71"/>
        <v>0</v>
      </c>
      <c r="AA700" s="311">
        <f t="shared" si="72"/>
        <v>0</v>
      </c>
      <c r="AB700" s="311">
        <f t="shared" si="73"/>
        <v>0</v>
      </c>
      <c r="AC700" s="311">
        <f t="shared" si="74"/>
        <v>0</v>
      </c>
      <c r="AD700" s="311">
        <f t="shared" si="75"/>
        <v>0</v>
      </c>
      <c r="AE700" s="311">
        <f t="shared" si="76"/>
        <v>0</v>
      </c>
      <c r="AF700" s="355"/>
      <c r="AG700" s="838"/>
      <c r="AH700" s="744"/>
      <c r="AI700" s="292"/>
      <c r="AK700" s="300"/>
      <c r="AS700" s="452"/>
    </row>
    <row r="701" spans="1:45" s="299" customFormat="1">
      <c r="A701" s="353">
        <v>340</v>
      </c>
      <c r="B701" s="352">
        <v>300</v>
      </c>
      <c r="C701" s="352">
        <v>200</v>
      </c>
      <c r="D701" s="352"/>
      <c r="E701" s="352"/>
      <c r="F701" s="352"/>
      <c r="G701" s="323" t="s">
        <v>1225</v>
      </c>
      <c r="H701" s="334"/>
      <c r="I701" s="331"/>
      <c r="J701" s="359"/>
      <c r="K701" s="359"/>
      <c r="L701" s="359"/>
      <c r="M701" s="359"/>
      <c r="N701" s="332"/>
      <c r="O701" s="333"/>
      <c r="P701" s="331">
        <v>0</v>
      </c>
      <c r="Q701" s="332"/>
      <c r="R701" s="334"/>
      <c r="S701" s="331"/>
      <c r="T701" s="331"/>
      <c r="U701" s="331"/>
      <c r="V701" s="331"/>
      <c r="W701" s="331"/>
      <c r="X701" s="331"/>
      <c r="Y701" s="1352">
        <f t="shared" si="70"/>
        <v>0</v>
      </c>
      <c r="Z701" s="1353">
        <f t="shared" si="71"/>
        <v>0</v>
      </c>
      <c r="AA701" s="331">
        <f t="shared" si="72"/>
        <v>0</v>
      </c>
      <c r="AB701" s="331">
        <f t="shared" si="73"/>
        <v>0</v>
      </c>
      <c r="AC701" s="331">
        <f t="shared" si="74"/>
        <v>0</v>
      </c>
      <c r="AD701" s="331">
        <f t="shared" si="75"/>
        <v>0</v>
      </c>
      <c r="AE701" s="331">
        <f t="shared" si="76"/>
        <v>0</v>
      </c>
      <c r="AF701" s="355" t="s">
        <v>1236</v>
      </c>
      <c r="AG701" s="838"/>
      <c r="AH701" s="744"/>
      <c r="AI701" s="292"/>
      <c r="AK701" s="300"/>
      <c r="AS701" s="452"/>
    </row>
    <row r="702" spans="1:45" s="299" customFormat="1" ht="27.6">
      <c r="A702" s="353">
        <v>340</v>
      </c>
      <c r="B702" s="352">
        <v>300</v>
      </c>
      <c r="C702" s="352">
        <v>200</v>
      </c>
      <c r="D702" s="357">
        <v>100</v>
      </c>
      <c r="E702" s="357"/>
      <c r="F702" s="357"/>
      <c r="G702" s="315" t="s">
        <v>1237</v>
      </c>
      <c r="H702" s="314"/>
      <c r="I702" s="311"/>
      <c r="J702" s="319"/>
      <c r="K702" s="319"/>
      <c r="L702" s="319"/>
      <c r="M702" s="319"/>
      <c r="N702" s="312"/>
      <c r="O702" s="313"/>
      <c r="P702" s="311">
        <v>0</v>
      </c>
      <c r="Q702" s="312"/>
      <c r="R702" s="314"/>
      <c r="S702" s="311"/>
      <c r="T702" s="311"/>
      <c r="U702" s="311"/>
      <c r="V702" s="311"/>
      <c r="W702" s="311"/>
      <c r="X702" s="311"/>
      <c r="Y702" s="1356">
        <f t="shared" si="70"/>
        <v>0</v>
      </c>
      <c r="Z702" s="1357">
        <f t="shared" si="71"/>
        <v>0</v>
      </c>
      <c r="AA702" s="311">
        <f t="shared" si="72"/>
        <v>0</v>
      </c>
      <c r="AB702" s="311">
        <f t="shared" si="73"/>
        <v>0</v>
      </c>
      <c r="AC702" s="311">
        <f t="shared" si="74"/>
        <v>0</v>
      </c>
      <c r="AD702" s="311">
        <f t="shared" si="75"/>
        <v>0</v>
      </c>
      <c r="AE702" s="311">
        <f t="shared" si="76"/>
        <v>0</v>
      </c>
      <c r="AF702" s="355"/>
      <c r="AG702" s="838"/>
      <c r="AH702" s="744"/>
      <c r="AI702" s="292"/>
      <c r="AK702" s="300"/>
      <c r="AS702" s="452"/>
    </row>
    <row r="703" spans="1:45" s="299" customFormat="1" ht="27.6">
      <c r="A703" s="353">
        <v>340</v>
      </c>
      <c r="B703" s="352">
        <v>300</v>
      </c>
      <c r="C703" s="352">
        <v>200</v>
      </c>
      <c r="D703" s="357">
        <v>200</v>
      </c>
      <c r="E703" s="357"/>
      <c r="F703" s="357"/>
      <c r="G703" s="315" t="s">
        <v>1238</v>
      </c>
      <c r="H703" s="314"/>
      <c r="I703" s="311"/>
      <c r="J703" s="319"/>
      <c r="K703" s="319"/>
      <c r="L703" s="319"/>
      <c r="M703" s="319"/>
      <c r="N703" s="312"/>
      <c r="O703" s="313"/>
      <c r="P703" s="311">
        <v>0</v>
      </c>
      <c r="Q703" s="312"/>
      <c r="R703" s="314"/>
      <c r="S703" s="311"/>
      <c r="T703" s="311"/>
      <c r="U703" s="311"/>
      <c r="V703" s="311"/>
      <c r="W703" s="311"/>
      <c r="X703" s="311"/>
      <c r="Y703" s="1356">
        <f t="shared" si="70"/>
        <v>0</v>
      </c>
      <c r="Z703" s="1357">
        <f t="shared" si="71"/>
        <v>0</v>
      </c>
      <c r="AA703" s="311">
        <f t="shared" si="72"/>
        <v>0</v>
      </c>
      <c r="AB703" s="311">
        <f t="shared" si="73"/>
        <v>0</v>
      </c>
      <c r="AC703" s="311">
        <f t="shared" si="74"/>
        <v>0</v>
      </c>
      <c r="AD703" s="311">
        <f t="shared" si="75"/>
        <v>0</v>
      </c>
      <c r="AE703" s="311">
        <f t="shared" si="76"/>
        <v>0</v>
      </c>
      <c r="AF703" s="355"/>
      <c r="AG703" s="838"/>
      <c r="AH703" s="744"/>
      <c r="AI703" s="292"/>
      <c r="AK703" s="300"/>
      <c r="AS703" s="452"/>
    </row>
    <row r="704" spans="1:45" s="299" customFormat="1">
      <c r="A704" s="353">
        <v>340</v>
      </c>
      <c r="B704" s="352">
        <v>300</v>
      </c>
      <c r="C704" s="352">
        <v>200</v>
      </c>
      <c r="D704" s="357">
        <v>900</v>
      </c>
      <c r="E704" s="357"/>
      <c r="F704" s="357"/>
      <c r="G704" s="315" t="s">
        <v>1225</v>
      </c>
      <c r="H704" s="314"/>
      <c r="I704" s="311"/>
      <c r="J704" s="319"/>
      <c r="K704" s="319"/>
      <c r="L704" s="319"/>
      <c r="M704" s="319"/>
      <c r="N704" s="312"/>
      <c r="O704" s="313"/>
      <c r="P704" s="311">
        <v>0</v>
      </c>
      <c r="Q704" s="312"/>
      <c r="R704" s="314"/>
      <c r="S704" s="311"/>
      <c r="T704" s="311"/>
      <c r="U704" s="311"/>
      <c r="V704" s="311"/>
      <c r="W704" s="311"/>
      <c r="X704" s="311"/>
      <c r="Y704" s="1356">
        <f t="shared" si="70"/>
        <v>0</v>
      </c>
      <c r="Z704" s="1357">
        <f t="shared" si="71"/>
        <v>0</v>
      </c>
      <c r="AA704" s="311">
        <f t="shared" si="72"/>
        <v>0</v>
      </c>
      <c r="AB704" s="311">
        <f t="shared" si="73"/>
        <v>0</v>
      </c>
      <c r="AC704" s="311">
        <f t="shared" si="74"/>
        <v>0</v>
      </c>
      <c r="AD704" s="311">
        <f t="shared" si="75"/>
        <v>0</v>
      </c>
      <c r="AE704" s="311">
        <f t="shared" si="76"/>
        <v>0</v>
      </c>
      <c r="AF704" s="355"/>
      <c r="AG704" s="838"/>
      <c r="AH704" s="744"/>
      <c r="AI704" s="292"/>
      <c r="AK704" s="300"/>
      <c r="AS704" s="452"/>
    </row>
    <row r="705" spans="1:45" s="299" customFormat="1" ht="41.4">
      <c r="A705" s="353">
        <v>340</v>
      </c>
      <c r="B705" s="352">
        <v>300</v>
      </c>
      <c r="C705" s="352">
        <v>300</v>
      </c>
      <c r="D705" s="357"/>
      <c r="E705" s="357"/>
      <c r="F705" s="357"/>
      <c r="G705" s="315" t="s">
        <v>1239</v>
      </c>
      <c r="H705" s="314"/>
      <c r="I705" s="311"/>
      <c r="J705" s="319"/>
      <c r="K705" s="319"/>
      <c r="L705" s="319"/>
      <c r="M705" s="319"/>
      <c r="N705" s="312"/>
      <c r="O705" s="313"/>
      <c r="P705" s="311">
        <v>0</v>
      </c>
      <c r="Q705" s="312"/>
      <c r="R705" s="314"/>
      <c r="S705" s="311"/>
      <c r="T705" s="311"/>
      <c r="U705" s="311"/>
      <c r="V705" s="311"/>
      <c r="W705" s="311"/>
      <c r="X705" s="311"/>
      <c r="Y705" s="1356">
        <f t="shared" si="70"/>
        <v>0</v>
      </c>
      <c r="Z705" s="1357">
        <f t="shared" si="71"/>
        <v>0</v>
      </c>
      <c r="AA705" s="311">
        <f t="shared" si="72"/>
        <v>0</v>
      </c>
      <c r="AB705" s="311">
        <f t="shared" si="73"/>
        <v>0</v>
      </c>
      <c r="AC705" s="311">
        <f t="shared" si="74"/>
        <v>0</v>
      </c>
      <c r="AD705" s="311">
        <f t="shared" si="75"/>
        <v>0</v>
      </c>
      <c r="AE705" s="311">
        <f t="shared" si="76"/>
        <v>0</v>
      </c>
      <c r="AF705" s="355" t="s">
        <v>1240</v>
      </c>
      <c r="AG705" s="838"/>
      <c r="AH705" s="744"/>
      <c r="AI705" s="292"/>
      <c r="AK705" s="300"/>
      <c r="AS705" s="452"/>
    </row>
    <row r="706" spans="1:45" s="292" customFormat="1" ht="27.6">
      <c r="A706" s="353">
        <v>340</v>
      </c>
      <c r="B706" s="352">
        <v>300</v>
      </c>
      <c r="C706" s="352">
        <v>400</v>
      </c>
      <c r="D706" s="357"/>
      <c r="E706" s="357"/>
      <c r="F706" s="357"/>
      <c r="G706" s="315" t="s">
        <v>1241</v>
      </c>
      <c r="H706" s="314"/>
      <c r="I706" s="311"/>
      <c r="J706" s="319"/>
      <c r="K706" s="319"/>
      <c r="L706" s="319"/>
      <c r="M706" s="319"/>
      <c r="N706" s="312"/>
      <c r="O706" s="313"/>
      <c r="P706" s="311">
        <v>0</v>
      </c>
      <c r="Q706" s="312"/>
      <c r="R706" s="314"/>
      <c r="S706" s="311"/>
      <c r="T706" s="311"/>
      <c r="U706" s="311"/>
      <c r="V706" s="311"/>
      <c r="W706" s="311"/>
      <c r="X706" s="311"/>
      <c r="Y706" s="1356">
        <f t="shared" si="70"/>
        <v>0</v>
      </c>
      <c r="Z706" s="1357">
        <f t="shared" si="71"/>
        <v>0</v>
      </c>
      <c r="AA706" s="311">
        <f t="shared" si="72"/>
        <v>0</v>
      </c>
      <c r="AB706" s="311">
        <f t="shared" si="73"/>
        <v>0</v>
      </c>
      <c r="AC706" s="311">
        <f t="shared" si="74"/>
        <v>0</v>
      </c>
      <c r="AD706" s="311">
        <f t="shared" si="75"/>
        <v>0</v>
      </c>
      <c r="AE706" s="311">
        <f t="shared" si="76"/>
        <v>0</v>
      </c>
      <c r="AF706" s="355" t="s">
        <v>1242</v>
      </c>
      <c r="AG706" s="838"/>
      <c r="AH706" s="744"/>
      <c r="AK706" s="293"/>
      <c r="AS706" s="744"/>
    </row>
    <row r="707" spans="1:45" s="299" customFormat="1" ht="27.6">
      <c r="A707" s="338">
        <v>345</v>
      </c>
      <c r="B707" s="337">
        <v>0</v>
      </c>
      <c r="C707" s="337">
        <v>0</v>
      </c>
      <c r="D707" s="337">
        <v>0</v>
      </c>
      <c r="E707" s="337">
        <v>0</v>
      </c>
      <c r="F707" s="337">
        <v>0</v>
      </c>
      <c r="G707" s="391" t="s">
        <v>1243</v>
      </c>
      <c r="H707" s="334"/>
      <c r="I707" s="331"/>
      <c r="J707" s="359"/>
      <c r="K707" s="359"/>
      <c r="L707" s="359"/>
      <c r="M707" s="359"/>
      <c r="N707" s="332"/>
      <c r="O707" s="333"/>
      <c r="P707" s="331">
        <v>0</v>
      </c>
      <c r="Q707" s="332"/>
      <c r="R707" s="334"/>
      <c r="S707" s="331"/>
      <c r="T707" s="331"/>
      <c r="U707" s="331"/>
      <c r="V707" s="331"/>
      <c r="W707" s="331"/>
      <c r="X707" s="331"/>
      <c r="Y707" s="1352">
        <f t="shared" si="70"/>
        <v>0</v>
      </c>
      <c r="Z707" s="1353">
        <f t="shared" si="71"/>
        <v>0</v>
      </c>
      <c r="AA707" s="331">
        <f t="shared" si="72"/>
        <v>0</v>
      </c>
      <c r="AB707" s="331">
        <f t="shared" si="73"/>
        <v>0</v>
      </c>
      <c r="AC707" s="331">
        <f t="shared" si="74"/>
        <v>0</v>
      </c>
      <c r="AD707" s="331">
        <f t="shared" si="75"/>
        <v>0</v>
      </c>
      <c r="AE707" s="331">
        <f t="shared" si="76"/>
        <v>0</v>
      </c>
      <c r="AF707" s="330" t="s">
        <v>1244</v>
      </c>
      <c r="AG707" s="837"/>
      <c r="AH707" s="744">
        <f>SUM(Y707:Y715)</f>
        <v>3497.87</v>
      </c>
      <c r="AI707" s="292" t="s">
        <v>2266</v>
      </c>
      <c r="AK707" s="300"/>
      <c r="AS707" s="452"/>
    </row>
    <row r="708" spans="1:45" s="299" customFormat="1" ht="27.6">
      <c r="A708" s="353">
        <v>345</v>
      </c>
      <c r="B708" s="357">
        <v>100</v>
      </c>
      <c r="C708" s="357"/>
      <c r="D708" s="357"/>
      <c r="E708" s="357"/>
      <c r="F708" s="357"/>
      <c r="G708" s="315" t="s">
        <v>1245</v>
      </c>
      <c r="H708" s="314"/>
      <c r="I708" s="311"/>
      <c r="J708" s="319"/>
      <c r="K708" s="319"/>
      <c r="L708" s="319"/>
      <c r="M708" s="319"/>
      <c r="N708" s="312"/>
      <c r="O708" s="313"/>
      <c r="P708" s="311">
        <v>0</v>
      </c>
      <c r="Q708" s="312"/>
      <c r="R708" s="314"/>
      <c r="S708" s="311"/>
      <c r="T708" s="311"/>
      <c r="U708" s="311"/>
      <c r="V708" s="311"/>
      <c r="W708" s="311"/>
      <c r="X708" s="311"/>
      <c r="Y708" s="1356">
        <f t="shared" si="70"/>
        <v>0</v>
      </c>
      <c r="Z708" s="1357">
        <f t="shared" si="71"/>
        <v>0</v>
      </c>
      <c r="AA708" s="311">
        <f t="shared" si="72"/>
        <v>0</v>
      </c>
      <c r="AB708" s="311">
        <f t="shared" si="73"/>
        <v>0</v>
      </c>
      <c r="AC708" s="311">
        <f t="shared" si="74"/>
        <v>0</v>
      </c>
      <c r="AD708" s="311">
        <f t="shared" si="75"/>
        <v>0</v>
      </c>
      <c r="AE708" s="311">
        <f t="shared" si="76"/>
        <v>0</v>
      </c>
      <c r="AF708" s="355"/>
      <c r="AG708" s="838"/>
      <c r="AH708" s="744"/>
      <c r="AI708" s="292"/>
      <c r="AK708" s="300"/>
      <c r="AS708" s="452"/>
    </row>
    <row r="709" spans="1:45" s="299" customFormat="1" ht="27.6">
      <c r="A709" s="353">
        <v>345</v>
      </c>
      <c r="B709" s="357">
        <v>200</v>
      </c>
      <c r="C709" s="357"/>
      <c r="D709" s="357"/>
      <c r="E709" s="357"/>
      <c r="F709" s="357"/>
      <c r="G709" s="315" t="s">
        <v>1246</v>
      </c>
      <c r="H709" s="314"/>
      <c r="I709" s="311"/>
      <c r="J709" s="319"/>
      <c r="K709" s="319"/>
      <c r="L709" s="319"/>
      <c r="M709" s="319"/>
      <c r="N709" s="312"/>
      <c r="O709" s="313"/>
      <c r="P709" s="311">
        <v>0</v>
      </c>
      <c r="Q709" s="312"/>
      <c r="R709" s="314"/>
      <c r="S709" s="311"/>
      <c r="T709" s="311"/>
      <c r="U709" s="311"/>
      <c r="V709" s="311"/>
      <c r="W709" s="311"/>
      <c r="X709" s="311"/>
      <c r="Y709" s="1356">
        <f t="shared" si="70"/>
        <v>0</v>
      </c>
      <c r="Z709" s="1357">
        <f t="shared" si="71"/>
        <v>0</v>
      </c>
      <c r="AA709" s="311">
        <f t="shared" si="72"/>
        <v>0</v>
      </c>
      <c r="AB709" s="311">
        <f t="shared" si="73"/>
        <v>0</v>
      </c>
      <c r="AC709" s="311">
        <f t="shared" si="74"/>
        <v>0</v>
      </c>
      <c r="AD709" s="311">
        <f t="shared" si="75"/>
        <v>0</v>
      </c>
      <c r="AE709" s="311">
        <f t="shared" si="76"/>
        <v>0</v>
      </c>
      <c r="AF709" s="355"/>
      <c r="AG709" s="838"/>
      <c r="AH709" s="744"/>
      <c r="AI709" s="292"/>
      <c r="AK709" s="300"/>
      <c r="AS709" s="452"/>
    </row>
    <row r="710" spans="1:45" s="299" customFormat="1" ht="55.2">
      <c r="A710" s="353">
        <v>345</v>
      </c>
      <c r="B710" s="357">
        <v>300</v>
      </c>
      <c r="C710" s="357"/>
      <c r="D710" s="357"/>
      <c r="E710" s="357"/>
      <c r="F710" s="357"/>
      <c r="G710" s="315" t="s">
        <v>1247</v>
      </c>
      <c r="H710" s="314"/>
      <c r="I710" s="311"/>
      <c r="J710" s="319"/>
      <c r="K710" s="319"/>
      <c r="L710" s="319"/>
      <c r="M710" s="319"/>
      <c r="N710" s="312"/>
      <c r="O710" s="313"/>
      <c r="P710" s="311">
        <v>0</v>
      </c>
      <c r="Q710" s="312"/>
      <c r="R710" s="314"/>
      <c r="S710" s="311"/>
      <c r="T710" s="311"/>
      <c r="U710" s="311"/>
      <c r="V710" s="311"/>
      <c r="W710" s="311"/>
      <c r="X710" s="311"/>
      <c r="Y710" s="1356">
        <f t="shared" si="70"/>
        <v>0</v>
      </c>
      <c r="Z710" s="1357">
        <f t="shared" si="71"/>
        <v>0</v>
      </c>
      <c r="AA710" s="311">
        <f t="shared" si="72"/>
        <v>0</v>
      </c>
      <c r="AB710" s="311">
        <f t="shared" si="73"/>
        <v>0</v>
      </c>
      <c r="AC710" s="311">
        <f t="shared" si="74"/>
        <v>0</v>
      </c>
      <c r="AD710" s="311">
        <f t="shared" si="75"/>
        <v>0</v>
      </c>
      <c r="AE710" s="311">
        <f t="shared" si="76"/>
        <v>0</v>
      </c>
      <c r="AF710" s="355"/>
      <c r="AG710" s="838"/>
      <c r="AH710" s="744"/>
      <c r="AI710" s="292"/>
      <c r="AK710" s="300"/>
      <c r="AS710" s="452"/>
    </row>
    <row r="711" spans="1:45" s="299" customFormat="1" ht="41.4">
      <c r="A711" s="353">
        <v>345</v>
      </c>
      <c r="B711" s="357">
        <v>400</v>
      </c>
      <c r="C711" s="357"/>
      <c r="D711" s="357"/>
      <c r="E711" s="357"/>
      <c r="F711" s="357"/>
      <c r="G711" s="315" t="s">
        <v>1248</v>
      </c>
      <c r="H711" s="314"/>
      <c r="I711" s="311"/>
      <c r="J711" s="319"/>
      <c r="K711" s="319"/>
      <c r="L711" s="319"/>
      <c r="M711" s="319"/>
      <c r="N711" s="312"/>
      <c r="O711" s="313"/>
      <c r="P711" s="311">
        <v>0</v>
      </c>
      <c r="Q711" s="312"/>
      <c r="R711" s="314"/>
      <c r="S711" s="311"/>
      <c r="T711" s="311"/>
      <c r="U711" s="311"/>
      <c r="V711" s="311"/>
      <c r="W711" s="311"/>
      <c r="X711" s="311"/>
      <c r="Y711" s="1356">
        <f t="shared" ref="Y711:Y774" si="77">+H711+O711+R711</f>
        <v>0</v>
      </c>
      <c r="Z711" s="1357">
        <f t="shared" ref="Z711:Z774" si="78">+I711+S711</f>
        <v>0</v>
      </c>
      <c r="AA711" s="311">
        <f t="shared" ref="AA711:AA774" si="79">+J711+T711</f>
        <v>0</v>
      </c>
      <c r="AB711" s="311">
        <f t="shared" ref="AB711:AB774" si="80">+K711+P711+U711</f>
        <v>0</v>
      </c>
      <c r="AC711" s="311">
        <f t="shared" ref="AC711:AC774" si="81">+L711+V711</f>
        <v>0</v>
      </c>
      <c r="AD711" s="311">
        <f t="shared" ref="AD711:AD774" si="82">+M711+W711</f>
        <v>0</v>
      </c>
      <c r="AE711" s="311">
        <f t="shared" ref="AE711:AE774" si="83">+N711+X711+Q711</f>
        <v>0</v>
      </c>
      <c r="AF711" s="355"/>
      <c r="AG711" s="838"/>
      <c r="AH711" s="744"/>
      <c r="AI711" s="292"/>
      <c r="AK711" s="300"/>
      <c r="AS711" s="452"/>
    </row>
    <row r="712" spans="1:45" s="299" customFormat="1" ht="27.6">
      <c r="A712" s="353">
        <v>345</v>
      </c>
      <c r="B712" s="357">
        <v>500</v>
      </c>
      <c r="C712" s="357"/>
      <c r="D712" s="357"/>
      <c r="E712" s="357"/>
      <c r="F712" s="357"/>
      <c r="G712" s="315" t="s">
        <v>1249</v>
      </c>
      <c r="H712" s="314"/>
      <c r="I712" s="311"/>
      <c r="J712" s="319"/>
      <c r="K712" s="319"/>
      <c r="L712" s="319"/>
      <c r="M712" s="319"/>
      <c r="N712" s="312"/>
      <c r="O712" s="313"/>
      <c r="P712" s="311">
        <v>0</v>
      </c>
      <c r="Q712" s="312"/>
      <c r="R712" s="314">
        <v>3497.87</v>
      </c>
      <c r="S712" s="311"/>
      <c r="T712" s="311"/>
      <c r="U712" s="311">
        <v>6506</v>
      </c>
      <c r="V712" s="311"/>
      <c r="W712" s="311"/>
      <c r="X712" s="311">
        <v>6506</v>
      </c>
      <c r="Y712" s="1356">
        <f t="shared" si="77"/>
        <v>3497.87</v>
      </c>
      <c r="Z712" s="1357">
        <f t="shared" si="78"/>
        <v>0</v>
      </c>
      <c r="AA712" s="311">
        <f t="shared" si="79"/>
        <v>0</v>
      </c>
      <c r="AB712" s="311">
        <f t="shared" si="80"/>
        <v>6506</v>
      </c>
      <c r="AC712" s="311">
        <f t="shared" si="81"/>
        <v>0</v>
      </c>
      <c r="AD712" s="311">
        <f t="shared" si="82"/>
        <v>0</v>
      </c>
      <c r="AE712" s="311">
        <f t="shared" si="83"/>
        <v>6506</v>
      </c>
      <c r="AF712" s="355"/>
      <c r="AG712" s="838"/>
      <c r="AH712" s="744"/>
      <c r="AI712" s="292"/>
      <c r="AK712" s="300"/>
      <c r="AS712" s="452"/>
    </row>
    <row r="713" spans="1:45" s="299" customFormat="1" ht="27.6">
      <c r="A713" s="353">
        <v>345</v>
      </c>
      <c r="B713" s="357">
        <v>600</v>
      </c>
      <c r="C713" s="357"/>
      <c r="D713" s="357"/>
      <c r="E713" s="357"/>
      <c r="F713" s="357"/>
      <c r="G713" s="315" t="s">
        <v>1250</v>
      </c>
      <c r="H713" s="314"/>
      <c r="I713" s="311"/>
      <c r="J713" s="319"/>
      <c r="K713" s="319"/>
      <c r="L713" s="319"/>
      <c r="M713" s="319"/>
      <c r="N713" s="312"/>
      <c r="O713" s="313"/>
      <c r="P713" s="311">
        <v>0</v>
      </c>
      <c r="Q713" s="312"/>
      <c r="R713" s="314"/>
      <c r="S713" s="311"/>
      <c r="T713" s="311"/>
      <c r="U713" s="311">
        <v>0</v>
      </c>
      <c r="V713" s="311"/>
      <c r="W713" s="311"/>
      <c r="X713" s="311"/>
      <c r="Y713" s="1356">
        <f t="shared" si="77"/>
        <v>0</v>
      </c>
      <c r="Z713" s="1357">
        <f t="shared" si="78"/>
        <v>0</v>
      </c>
      <c r="AA713" s="311">
        <f t="shared" si="79"/>
        <v>0</v>
      </c>
      <c r="AB713" s="311">
        <f t="shared" si="80"/>
        <v>0</v>
      </c>
      <c r="AC713" s="311">
        <f t="shared" si="81"/>
        <v>0</v>
      </c>
      <c r="AD713" s="311">
        <f t="shared" si="82"/>
        <v>0</v>
      </c>
      <c r="AE713" s="311">
        <f t="shared" si="83"/>
        <v>0</v>
      </c>
      <c r="AF713" s="355"/>
      <c r="AG713" s="838"/>
      <c r="AH713" s="744"/>
      <c r="AI713" s="292"/>
      <c r="AK713" s="300"/>
      <c r="AS713" s="452"/>
    </row>
    <row r="714" spans="1:45" s="299" customFormat="1">
      <c r="A714" s="353">
        <v>345</v>
      </c>
      <c r="B714" s="357">
        <v>700</v>
      </c>
      <c r="C714" s="357"/>
      <c r="D714" s="357"/>
      <c r="E714" s="357"/>
      <c r="F714" s="357"/>
      <c r="G714" s="315" t="s">
        <v>1251</v>
      </c>
      <c r="H714" s="314"/>
      <c r="I714" s="311"/>
      <c r="J714" s="319"/>
      <c r="K714" s="319"/>
      <c r="L714" s="319"/>
      <c r="M714" s="319"/>
      <c r="N714" s="312"/>
      <c r="O714" s="313"/>
      <c r="P714" s="311">
        <v>0</v>
      </c>
      <c r="Q714" s="312"/>
      <c r="R714" s="314"/>
      <c r="S714" s="311"/>
      <c r="T714" s="311"/>
      <c r="U714" s="311">
        <v>0</v>
      </c>
      <c r="V714" s="311"/>
      <c r="W714" s="311"/>
      <c r="X714" s="311"/>
      <c r="Y714" s="1356">
        <f t="shared" si="77"/>
        <v>0</v>
      </c>
      <c r="Z714" s="1357">
        <f t="shared" si="78"/>
        <v>0</v>
      </c>
      <c r="AA714" s="311">
        <f t="shared" si="79"/>
        <v>0</v>
      </c>
      <c r="AB714" s="311">
        <f t="shared" si="80"/>
        <v>0</v>
      </c>
      <c r="AC714" s="311">
        <f t="shared" si="81"/>
        <v>0</v>
      </c>
      <c r="AD714" s="311">
        <f t="shared" si="82"/>
        <v>0</v>
      </c>
      <c r="AE714" s="311">
        <f t="shared" si="83"/>
        <v>0</v>
      </c>
      <c r="AF714" s="355"/>
      <c r="AG714" s="838"/>
      <c r="AH714" s="744"/>
      <c r="AI714" s="292"/>
      <c r="AK714" s="300"/>
      <c r="AS714" s="452"/>
    </row>
    <row r="715" spans="1:45" s="299" customFormat="1" ht="27.6">
      <c r="A715" s="353">
        <v>345</v>
      </c>
      <c r="B715" s="357">
        <v>900</v>
      </c>
      <c r="C715" s="357"/>
      <c r="D715" s="357"/>
      <c r="E715" s="357"/>
      <c r="F715" s="357"/>
      <c r="G715" s="315" t="s">
        <v>1252</v>
      </c>
      <c r="H715" s="314"/>
      <c r="I715" s="311"/>
      <c r="J715" s="319"/>
      <c r="K715" s="319"/>
      <c r="L715" s="319"/>
      <c r="M715" s="319"/>
      <c r="N715" s="312"/>
      <c r="O715" s="313"/>
      <c r="P715" s="311">
        <v>0</v>
      </c>
      <c r="Q715" s="312"/>
      <c r="R715" s="314"/>
      <c r="S715" s="311"/>
      <c r="T715" s="311"/>
      <c r="U715" s="311">
        <v>0</v>
      </c>
      <c r="V715" s="311"/>
      <c r="W715" s="311"/>
      <c r="X715" s="311"/>
      <c r="Y715" s="1356">
        <f t="shared" si="77"/>
        <v>0</v>
      </c>
      <c r="Z715" s="1357">
        <f t="shared" si="78"/>
        <v>0</v>
      </c>
      <c r="AA715" s="311">
        <f t="shared" si="79"/>
        <v>0</v>
      </c>
      <c r="AB715" s="311">
        <f t="shared" si="80"/>
        <v>0</v>
      </c>
      <c r="AC715" s="311">
        <f t="shared" si="81"/>
        <v>0</v>
      </c>
      <c r="AD715" s="311">
        <f t="shared" si="82"/>
        <v>0</v>
      </c>
      <c r="AE715" s="311">
        <f t="shared" si="83"/>
        <v>0</v>
      </c>
      <c r="AF715" s="355"/>
      <c r="AG715" s="838"/>
      <c r="AH715" s="744"/>
      <c r="AI715" s="292"/>
      <c r="AK715" s="300"/>
      <c r="AS715" s="452"/>
    </row>
    <row r="716" spans="1:45" s="299" customFormat="1" ht="27.6">
      <c r="A716" s="338">
        <v>350</v>
      </c>
      <c r="B716" s="337">
        <v>0</v>
      </c>
      <c r="C716" s="337">
        <v>0</v>
      </c>
      <c r="D716" s="337">
        <v>0</v>
      </c>
      <c r="E716" s="337">
        <v>0</v>
      </c>
      <c r="F716" s="337">
        <v>0</v>
      </c>
      <c r="G716" s="391" t="s">
        <v>1253</v>
      </c>
      <c r="H716" s="334"/>
      <c r="I716" s="331"/>
      <c r="J716" s="359"/>
      <c r="K716" s="359"/>
      <c r="L716" s="359"/>
      <c r="M716" s="359"/>
      <c r="N716" s="332"/>
      <c r="O716" s="333"/>
      <c r="P716" s="331">
        <v>0</v>
      </c>
      <c r="Q716" s="332"/>
      <c r="R716" s="334"/>
      <c r="S716" s="331"/>
      <c r="T716" s="331"/>
      <c r="U716" s="331">
        <v>0</v>
      </c>
      <c r="V716" s="331"/>
      <c r="W716" s="331"/>
      <c r="X716" s="331"/>
      <c r="Y716" s="1352">
        <f t="shared" si="77"/>
        <v>0</v>
      </c>
      <c r="Z716" s="1353">
        <f t="shared" si="78"/>
        <v>0</v>
      </c>
      <c r="AA716" s="331">
        <f t="shared" si="79"/>
        <v>0</v>
      </c>
      <c r="AB716" s="331">
        <f t="shared" si="80"/>
        <v>0</v>
      </c>
      <c r="AC716" s="331">
        <f t="shared" si="81"/>
        <v>0</v>
      </c>
      <c r="AD716" s="331">
        <f t="shared" si="82"/>
        <v>0</v>
      </c>
      <c r="AE716" s="331">
        <f t="shared" si="83"/>
        <v>0</v>
      </c>
      <c r="AF716" s="330" t="s">
        <v>1254</v>
      </c>
      <c r="AG716" s="837"/>
      <c r="AH716" s="744">
        <f>SUM(Y717:Y725)</f>
        <v>2161035.3299999996</v>
      </c>
      <c r="AI716" s="292" t="s">
        <v>2265</v>
      </c>
      <c r="AK716" s="300"/>
      <c r="AS716" s="452"/>
    </row>
    <row r="717" spans="1:45" s="299" customFormat="1">
      <c r="A717" s="353">
        <v>350</v>
      </c>
      <c r="B717" s="352">
        <v>100</v>
      </c>
      <c r="C717" s="352"/>
      <c r="D717" s="352"/>
      <c r="E717" s="352"/>
      <c r="F717" s="352"/>
      <c r="G717" s="323" t="s">
        <v>1255</v>
      </c>
      <c r="H717" s="334"/>
      <c r="I717" s="331"/>
      <c r="J717" s="359"/>
      <c r="K717" s="359"/>
      <c r="L717" s="359"/>
      <c r="M717" s="359"/>
      <c r="N717" s="332"/>
      <c r="O717" s="333"/>
      <c r="P717" s="331">
        <v>0</v>
      </c>
      <c r="Q717" s="332"/>
      <c r="R717" s="334"/>
      <c r="S717" s="331"/>
      <c r="T717" s="331"/>
      <c r="U717" s="331">
        <v>0</v>
      </c>
      <c r="V717" s="331"/>
      <c r="W717" s="331"/>
      <c r="X717" s="331"/>
      <c r="Y717" s="1352">
        <f t="shared" si="77"/>
        <v>0</v>
      </c>
      <c r="Z717" s="1353">
        <f t="shared" si="78"/>
        <v>0</v>
      </c>
      <c r="AA717" s="331">
        <f t="shared" si="79"/>
        <v>0</v>
      </c>
      <c r="AB717" s="331">
        <f t="shared" si="80"/>
        <v>0</v>
      </c>
      <c r="AC717" s="331">
        <f t="shared" si="81"/>
        <v>0</v>
      </c>
      <c r="AD717" s="331">
        <f t="shared" si="82"/>
        <v>0</v>
      </c>
      <c r="AE717" s="331">
        <f t="shared" si="83"/>
        <v>0</v>
      </c>
      <c r="AF717" s="355" t="s">
        <v>1256</v>
      </c>
      <c r="AG717" s="838"/>
      <c r="AH717" s="744"/>
      <c r="AI717" s="292"/>
      <c r="AK717" s="300"/>
      <c r="AS717" s="452"/>
    </row>
    <row r="718" spans="1:45" s="299" customFormat="1" ht="27.6">
      <c r="A718" s="353">
        <v>350</v>
      </c>
      <c r="B718" s="352">
        <v>100</v>
      </c>
      <c r="C718" s="357">
        <v>100</v>
      </c>
      <c r="D718" s="357"/>
      <c r="E718" s="357"/>
      <c r="F718" s="357"/>
      <c r="G718" s="315" t="s">
        <v>1257</v>
      </c>
      <c r="H718" s="329"/>
      <c r="I718" s="326"/>
      <c r="J718" s="358"/>
      <c r="K718" s="358"/>
      <c r="L718" s="358"/>
      <c r="M718" s="358"/>
      <c r="N718" s="327"/>
      <c r="O718" s="328"/>
      <c r="P718" s="326">
        <v>0</v>
      </c>
      <c r="Q718" s="327"/>
      <c r="R718" s="314">
        <v>47707.41</v>
      </c>
      <c r="S718" s="326"/>
      <c r="T718" s="326"/>
      <c r="U718" s="326">
        <v>45272</v>
      </c>
      <c r="V718" s="326"/>
      <c r="W718" s="326"/>
      <c r="X718" s="326">
        <v>45272</v>
      </c>
      <c r="Y718" s="1350">
        <f t="shared" si="77"/>
        <v>47707.41</v>
      </c>
      <c r="Z718" s="1351">
        <f t="shared" si="78"/>
        <v>0</v>
      </c>
      <c r="AA718" s="326">
        <f t="shared" si="79"/>
        <v>0</v>
      </c>
      <c r="AB718" s="326">
        <f t="shared" si="80"/>
        <v>45272</v>
      </c>
      <c r="AC718" s="326">
        <f t="shared" si="81"/>
        <v>0</v>
      </c>
      <c r="AD718" s="326">
        <f t="shared" si="82"/>
        <v>0</v>
      </c>
      <c r="AE718" s="326">
        <f t="shared" si="83"/>
        <v>45272</v>
      </c>
      <c r="AF718" s="355" t="s">
        <v>1258</v>
      </c>
      <c r="AG718" s="838"/>
      <c r="AH718" s="744"/>
      <c r="AI718" s="292"/>
      <c r="AK718" s="300"/>
      <c r="AS718" s="452"/>
    </row>
    <row r="719" spans="1:45" s="299" customFormat="1" ht="27.6">
      <c r="A719" s="353">
        <v>350</v>
      </c>
      <c r="B719" s="352">
        <v>100</v>
      </c>
      <c r="C719" s="357">
        <v>200</v>
      </c>
      <c r="D719" s="357"/>
      <c r="E719" s="357"/>
      <c r="F719" s="357"/>
      <c r="G719" s="315" t="s">
        <v>1259</v>
      </c>
      <c r="H719" s="329"/>
      <c r="I719" s="326"/>
      <c r="J719" s="358"/>
      <c r="K719" s="358"/>
      <c r="L719" s="358"/>
      <c r="M719" s="358"/>
      <c r="N719" s="327"/>
      <c r="O719" s="328"/>
      <c r="P719" s="326">
        <v>0</v>
      </c>
      <c r="Q719" s="327"/>
      <c r="R719" s="314">
        <v>751951.22</v>
      </c>
      <c r="S719" s="326"/>
      <c r="T719" s="326"/>
      <c r="U719" s="326">
        <v>375532</v>
      </c>
      <c r="V719" s="326"/>
      <c r="W719" s="326"/>
      <c r="X719" s="326">
        <v>375532</v>
      </c>
      <c r="Y719" s="1350">
        <f t="shared" si="77"/>
        <v>751951.22</v>
      </c>
      <c r="Z719" s="1351">
        <f t="shared" si="78"/>
        <v>0</v>
      </c>
      <c r="AA719" s="326">
        <f t="shared" si="79"/>
        <v>0</v>
      </c>
      <c r="AB719" s="326">
        <f t="shared" si="80"/>
        <v>375532</v>
      </c>
      <c r="AC719" s="326">
        <f t="shared" si="81"/>
        <v>0</v>
      </c>
      <c r="AD719" s="326">
        <f t="shared" si="82"/>
        <v>0</v>
      </c>
      <c r="AE719" s="326">
        <f t="shared" si="83"/>
        <v>375532</v>
      </c>
      <c r="AF719" s="355" t="s">
        <v>1260</v>
      </c>
      <c r="AG719" s="838"/>
      <c r="AH719" s="744"/>
      <c r="AI719" s="292"/>
      <c r="AK719" s="300"/>
      <c r="AS719" s="452"/>
    </row>
    <row r="720" spans="1:45" s="299" customFormat="1" ht="27.6">
      <c r="A720" s="353">
        <v>350</v>
      </c>
      <c r="B720" s="352">
        <v>200</v>
      </c>
      <c r="C720" s="352"/>
      <c r="D720" s="352"/>
      <c r="E720" s="352"/>
      <c r="F720" s="352"/>
      <c r="G720" s="323" t="s">
        <v>1261</v>
      </c>
      <c r="H720" s="334"/>
      <c r="I720" s="331"/>
      <c r="J720" s="359"/>
      <c r="K720" s="359"/>
      <c r="L720" s="359"/>
      <c r="M720" s="359"/>
      <c r="N720" s="332"/>
      <c r="O720" s="333"/>
      <c r="P720" s="331">
        <v>0</v>
      </c>
      <c r="Q720" s="332"/>
      <c r="R720" s="334"/>
      <c r="S720" s="331"/>
      <c r="T720" s="331"/>
      <c r="U720" s="331">
        <v>0</v>
      </c>
      <c r="V720" s="331"/>
      <c r="W720" s="331"/>
      <c r="X720" s="331"/>
      <c r="Y720" s="1352">
        <f t="shared" si="77"/>
        <v>0</v>
      </c>
      <c r="Z720" s="1353">
        <f t="shared" si="78"/>
        <v>0</v>
      </c>
      <c r="AA720" s="331">
        <f t="shared" si="79"/>
        <v>0</v>
      </c>
      <c r="AB720" s="331">
        <f t="shared" si="80"/>
        <v>0</v>
      </c>
      <c r="AC720" s="331">
        <f t="shared" si="81"/>
        <v>0</v>
      </c>
      <c r="AD720" s="331">
        <f t="shared" si="82"/>
        <v>0</v>
      </c>
      <c r="AE720" s="331">
        <f t="shared" si="83"/>
        <v>0</v>
      </c>
      <c r="AF720" s="355" t="s">
        <v>1262</v>
      </c>
      <c r="AG720" s="838"/>
      <c r="AH720" s="744"/>
      <c r="AI720" s="292"/>
      <c r="AK720" s="300"/>
      <c r="AS720" s="452"/>
    </row>
    <row r="721" spans="1:45" s="299" customFormat="1" ht="27.6">
      <c r="A721" s="353">
        <v>350</v>
      </c>
      <c r="B721" s="352">
        <v>200</v>
      </c>
      <c r="C721" s="357">
        <v>100</v>
      </c>
      <c r="D721" s="357"/>
      <c r="E721" s="357"/>
      <c r="F721" s="357"/>
      <c r="G721" s="315" t="s">
        <v>1263</v>
      </c>
      <c r="H721" s="314"/>
      <c r="I721" s="311"/>
      <c r="J721" s="319"/>
      <c r="K721" s="319"/>
      <c r="L721" s="319"/>
      <c r="M721" s="319"/>
      <c r="N721" s="312"/>
      <c r="O721" s="313"/>
      <c r="P721" s="311">
        <v>0</v>
      </c>
      <c r="Q721" s="312"/>
      <c r="R721" s="314">
        <v>227.14</v>
      </c>
      <c r="S721" s="326"/>
      <c r="T721" s="326"/>
      <c r="U721" s="326">
        <v>85231</v>
      </c>
      <c r="V721" s="326"/>
      <c r="W721" s="326"/>
      <c r="X721" s="326">
        <v>85231</v>
      </c>
      <c r="Y721" s="1356">
        <f t="shared" si="77"/>
        <v>227.14</v>
      </c>
      <c r="Z721" s="1351">
        <f t="shared" si="78"/>
        <v>0</v>
      </c>
      <c r="AA721" s="326">
        <f t="shared" si="79"/>
        <v>0</v>
      </c>
      <c r="AB721" s="326">
        <f t="shared" si="80"/>
        <v>85231</v>
      </c>
      <c r="AC721" s="326">
        <f t="shared" si="81"/>
        <v>0</v>
      </c>
      <c r="AD721" s="326">
        <f t="shared" si="82"/>
        <v>0</v>
      </c>
      <c r="AE721" s="326">
        <f t="shared" si="83"/>
        <v>85231</v>
      </c>
      <c r="AF721" s="355"/>
      <c r="AG721" s="838"/>
      <c r="AH721" s="744"/>
      <c r="AI721" s="292"/>
      <c r="AK721" s="300"/>
      <c r="AS721" s="452"/>
    </row>
    <row r="722" spans="1:45" s="299" customFormat="1" ht="27.6">
      <c r="A722" s="353">
        <v>350</v>
      </c>
      <c r="B722" s="352">
        <v>200</v>
      </c>
      <c r="C722" s="357">
        <v>200</v>
      </c>
      <c r="D722" s="357"/>
      <c r="E722" s="357"/>
      <c r="F722" s="357"/>
      <c r="G722" s="315" t="s">
        <v>1264</v>
      </c>
      <c r="H722" s="314"/>
      <c r="I722" s="311"/>
      <c r="J722" s="319"/>
      <c r="K722" s="319"/>
      <c r="L722" s="319"/>
      <c r="M722" s="319"/>
      <c r="N722" s="312"/>
      <c r="O722" s="313"/>
      <c r="P722" s="311">
        <v>0</v>
      </c>
      <c r="Q722" s="312"/>
      <c r="R722" s="314">
        <v>1055986.8799999999</v>
      </c>
      <c r="S722" s="326"/>
      <c r="T722" s="326"/>
      <c r="U722" s="326">
        <v>1234842</v>
      </c>
      <c r="V722" s="326"/>
      <c r="W722" s="326"/>
      <c r="X722" s="326">
        <v>1234842</v>
      </c>
      <c r="Y722" s="1356">
        <f t="shared" si="77"/>
        <v>1055986.8799999999</v>
      </c>
      <c r="Z722" s="1351">
        <f t="shared" si="78"/>
        <v>0</v>
      </c>
      <c r="AA722" s="326">
        <f t="shared" si="79"/>
        <v>0</v>
      </c>
      <c r="AB722" s="326">
        <f t="shared" si="80"/>
        <v>1234842</v>
      </c>
      <c r="AC722" s="326">
        <f t="shared" si="81"/>
        <v>0</v>
      </c>
      <c r="AD722" s="326">
        <f t="shared" si="82"/>
        <v>0</v>
      </c>
      <c r="AE722" s="326">
        <f t="shared" si="83"/>
        <v>1234842</v>
      </c>
      <c r="AF722" s="355"/>
      <c r="AG722" s="838"/>
      <c r="AH722" s="744"/>
      <c r="AI722" s="292"/>
      <c r="AK722" s="300"/>
      <c r="AS722" s="452"/>
    </row>
    <row r="723" spans="1:45" s="299" customFormat="1">
      <c r="A723" s="353">
        <v>350</v>
      </c>
      <c r="B723" s="352">
        <v>200</v>
      </c>
      <c r="C723" s="357">
        <v>300</v>
      </c>
      <c r="D723" s="357"/>
      <c r="E723" s="357"/>
      <c r="F723" s="357"/>
      <c r="G723" s="315" t="s">
        <v>1265</v>
      </c>
      <c r="H723" s="314"/>
      <c r="I723" s="311"/>
      <c r="J723" s="319"/>
      <c r="K723" s="319"/>
      <c r="L723" s="319"/>
      <c r="M723" s="319"/>
      <c r="N723" s="312"/>
      <c r="O723" s="313"/>
      <c r="P723" s="311">
        <v>0</v>
      </c>
      <c r="Q723" s="312"/>
      <c r="R723" s="314">
        <v>83993.43</v>
      </c>
      <c r="S723" s="326"/>
      <c r="T723" s="326"/>
      <c r="U723" s="326">
        <v>114059</v>
      </c>
      <c r="V723" s="326"/>
      <c r="W723" s="326"/>
      <c r="X723" s="326">
        <v>114059</v>
      </c>
      <c r="Y723" s="1356">
        <f t="shared" si="77"/>
        <v>83993.43</v>
      </c>
      <c r="Z723" s="1351">
        <f t="shared" si="78"/>
        <v>0</v>
      </c>
      <c r="AA723" s="326">
        <f t="shared" si="79"/>
        <v>0</v>
      </c>
      <c r="AB723" s="326">
        <f t="shared" si="80"/>
        <v>114059</v>
      </c>
      <c r="AC723" s="326">
        <f t="shared" si="81"/>
        <v>0</v>
      </c>
      <c r="AD723" s="326">
        <f t="shared" si="82"/>
        <v>0</v>
      </c>
      <c r="AE723" s="326">
        <f t="shared" si="83"/>
        <v>114059</v>
      </c>
      <c r="AF723" s="355"/>
      <c r="AG723" s="838"/>
      <c r="AH723" s="744"/>
      <c r="AI723" s="292"/>
      <c r="AK723" s="300"/>
      <c r="AS723" s="452"/>
    </row>
    <row r="724" spans="1:45" s="299" customFormat="1">
      <c r="A724" s="353">
        <v>350</v>
      </c>
      <c r="B724" s="352">
        <v>200</v>
      </c>
      <c r="C724" s="357">
        <v>400</v>
      </c>
      <c r="D724" s="357"/>
      <c r="E724" s="357"/>
      <c r="F724" s="357"/>
      <c r="G724" s="315" t="s">
        <v>1266</v>
      </c>
      <c r="H724" s="314"/>
      <c r="I724" s="311"/>
      <c r="J724" s="319"/>
      <c r="K724" s="319"/>
      <c r="L724" s="319"/>
      <c r="M724" s="319"/>
      <c r="N724" s="312"/>
      <c r="O724" s="313"/>
      <c r="P724" s="311">
        <v>0</v>
      </c>
      <c r="Q724" s="312"/>
      <c r="R724" s="314">
        <v>2833.21</v>
      </c>
      <c r="S724" s="326"/>
      <c r="T724" s="326"/>
      <c r="U724" s="326">
        <v>17067</v>
      </c>
      <c r="V724" s="326"/>
      <c r="W724" s="326"/>
      <c r="X724" s="326">
        <v>17067</v>
      </c>
      <c r="Y724" s="1356">
        <f t="shared" si="77"/>
        <v>2833.21</v>
      </c>
      <c r="Z724" s="1351">
        <f t="shared" si="78"/>
        <v>0</v>
      </c>
      <c r="AA724" s="326">
        <f t="shared" si="79"/>
        <v>0</v>
      </c>
      <c r="AB724" s="326">
        <f t="shared" si="80"/>
        <v>17067</v>
      </c>
      <c r="AC724" s="326">
        <f t="shared" si="81"/>
        <v>0</v>
      </c>
      <c r="AD724" s="326">
        <f t="shared" si="82"/>
        <v>0</v>
      </c>
      <c r="AE724" s="326">
        <f t="shared" si="83"/>
        <v>17067</v>
      </c>
      <c r="AF724" s="355"/>
      <c r="AG724" s="838"/>
      <c r="AH724" s="744"/>
      <c r="AI724" s="292"/>
      <c r="AK724" s="300"/>
      <c r="AS724" s="452"/>
    </row>
    <row r="725" spans="1:45" s="292" customFormat="1" ht="27.6">
      <c r="A725" s="353">
        <v>350</v>
      </c>
      <c r="B725" s="352">
        <v>200</v>
      </c>
      <c r="C725" s="357">
        <v>500</v>
      </c>
      <c r="D725" s="357"/>
      <c r="E725" s="357"/>
      <c r="F725" s="357"/>
      <c r="G725" s="315" t="s">
        <v>1267</v>
      </c>
      <c r="H725" s="314"/>
      <c r="I725" s="311"/>
      <c r="J725" s="319"/>
      <c r="K725" s="319"/>
      <c r="L725" s="319"/>
      <c r="M725" s="319"/>
      <c r="N725" s="312"/>
      <c r="O725" s="313"/>
      <c r="P725" s="311">
        <v>0</v>
      </c>
      <c r="Q725" s="312"/>
      <c r="R725" s="314">
        <v>218336.04</v>
      </c>
      <c r="S725" s="326"/>
      <c r="T725" s="326"/>
      <c r="U725" s="326">
        <v>197655</v>
      </c>
      <c r="V725" s="326"/>
      <c r="W725" s="326"/>
      <c r="X725" s="326">
        <v>197655</v>
      </c>
      <c r="Y725" s="1356">
        <f t="shared" si="77"/>
        <v>218336.04</v>
      </c>
      <c r="Z725" s="1351">
        <f t="shared" si="78"/>
        <v>0</v>
      </c>
      <c r="AA725" s="326">
        <f t="shared" si="79"/>
        <v>0</v>
      </c>
      <c r="AB725" s="326">
        <f t="shared" si="80"/>
        <v>197655</v>
      </c>
      <c r="AC725" s="326">
        <f t="shared" si="81"/>
        <v>0</v>
      </c>
      <c r="AD725" s="326">
        <f t="shared" si="82"/>
        <v>0</v>
      </c>
      <c r="AE725" s="326">
        <f t="shared" si="83"/>
        <v>197655</v>
      </c>
      <c r="AF725" s="355"/>
      <c r="AG725" s="838"/>
      <c r="AH725" s="744"/>
      <c r="AK725" s="293"/>
      <c r="AS725" s="744"/>
    </row>
    <row r="726" spans="1:45" s="299" customFormat="1" ht="27.6">
      <c r="A726" s="338">
        <v>355</v>
      </c>
      <c r="B726" s="337">
        <v>0</v>
      </c>
      <c r="C726" s="337">
        <v>0</v>
      </c>
      <c r="D726" s="337">
        <v>0</v>
      </c>
      <c r="E726" s="337">
        <v>0</v>
      </c>
      <c r="F726" s="337">
        <v>0</v>
      </c>
      <c r="G726" s="391" t="s">
        <v>1268</v>
      </c>
      <c r="H726" s="334"/>
      <c r="I726" s="331"/>
      <c r="J726" s="359"/>
      <c r="K726" s="359"/>
      <c r="L726" s="359"/>
      <c r="M726" s="359"/>
      <c r="N726" s="332"/>
      <c r="O726" s="333"/>
      <c r="P726" s="331">
        <v>0</v>
      </c>
      <c r="Q726" s="332"/>
      <c r="R726" s="334"/>
      <c r="S726" s="331"/>
      <c r="T726" s="331"/>
      <c r="U726" s="331"/>
      <c r="V726" s="331"/>
      <c r="W726" s="331"/>
      <c r="X726" s="331"/>
      <c r="Y726" s="1352">
        <f t="shared" si="77"/>
        <v>0</v>
      </c>
      <c r="Z726" s="1353">
        <f t="shared" si="78"/>
        <v>0</v>
      </c>
      <c r="AA726" s="331">
        <f t="shared" si="79"/>
        <v>0</v>
      </c>
      <c r="AB726" s="331">
        <f t="shared" si="80"/>
        <v>0</v>
      </c>
      <c r="AC726" s="331">
        <f t="shared" si="81"/>
        <v>0</v>
      </c>
      <c r="AD726" s="331">
        <f t="shared" si="82"/>
        <v>0</v>
      </c>
      <c r="AE726" s="331">
        <f t="shared" si="83"/>
        <v>0</v>
      </c>
      <c r="AF726" s="330" t="s">
        <v>1269</v>
      </c>
      <c r="AG726" s="837"/>
      <c r="AH726" s="744">
        <f>SUM(Y726:Y791)</f>
        <v>54782.96</v>
      </c>
      <c r="AI726" s="292" t="s">
        <v>2264</v>
      </c>
      <c r="AK726" s="300"/>
      <c r="AS726" s="452"/>
    </row>
    <row r="727" spans="1:45" s="299" customFormat="1" ht="27.6">
      <c r="A727" s="353">
        <v>355</v>
      </c>
      <c r="B727" s="352">
        <v>100</v>
      </c>
      <c r="C727" s="352"/>
      <c r="D727" s="352"/>
      <c r="E727" s="352"/>
      <c r="F727" s="352"/>
      <c r="G727" s="323" t="s">
        <v>1270</v>
      </c>
      <c r="H727" s="334"/>
      <c r="I727" s="331"/>
      <c r="J727" s="359"/>
      <c r="K727" s="359"/>
      <c r="L727" s="359"/>
      <c r="M727" s="359"/>
      <c r="N727" s="332"/>
      <c r="O727" s="333"/>
      <c r="P727" s="331">
        <v>0</v>
      </c>
      <c r="Q727" s="332"/>
      <c r="R727" s="334"/>
      <c r="S727" s="331"/>
      <c r="T727" s="331"/>
      <c r="U727" s="331"/>
      <c r="V727" s="331"/>
      <c r="W727" s="331"/>
      <c r="X727" s="331"/>
      <c r="Y727" s="1352">
        <f t="shared" si="77"/>
        <v>0</v>
      </c>
      <c r="Z727" s="1353">
        <f t="shared" si="78"/>
        <v>0</v>
      </c>
      <c r="AA727" s="331">
        <f t="shared" si="79"/>
        <v>0</v>
      </c>
      <c r="AB727" s="331">
        <f t="shared" si="80"/>
        <v>0</v>
      </c>
      <c r="AC727" s="331">
        <f t="shared" si="81"/>
        <v>0</v>
      </c>
      <c r="AD727" s="331">
        <f t="shared" si="82"/>
        <v>0</v>
      </c>
      <c r="AE727" s="331">
        <f t="shared" si="83"/>
        <v>0</v>
      </c>
      <c r="AF727" s="355" t="s">
        <v>1271</v>
      </c>
      <c r="AG727" s="838"/>
      <c r="AH727" s="744"/>
      <c r="AI727" s="292"/>
      <c r="AK727" s="300"/>
      <c r="AS727" s="452"/>
    </row>
    <row r="728" spans="1:45" s="299" customFormat="1">
      <c r="A728" s="353">
        <v>355</v>
      </c>
      <c r="B728" s="352">
        <v>100</v>
      </c>
      <c r="C728" s="352">
        <v>100</v>
      </c>
      <c r="D728" s="352"/>
      <c r="E728" s="352"/>
      <c r="F728" s="352"/>
      <c r="G728" s="411" t="s">
        <v>1272</v>
      </c>
      <c r="H728" s="334"/>
      <c r="I728" s="331"/>
      <c r="J728" s="359"/>
      <c r="K728" s="359"/>
      <c r="L728" s="359"/>
      <c r="M728" s="359"/>
      <c r="N728" s="332"/>
      <c r="O728" s="333"/>
      <c r="P728" s="331">
        <v>0</v>
      </c>
      <c r="Q728" s="332"/>
      <c r="R728" s="334"/>
      <c r="S728" s="331"/>
      <c r="T728" s="331"/>
      <c r="U728" s="331"/>
      <c r="V728" s="331"/>
      <c r="W728" s="331"/>
      <c r="X728" s="331"/>
      <c r="Y728" s="1352">
        <f t="shared" si="77"/>
        <v>0</v>
      </c>
      <c r="Z728" s="1353">
        <f t="shared" si="78"/>
        <v>0</v>
      </c>
      <c r="AA728" s="331">
        <f t="shared" si="79"/>
        <v>0</v>
      </c>
      <c r="AB728" s="331">
        <f t="shared" si="80"/>
        <v>0</v>
      </c>
      <c r="AC728" s="331">
        <f t="shared" si="81"/>
        <v>0</v>
      </c>
      <c r="AD728" s="331">
        <f t="shared" si="82"/>
        <v>0</v>
      </c>
      <c r="AE728" s="331">
        <f t="shared" si="83"/>
        <v>0</v>
      </c>
      <c r="AF728" s="355"/>
      <c r="AG728" s="838"/>
      <c r="AH728" s="744"/>
      <c r="AI728" s="292"/>
      <c r="AK728" s="300"/>
      <c r="AS728" s="452"/>
    </row>
    <row r="729" spans="1:45" s="299" customFormat="1">
      <c r="A729" s="353">
        <v>355</v>
      </c>
      <c r="B729" s="352">
        <v>100</v>
      </c>
      <c r="C729" s="352">
        <v>100</v>
      </c>
      <c r="D729" s="357">
        <v>100</v>
      </c>
      <c r="E729" s="357"/>
      <c r="F729" s="357"/>
      <c r="G729" s="409" t="s">
        <v>1273</v>
      </c>
      <c r="H729" s="314"/>
      <c r="I729" s="311"/>
      <c r="J729" s="319"/>
      <c r="K729" s="319"/>
      <c r="L729" s="319"/>
      <c r="M729" s="319"/>
      <c r="N729" s="312"/>
      <c r="O729" s="313"/>
      <c r="P729" s="311">
        <v>0</v>
      </c>
      <c r="Q729" s="312"/>
      <c r="R729" s="314"/>
      <c r="S729" s="311"/>
      <c r="T729" s="311"/>
      <c r="U729" s="311"/>
      <c r="V729" s="311"/>
      <c r="W729" s="311"/>
      <c r="X729" s="311"/>
      <c r="Y729" s="1356">
        <f t="shared" si="77"/>
        <v>0</v>
      </c>
      <c r="Z729" s="1357">
        <f t="shared" si="78"/>
        <v>0</v>
      </c>
      <c r="AA729" s="311">
        <f t="shared" si="79"/>
        <v>0</v>
      </c>
      <c r="AB729" s="311">
        <f t="shared" si="80"/>
        <v>0</v>
      </c>
      <c r="AC729" s="311">
        <f t="shared" si="81"/>
        <v>0</v>
      </c>
      <c r="AD729" s="311">
        <f t="shared" si="82"/>
        <v>0</v>
      </c>
      <c r="AE729" s="311">
        <f t="shared" si="83"/>
        <v>0</v>
      </c>
      <c r="AF729" s="355"/>
      <c r="AG729" s="838"/>
      <c r="AH729" s="744"/>
      <c r="AI729" s="292"/>
      <c r="AK729" s="300"/>
      <c r="AS729" s="452"/>
    </row>
    <row r="730" spans="1:45" s="299" customFormat="1">
      <c r="A730" s="353">
        <v>355</v>
      </c>
      <c r="B730" s="352">
        <v>100</v>
      </c>
      <c r="C730" s="352">
        <v>100</v>
      </c>
      <c r="D730" s="357">
        <v>200</v>
      </c>
      <c r="E730" s="357"/>
      <c r="F730" s="357"/>
      <c r="G730" s="409" t="s">
        <v>1274</v>
      </c>
      <c r="H730" s="314"/>
      <c r="I730" s="311"/>
      <c r="J730" s="319"/>
      <c r="K730" s="319"/>
      <c r="L730" s="319"/>
      <c r="M730" s="319"/>
      <c r="N730" s="312"/>
      <c r="O730" s="313"/>
      <c r="P730" s="311">
        <v>0</v>
      </c>
      <c r="Q730" s="312"/>
      <c r="R730" s="314"/>
      <c r="S730" s="311"/>
      <c r="T730" s="311"/>
      <c r="U730" s="311"/>
      <c r="V730" s="311"/>
      <c r="W730" s="311"/>
      <c r="X730" s="311"/>
      <c r="Y730" s="1356">
        <f t="shared" si="77"/>
        <v>0</v>
      </c>
      <c r="Z730" s="1357">
        <f t="shared" si="78"/>
        <v>0</v>
      </c>
      <c r="AA730" s="311">
        <f t="shared" si="79"/>
        <v>0</v>
      </c>
      <c r="AB730" s="311">
        <f t="shared" si="80"/>
        <v>0</v>
      </c>
      <c r="AC730" s="311">
        <f t="shared" si="81"/>
        <v>0</v>
      </c>
      <c r="AD730" s="311">
        <f t="shared" si="82"/>
        <v>0</v>
      </c>
      <c r="AE730" s="311">
        <f t="shared" si="83"/>
        <v>0</v>
      </c>
      <c r="AF730" s="355"/>
      <c r="AG730" s="838"/>
      <c r="AH730" s="744"/>
      <c r="AI730" s="292"/>
      <c r="AK730" s="300"/>
      <c r="AS730" s="452"/>
    </row>
    <row r="731" spans="1:45" s="299" customFormat="1">
      <c r="A731" s="353">
        <v>355</v>
      </c>
      <c r="B731" s="352">
        <v>100</v>
      </c>
      <c r="C731" s="352">
        <v>100</v>
      </c>
      <c r="D731" s="357">
        <v>300</v>
      </c>
      <c r="E731" s="357"/>
      <c r="F731" s="357"/>
      <c r="G731" s="409" t="s">
        <v>1275</v>
      </c>
      <c r="H731" s="314"/>
      <c r="I731" s="311"/>
      <c r="J731" s="319"/>
      <c r="K731" s="319"/>
      <c r="L731" s="319"/>
      <c r="M731" s="319"/>
      <c r="N731" s="312"/>
      <c r="O731" s="313"/>
      <c r="P731" s="311">
        <v>0</v>
      </c>
      <c r="Q731" s="312"/>
      <c r="R731" s="314"/>
      <c r="S731" s="311"/>
      <c r="T731" s="311"/>
      <c r="U731" s="311"/>
      <c r="V731" s="311"/>
      <c r="W731" s="311"/>
      <c r="X731" s="311"/>
      <c r="Y731" s="1356">
        <f t="shared" si="77"/>
        <v>0</v>
      </c>
      <c r="Z731" s="1357">
        <f t="shared" si="78"/>
        <v>0</v>
      </c>
      <c r="AA731" s="311">
        <f t="shared" si="79"/>
        <v>0</v>
      </c>
      <c r="AB731" s="311">
        <f t="shared" si="80"/>
        <v>0</v>
      </c>
      <c r="AC731" s="311">
        <f t="shared" si="81"/>
        <v>0</v>
      </c>
      <c r="AD731" s="311">
        <f t="shared" si="82"/>
        <v>0</v>
      </c>
      <c r="AE731" s="311">
        <f t="shared" si="83"/>
        <v>0</v>
      </c>
      <c r="AF731" s="355"/>
      <c r="AG731" s="838"/>
      <c r="AH731" s="744"/>
      <c r="AI731" s="292"/>
      <c r="AK731" s="300"/>
      <c r="AS731" s="452"/>
    </row>
    <row r="732" spans="1:45" s="299" customFormat="1">
      <c r="A732" s="353">
        <v>355</v>
      </c>
      <c r="B732" s="352">
        <v>100</v>
      </c>
      <c r="C732" s="352">
        <v>100</v>
      </c>
      <c r="D732" s="357">
        <v>400</v>
      </c>
      <c r="E732" s="357"/>
      <c r="F732" s="357"/>
      <c r="G732" s="409" t="s">
        <v>1276</v>
      </c>
      <c r="H732" s="314"/>
      <c r="I732" s="311"/>
      <c r="J732" s="319"/>
      <c r="K732" s="319"/>
      <c r="L732" s="319"/>
      <c r="M732" s="319"/>
      <c r="N732" s="312"/>
      <c r="O732" s="313"/>
      <c r="P732" s="311">
        <v>0</v>
      </c>
      <c r="Q732" s="312"/>
      <c r="R732" s="314"/>
      <c r="S732" s="311"/>
      <c r="T732" s="311"/>
      <c r="U732" s="311"/>
      <c r="V732" s="311"/>
      <c r="W732" s="311"/>
      <c r="X732" s="311"/>
      <c r="Y732" s="1356">
        <f t="shared" si="77"/>
        <v>0</v>
      </c>
      <c r="Z732" s="1357">
        <f t="shared" si="78"/>
        <v>0</v>
      </c>
      <c r="AA732" s="311">
        <f t="shared" si="79"/>
        <v>0</v>
      </c>
      <c r="AB732" s="311">
        <f t="shared" si="80"/>
        <v>0</v>
      </c>
      <c r="AC732" s="311">
        <f t="shared" si="81"/>
        <v>0</v>
      </c>
      <c r="AD732" s="311">
        <f t="shared" si="82"/>
        <v>0</v>
      </c>
      <c r="AE732" s="311">
        <f t="shared" si="83"/>
        <v>0</v>
      </c>
      <c r="AF732" s="355"/>
      <c r="AG732" s="838"/>
      <c r="AH732" s="744"/>
      <c r="AI732" s="292"/>
      <c r="AK732" s="300"/>
      <c r="AS732" s="452"/>
    </row>
    <row r="733" spans="1:45" s="299" customFormat="1">
      <c r="A733" s="353">
        <v>355</v>
      </c>
      <c r="B733" s="352">
        <v>100</v>
      </c>
      <c r="C733" s="352">
        <v>200</v>
      </c>
      <c r="D733" s="352"/>
      <c r="E733" s="352"/>
      <c r="F733" s="352"/>
      <c r="G733" s="411" t="s">
        <v>1277</v>
      </c>
      <c r="H733" s="334"/>
      <c r="I733" s="331"/>
      <c r="J733" s="359"/>
      <c r="K733" s="359"/>
      <c r="L733" s="359"/>
      <c r="M733" s="359"/>
      <c r="N733" s="332"/>
      <c r="O733" s="333"/>
      <c r="P733" s="331">
        <v>0</v>
      </c>
      <c r="Q733" s="332"/>
      <c r="R733" s="334"/>
      <c r="S733" s="331"/>
      <c r="T733" s="331"/>
      <c r="U733" s="331"/>
      <c r="V733" s="331"/>
      <c r="W733" s="331"/>
      <c r="X733" s="331"/>
      <c r="Y733" s="1352">
        <f t="shared" si="77"/>
        <v>0</v>
      </c>
      <c r="Z733" s="1353">
        <f t="shared" si="78"/>
        <v>0</v>
      </c>
      <c r="AA733" s="331">
        <f t="shared" si="79"/>
        <v>0</v>
      </c>
      <c r="AB733" s="331">
        <f t="shared" si="80"/>
        <v>0</v>
      </c>
      <c r="AC733" s="331">
        <f t="shared" si="81"/>
        <v>0</v>
      </c>
      <c r="AD733" s="331">
        <f t="shared" si="82"/>
        <v>0</v>
      </c>
      <c r="AE733" s="331">
        <f t="shared" si="83"/>
        <v>0</v>
      </c>
      <c r="AF733" s="355"/>
      <c r="AG733" s="838"/>
      <c r="AH733" s="744"/>
      <c r="AI733" s="292"/>
      <c r="AK733" s="300"/>
      <c r="AS733" s="452"/>
    </row>
    <row r="734" spans="1:45" s="299" customFormat="1">
      <c r="A734" s="353">
        <v>355</v>
      </c>
      <c r="B734" s="352">
        <v>100</v>
      </c>
      <c r="C734" s="352">
        <v>200</v>
      </c>
      <c r="D734" s="357">
        <v>50</v>
      </c>
      <c r="E734" s="357"/>
      <c r="F734" s="357"/>
      <c r="G734" s="409" t="s">
        <v>1278</v>
      </c>
      <c r="H734" s="314"/>
      <c r="I734" s="311"/>
      <c r="J734" s="319"/>
      <c r="K734" s="319"/>
      <c r="L734" s="319"/>
      <c r="M734" s="319"/>
      <c r="N734" s="312"/>
      <c r="O734" s="313"/>
      <c r="P734" s="311">
        <v>0</v>
      </c>
      <c r="Q734" s="312"/>
      <c r="R734" s="314"/>
      <c r="S734" s="311"/>
      <c r="T734" s="311"/>
      <c r="U734" s="311"/>
      <c r="V734" s="311"/>
      <c r="W734" s="311"/>
      <c r="X734" s="311"/>
      <c r="Y734" s="1356">
        <f t="shared" si="77"/>
        <v>0</v>
      </c>
      <c r="Z734" s="1357">
        <f t="shared" si="78"/>
        <v>0</v>
      </c>
      <c r="AA734" s="311">
        <f t="shared" si="79"/>
        <v>0</v>
      </c>
      <c r="AB734" s="311">
        <f t="shared" si="80"/>
        <v>0</v>
      </c>
      <c r="AC734" s="311">
        <f t="shared" si="81"/>
        <v>0</v>
      </c>
      <c r="AD734" s="311">
        <f t="shared" si="82"/>
        <v>0</v>
      </c>
      <c r="AE734" s="311">
        <f t="shared" si="83"/>
        <v>0</v>
      </c>
      <c r="AF734" s="355"/>
      <c r="AG734" s="838"/>
      <c r="AH734" s="744"/>
      <c r="AI734" s="292"/>
      <c r="AK734" s="300"/>
      <c r="AS734" s="452"/>
    </row>
    <row r="735" spans="1:45" s="299" customFormat="1">
      <c r="A735" s="353">
        <v>355</v>
      </c>
      <c r="B735" s="352">
        <v>100</v>
      </c>
      <c r="C735" s="352">
        <v>200</v>
      </c>
      <c r="D735" s="357">
        <v>100</v>
      </c>
      <c r="E735" s="357"/>
      <c r="F735" s="357"/>
      <c r="G735" s="409" t="s">
        <v>1279</v>
      </c>
      <c r="H735" s="314"/>
      <c r="I735" s="311"/>
      <c r="J735" s="319"/>
      <c r="K735" s="319"/>
      <c r="L735" s="319"/>
      <c r="M735" s="319"/>
      <c r="N735" s="312"/>
      <c r="O735" s="313"/>
      <c r="P735" s="311">
        <v>0</v>
      </c>
      <c r="Q735" s="312"/>
      <c r="R735" s="314"/>
      <c r="S735" s="311"/>
      <c r="T735" s="311"/>
      <c r="U735" s="311"/>
      <c r="V735" s="311"/>
      <c r="W735" s="311"/>
      <c r="X735" s="311"/>
      <c r="Y735" s="1356">
        <f t="shared" si="77"/>
        <v>0</v>
      </c>
      <c r="Z735" s="1357">
        <f t="shared" si="78"/>
        <v>0</v>
      </c>
      <c r="AA735" s="311">
        <f t="shared" si="79"/>
        <v>0</v>
      </c>
      <c r="AB735" s="311">
        <f t="shared" si="80"/>
        <v>0</v>
      </c>
      <c r="AC735" s="311">
        <f t="shared" si="81"/>
        <v>0</v>
      </c>
      <c r="AD735" s="311">
        <f t="shared" si="82"/>
        <v>0</v>
      </c>
      <c r="AE735" s="311">
        <f t="shared" si="83"/>
        <v>0</v>
      </c>
      <c r="AF735" s="355"/>
      <c r="AG735" s="838"/>
      <c r="AH735" s="744"/>
      <c r="AI735" s="292"/>
      <c r="AK735" s="300"/>
      <c r="AS735" s="452"/>
    </row>
    <row r="736" spans="1:45" s="299" customFormat="1">
      <c r="A736" s="353">
        <v>355</v>
      </c>
      <c r="B736" s="352">
        <v>100</v>
      </c>
      <c r="C736" s="352">
        <v>200</v>
      </c>
      <c r="D736" s="357">
        <v>150</v>
      </c>
      <c r="E736" s="357"/>
      <c r="F736" s="357"/>
      <c r="G736" s="409" t="s">
        <v>1280</v>
      </c>
      <c r="H736" s="314"/>
      <c r="I736" s="311"/>
      <c r="J736" s="319"/>
      <c r="K736" s="319"/>
      <c r="L736" s="319"/>
      <c r="M736" s="319"/>
      <c r="N736" s="312"/>
      <c r="O736" s="313"/>
      <c r="P736" s="311">
        <v>0</v>
      </c>
      <c r="Q736" s="312"/>
      <c r="R736" s="314"/>
      <c r="S736" s="311"/>
      <c r="T736" s="311"/>
      <c r="U736" s="311"/>
      <c r="V736" s="311"/>
      <c r="W736" s="311"/>
      <c r="X736" s="311"/>
      <c r="Y736" s="1356">
        <f t="shared" si="77"/>
        <v>0</v>
      </c>
      <c r="Z736" s="1357">
        <f t="shared" si="78"/>
        <v>0</v>
      </c>
      <c r="AA736" s="311">
        <f t="shared" si="79"/>
        <v>0</v>
      </c>
      <c r="AB736" s="311">
        <f t="shared" si="80"/>
        <v>0</v>
      </c>
      <c r="AC736" s="311">
        <f t="shared" si="81"/>
        <v>0</v>
      </c>
      <c r="AD736" s="311">
        <f t="shared" si="82"/>
        <v>0</v>
      </c>
      <c r="AE736" s="311">
        <f t="shared" si="83"/>
        <v>0</v>
      </c>
      <c r="AF736" s="355"/>
      <c r="AG736" s="838"/>
      <c r="AH736" s="744"/>
      <c r="AI736" s="292"/>
      <c r="AK736" s="300"/>
      <c r="AS736" s="452"/>
    </row>
    <row r="737" spans="1:45" s="299" customFormat="1">
      <c r="A737" s="353">
        <v>355</v>
      </c>
      <c r="B737" s="352">
        <v>100</v>
      </c>
      <c r="C737" s="352">
        <v>200</v>
      </c>
      <c r="D737" s="357">
        <v>200</v>
      </c>
      <c r="E737" s="357"/>
      <c r="F737" s="357"/>
      <c r="G737" s="409" t="s">
        <v>1281</v>
      </c>
      <c r="H737" s="314"/>
      <c r="I737" s="311"/>
      <c r="J737" s="319"/>
      <c r="K737" s="319"/>
      <c r="L737" s="319"/>
      <c r="M737" s="319"/>
      <c r="N737" s="312"/>
      <c r="O737" s="313"/>
      <c r="P737" s="311">
        <v>0</v>
      </c>
      <c r="Q737" s="312"/>
      <c r="R737" s="314"/>
      <c r="S737" s="311"/>
      <c r="T737" s="311"/>
      <c r="U737" s="311"/>
      <c r="V737" s="311"/>
      <c r="W737" s="311"/>
      <c r="X737" s="311"/>
      <c r="Y737" s="1356">
        <f t="shared" si="77"/>
        <v>0</v>
      </c>
      <c r="Z737" s="1357">
        <f t="shared" si="78"/>
        <v>0</v>
      </c>
      <c r="AA737" s="311">
        <f t="shared" si="79"/>
        <v>0</v>
      </c>
      <c r="AB737" s="311">
        <f t="shared" si="80"/>
        <v>0</v>
      </c>
      <c r="AC737" s="311">
        <f t="shared" si="81"/>
        <v>0</v>
      </c>
      <c r="AD737" s="311">
        <f t="shared" si="82"/>
        <v>0</v>
      </c>
      <c r="AE737" s="311">
        <f t="shared" si="83"/>
        <v>0</v>
      </c>
      <c r="AF737" s="355"/>
      <c r="AG737" s="838"/>
      <c r="AH737" s="744"/>
      <c r="AI737" s="292"/>
      <c r="AK737" s="300"/>
      <c r="AS737" s="452"/>
    </row>
    <row r="738" spans="1:45" s="299" customFormat="1">
      <c r="A738" s="353">
        <v>355</v>
      </c>
      <c r="B738" s="352">
        <v>100</v>
      </c>
      <c r="C738" s="352">
        <v>200</v>
      </c>
      <c r="D738" s="357">
        <v>250</v>
      </c>
      <c r="E738" s="357"/>
      <c r="F738" s="357"/>
      <c r="G738" s="409" t="s">
        <v>1282</v>
      </c>
      <c r="H738" s="314"/>
      <c r="I738" s="311"/>
      <c r="J738" s="319"/>
      <c r="K738" s="319"/>
      <c r="L738" s="319"/>
      <c r="M738" s="319"/>
      <c r="N738" s="312"/>
      <c r="O738" s="313"/>
      <c r="P738" s="311">
        <v>0</v>
      </c>
      <c r="Q738" s="312"/>
      <c r="R738" s="314"/>
      <c r="S738" s="311"/>
      <c r="T738" s="311"/>
      <c r="U738" s="311"/>
      <c r="V738" s="311"/>
      <c r="W738" s="311"/>
      <c r="X738" s="311"/>
      <c r="Y738" s="1356">
        <f t="shared" si="77"/>
        <v>0</v>
      </c>
      <c r="Z738" s="1357">
        <f t="shared" si="78"/>
        <v>0</v>
      </c>
      <c r="AA738" s="311">
        <f t="shared" si="79"/>
        <v>0</v>
      </c>
      <c r="AB738" s="311">
        <f t="shared" si="80"/>
        <v>0</v>
      </c>
      <c r="AC738" s="311">
        <f t="shared" si="81"/>
        <v>0</v>
      </c>
      <c r="AD738" s="311">
        <f t="shared" si="82"/>
        <v>0</v>
      </c>
      <c r="AE738" s="311">
        <f t="shared" si="83"/>
        <v>0</v>
      </c>
      <c r="AF738" s="355"/>
      <c r="AG738" s="838"/>
      <c r="AH738" s="744"/>
      <c r="AI738" s="292"/>
      <c r="AK738" s="300"/>
      <c r="AS738" s="452"/>
    </row>
    <row r="739" spans="1:45" s="299" customFormat="1">
      <c r="A739" s="353">
        <v>355</v>
      </c>
      <c r="B739" s="352">
        <v>100</v>
      </c>
      <c r="C739" s="352">
        <v>200</v>
      </c>
      <c r="D739" s="357">
        <v>300</v>
      </c>
      <c r="E739" s="357"/>
      <c r="F739" s="357"/>
      <c r="G739" s="409" t="s">
        <v>1283</v>
      </c>
      <c r="H739" s="314"/>
      <c r="I739" s="311"/>
      <c r="J739" s="319"/>
      <c r="K739" s="319"/>
      <c r="L739" s="319"/>
      <c r="M739" s="319"/>
      <c r="N739" s="312"/>
      <c r="O739" s="313"/>
      <c r="P739" s="311">
        <v>0</v>
      </c>
      <c r="Q739" s="312"/>
      <c r="R739" s="314"/>
      <c r="S739" s="311"/>
      <c r="T739" s="311"/>
      <c r="U739" s="311"/>
      <c r="V739" s="311"/>
      <c r="W739" s="311"/>
      <c r="X739" s="311"/>
      <c r="Y739" s="1356">
        <f t="shared" si="77"/>
        <v>0</v>
      </c>
      <c r="Z739" s="1357">
        <f t="shared" si="78"/>
        <v>0</v>
      </c>
      <c r="AA739" s="311">
        <f t="shared" si="79"/>
        <v>0</v>
      </c>
      <c r="AB739" s="311">
        <f t="shared" si="80"/>
        <v>0</v>
      </c>
      <c r="AC739" s="311">
        <f t="shared" si="81"/>
        <v>0</v>
      </c>
      <c r="AD739" s="311">
        <f t="shared" si="82"/>
        <v>0</v>
      </c>
      <c r="AE739" s="311">
        <f t="shared" si="83"/>
        <v>0</v>
      </c>
      <c r="AF739" s="355"/>
      <c r="AG739" s="838"/>
      <c r="AH739" s="744"/>
      <c r="AI739" s="292"/>
      <c r="AK739" s="300"/>
      <c r="AS739" s="452"/>
    </row>
    <row r="740" spans="1:45" s="299" customFormat="1">
      <c r="A740" s="353">
        <v>355</v>
      </c>
      <c r="B740" s="352">
        <v>100</v>
      </c>
      <c r="C740" s="352">
        <v>200</v>
      </c>
      <c r="D740" s="357">
        <v>350</v>
      </c>
      <c r="E740" s="357"/>
      <c r="F740" s="357"/>
      <c r="G740" s="409" t="s">
        <v>1284</v>
      </c>
      <c r="H740" s="314"/>
      <c r="I740" s="311"/>
      <c r="J740" s="319"/>
      <c r="K740" s="319"/>
      <c r="L740" s="319"/>
      <c r="M740" s="319"/>
      <c r="N740" s="312"/>
      <c r="O740" s="313"/>
      <c r="P740" s="311">
        <v>0</v>
      </c>
      <c r="Q740" s="312"/>
      <c r="R740" s="314"/>
      <c r="S740" s="311"/>
      <c r="T740" s="311"/>
      <c r="U740" s="311"/>
      <c r="V740" s="311"/>
      <c r="W740" s="311"/>
      <c r="X740" s="311"/>
      <c r="Y740" s="1356">
        <f t="shared" si="77"/>
        <v>0</v>
      </c>
      <c r="Z740" s="1357">
        <f t="shared" si="78"/>
        <v>0</v>
      </c>
      <c r="AA740" s="311">
        <f t="shared" si="79"/>
        <v>0</v>
      </c>
      <c r="AB740" s="311">
        <f t="shared" si="80"/>
        <v>0</v>
      </c>
      <c r="AC740" s="311">
        <f t="shared" si="81"/>
        <v>0</v>
      </c>
      <c r="AD740" s="311">
        <f t="shared" si="82"/>
        <v>0</v>
      </c>
      <c r="AE740" s="311">
        <f t="shared" si="83"/>
        <v>0</v>
      </c>
      <c r="AF740" s="355"/>
      <c r="AG740" s="838"/>
      <c r="AH740" s="744"/>
      <c r="AI740" s="292"/>
      <c r="AK740" s="300"/>
      <c r="AS740" s="452"/>
    </row>
    <row r="741" spans="1:45" s="299" customFormat="1">
      <c r="A741" s="353">
        <v>355</v>
      </c>
      <c r="B741" s="352">
        <v>100</v>
      </c>
      <c r="C741" s="352">
        <v>200</v>
      </c>
      <c r="D741" s="357">
        <v>400</v>
      </c>
      <c r="E741" s="357"/>
      <c r="F741" s="357"/>
      <c r="G741" s="409" t="s">
        <v>1285</v>
      </c>
      <c r="H741" s="314"/>
      <c r="I741" s="311"/>
      <c r="J741" s="319"/>
      <c r="K741" s="319"/>
      <c r="L741" s="319"/>
      <c r="M741" s="319"/>
      <c r="N741" s="312"/>
      <c r="O741" s="313"/>
      <c r="P741" s="311">
        <v>0</v>
      </c>
      <c r="Q741" s="312"/>
      <c r="R741" s="314"/>
      <c r="S741" s="311"/>
      <c r="T741" s="311"/>
      <c r="U741" s="311"/>
      <c r="V741" s="311"/>
      <c r="W741" s="311"/>
      <c r="X741" s="311"/>
      <c r="Y741" s="1356">
        <f t="shared" si="77"/>
        <v>0</v>
      </c>
      <c r="Z741" s="1357">
        <f t="shared" si="78"/>
        <v>0</v>
      </c>
      <c r="AA741" s="311">
        <f t="shared" si="79"/>
        <v>0</v>
      </c>
      <c r="AB741" s="311">
        <f t="shared" si="80"/>
        <v>0</v>
      </c>
      <c r="AC741" s="311">
        <f t="shared" si="81"/>
        <v>0</v>
      </c>
      <c r="AD741" s="311">
        <f t="shared" si="82"/>
        <v>0</v>
      </c>
      <c r="AE741" s="311">
        <f t="shared" si="83"/>
        <v>0</v>
      </c>
      <c r="AF741" s="355"/>
      <c r="AG741" s="838"/>
      <c r="AH741" s="744"/>
      <c r="AI741" s="292"/>
      <c r="AK741" s="300"/>
      <c r="AS741" s="452"/>
    </row>
    <row r="742" spans="1:45" s="299" customFormat="1">
      <c r="A742" s="353">
        <v>355</v>
      </c>
      <c r="B742" s="352">
        <v>100</v>
      </c>
      <c r="C742" s="352">
        <v>200</v>
      </c>
      <c r="D742" s="357">
        <v>450</v>
      </c>
      <c r="E742" s="357"/>
      <c r="F742" s="357"/>
      <c r="G742" s="409" t="s">
        <v>1286</v>
      </c>
      <c r="H742" s="314"/>
      <c r="I742" s="311"/>
      <c r="J742" s="319"/>
      <c r="K742" s="319"/>
      <c r="L742" s="319"/>
      <c r="M742" s="319"/>
      <c r="N742" s="312"/>
      <c r="O742" s="313"/>
      <c r="P742" s="311">
        <v>0</v>
      </c>
      <c r="Q742" s="312"/>
      <c r="R742" s="314"/>
      <c r="S742" s="311"/>
      <c r="T742" s="311"/>
      <c r="U742" s="311"/>
      <c r="V742" s="311"/>
      <c r="W742" s="311"/>
      <c r="X742" s="311"/>
      <c r="Y742" s="1356">
        <f t="shared" si="77"/>
        <v>0</v>
      </c>
      <c r="Z742" s="1357">
        <f t="shared" si="78"/>
        <v>0</v>
      </c>
      <c r="AA742" s="311">
        <f t="shared" si="79"/>
        <v>0</v>
      </c>
      <c r="AB742" s="311">
        <f t="shared" si="80"/>
        <v>0</v>
      </c>
      <c r="AC742" s="311">
        <f t="shared" si="81"/>
        <v>0</v>
      </c>
      <c r="AD742" s="311">
        <f t="shared" si="82"/>
        <v>0</v>
      </c>
      <c r="AE742" s="311">
        <f t="shared" si="83"/>
        <v>0</v>
      </c>
      <c r="AF742" s="355"/>
      <c r="AG742" s="838"/>
      <c r="AH742" s="744"/>
      <c r="AI742" s="292"/>
      <c r="AK742" s="300"/>
      <c r="AS742" s="452"/>
    </row>
    <row r="743" spans="1:45" s="299" customFormat="1">
      <c r="A743" s="353">
        <v>355</v>
      </c>
      <c r="B743" s="352">
        <v>100</v>
      </c>
      <c r="C743" s="352">
        <v>200</v>
      </c>
      <c r="D743" s="357">
        <v>500</v>
      </c>
      <c r="E743" s="357"/>
      <c r="F743" s="357"/>
      <c r="G743" s="409" t="s">
        <v>1287</v>
      </c>
      <c r="H743" s="314"/>
      <c r="I743" s="311"/>
      <c r="J743" s="319"/>
      <c r="K743" s="319"/>
      <c r="L743" s="319"/>
      <c r="M743" s="319"/>
      <c r="N743" s="312"/>
      <c r="O743" s="313"/>
      <c r="P743" s="311">
        <v>0</v>
      </c>
      <c r="Q743" s="312"/>
      <c r="R743" s="314"/>
      <c r="S743" s="311"/>
      <c r="T743" s="311"/>
      <c r="U743" s="311"/>
      <c r="V743" s="311"/>
      <c r="W743" s="311"/>
      <c r="X743" s="311"/>
      <c r="Y743" s="1356">
        <f t="shared" si="77"/>
        <v>0</v>
      </c>
      <c r="Z743" s="1357">
        <f t="shared" si="78"/>
        <v>0</v>
      </c>
      <c r="AA743" s="311">
        <f t="shared" si="79"/>
        <v>0</v>
      </c>
      <c r="AB743" s="311">
        <f t="shared" si="80"/>
        <v>0</v>
      </c>
      <c r="AC743" s="311">
        <f t="shared" si="81"/>
        <v>0</v>
      </c>
      <c r="AD743" s="311">
        <f t="shared" si="82"/>
        <v>0</v>
      </c>
      <c r="AE743" s="311">
        <f t="shared" si="83"/>
        <v>0</v>
      </c>
      <c r="AF743" s="355"/>
      <c r="AG743" s="838"/>
      <c r="AH743" s="744"/>
      <c r="AI743" s="292"/>
      <c r="AK743" s="300"/>
      <c r="AS743" s="452"/>
    </row>
    <row r="744" spans="1:45" s="299" customFormat="1">
      <c r="A744" s="353">
        <v>355</v>
      </c>
      <c r="B744" s="352">
        <v>200</v>
      </c>
      <c r="C744" s="352"/>
      <c r="D744" s="352"/>
      <c r="E744" s="352"/>
      <c r="F744" s="352"/>
      <c r="G744" s="323" t="s">
        <v>1288</v>
      </c>
      <c r="H744" s="334"/>
      <c r="I744" s="331"/>
      <c r="J744" s="359"/>
      <c r="K744" s="359"/>
      <c r="L744" s="359"/>
      <c r="M744" s="359"/>
      <c r="N744" s="332"/>
      <c r="O744" s="333"/>
      <c r="P744" s="331">
        <v>0</v>
      </c>
      <c r="Q744" s="332"/>
      <c r="R744" s="334"/>
      <c r="S744" s="331"/>
      <c r="T744" s="331"/>
      <c r="U744" s="331"/>
      <c r="V744" s="331"/>
      <c r="W744" s="331"/>
      <c r="X744" s="331"/>
      <c r="Y744" s="1352">
        <f t="shared" si="77"/>
        <v>0</v>
      </c>
      <c r="Z744" s="1353">
        <f t="shared" si="78"/>
        <v>0</v>
      </c>
      <c r="AA744" s="331">
        <f t="shared" si="79"/>
        <v>0</v>
      </c>
      <c r="AB744" s="331">
        <f t="shared" si="80"/>
        <v>0</v>
      </c>
      <c r="AC744" s="331">
        <f t="shared" si="81"/>
        <v>0</v>
      </c>
      <c r="AD744" s="331">
        <f t="shared" si="82"/>
        <v>0</v>
      </c>
      <c r="AE744" s="331">
        <f t="shared" si="83"/>
        <v>0</v>
      </c>
      <c r="AF744" s="355" t="s">
        <v>1289</v>
      </c>
      <c r="AG744" s="838"/>
      <c r="AH744" s="744"/>
      <c r="AI744" s="292"/>
      <c r="AK744" s="300"/>
      <c r="AS744" s="452"/>
    </row>
    <row r="745" spans="1:45" s="299" customFormat="1">
      <c r="A745" s="353">
        <v>355</v>
      </c>
      <c r="B745" s="352">
        <v>200</v>
      </c>
      <c r="C745" s="357">
        <v>100</v>
      </c>
      <c r="D745" s="357"/>
      <c r="E745" s="357"/>
      <c r="F745" s="357"/>
      <c r="G745" s="409" t="s">
        <v>1290</v>
      </c>
      <c r="H745" s="314"/>
      <c r="I745" s="311"/>
      <c r="J745" s="319"/>
      <c r="K745" s="319"/>
      <c r="L745" s="319"/>
      <c r="M745" s="319"/>
      <c r="N745" s="312"/>
      <c r="O745" s="313"/>
      <c r="P745" s="311">
        <v>0</v>
      </c>
      <c r="Q745" s="312"/>
      <c r="R745" s="314"/>
      <c r="S745" s="311"/>
      <c r="T745" s="311"/>
      <c r="U745" s="311"/>
      <c r="V745" s="311"/>
      <c r="W745" s="311"/>
      <c r="X745" s="311"/>
      <c r="Y745" s="1356">
        <f t="shared" si="77"/>
        <v>0</v>
      </c>
      <c r="Z745" s="1357">
        <f t="shared" si="78"/>
        <v>0</v>
      </c>
      <c r="AA745" s="311">
        <f t="shared" si="79"/>
        <v>0</v>
      </c>
      <c r="AB745" s="311">
        <f t="shared" si="80"/>
        <v>0</v>
      </c>
      <c r="AC745" s="311">
        <f t="shared" si="81"/>
        <v>0</v>
      </c>
      <c r="AD745" s="311">
        <f t="shared" si="82"/>
        <v>0</v>
      </c>
      <c r="AE745" s="311">
        <f t="shared" si="83"/>
        <v>0</v>
      </c>
      <c r="AF745" s="355"/>
      <c r="AG745" s="838"/>
      <c r="AH745" s="744"/>
      <c r="AI745" s="292"/>
      <c r="AK745" s="300"/>
      <c r="AS745" s="452"/>
    </row>
    <row r="746" spans="1:45" s="299" customFormat="1">
      <c r="A746" s="353">
        <v>355</v>
      </c>
      <c r="B746" s="352">
        <v>200</v>
      </c>
      <c r="C746" s="357">
        <v>101</v>
      </c>
      <c r="D746" s="357"/>
      <c r="E746" s="357"/>
      <c r="F746" s="357"/>
      <c r="G746" s="409" t="s">
        <v>1291</v>
      </c>
      <c r="H746" s="314"/>
      <c r="I746" s="311"/>
      <c r="J746" s="319"/>
      <c r="K746" s="319"/>
      <c r="L746" s="319"/>
      <c r="M746" s="319"/>
      <c r="N746" s="312"/>
      <c r="O746" s="313"/>
      <c r="P746" s="311">
        <v>0</v>
      </c>
      <c r="Q746" s="312"/>
      <c r="R746" s="314"/>
      <c r="S746" s="311"/>
      <c r="T746" s="311"/>
      <c r="U746" s="311"/>
      <c r="V746" s="311"/>
      <c r="W746" s="311"/>
      <c r="X746" s="311"/>
      <c r="Y746" s="1356">
        <f t="shared" si="77"/>
        <v>0</v>
      </c>
      <c r="Z746" s="1357">
        <f t="shared" si="78"/>
        <v>0</v>
      </c>
      <c r="AA746" s="311">
        <f t="shared" si="79"/>
        <v>0</v>
      </c>
      <c r="AB746" s="311">
        <f t="shared" si="80"/>
        <v>0</v>
      </c>
      <c r="AC746" s="311">
        <f t="shared" si="81"/>
        <v>0</v>
      </c>
      <c r="AD746" s="311">
        <f t="shared" si="82"/>
        <v>0</v>
      </c>
      <c r="AE746" s="311">
        <f t="shared" si="83"/>
        <v>0</v>
      </c>
      <c r="AF746" s="355"/>
      <c r="AG746" s="838"/>
      <c r="AH746" s="744"/>
      <c r="AI746" s="292"/>
      <c r="AK746" s="300"/>
      <c r="AS746" s="452"/>
    </row>
    <row r="747" spans="1:45" s="299" customFormat="1">
      <c r="A747" s="353">
        <v>355</v>
      </c>
      <c r="B747" s="352">
        <v>200</v>
      </c>
      <c r="C747" s="357">
        <v>102</v>
      </c>
      <c r="D747" s="357"/>
      <c r="E747" s="357"/>
      <c r="F747" s="357"/>
      <c r="G747" s="409" t="s">
        <v>1292</v>
      </c>
      <c r="H747" s="314"/>
      <c r="I747" s="311"/>
      <c r="J747" s="319"/>
      <c r="K747" s="319"/>
      <c r="L747" s="319"/>
      <c r="M747" s="319"/>
      <c r="N747" s="312"/>
      <c r="O747" s="313"/>
      <c r="P747" s="311">
        <v>0</v>
      </c>
      <c r="Q747" s="312"/>
      <c r="R747" s="314"/>
      <c r="S747" s="311"/>
      <c r="T747" s="311"/>
      <c r="U747" s="311"/>
      <c r="V747" s="311"/>
      <c r="W747" s="311"/>
      <c r="X747" s="311"/>
      <c r="Y747" s="1356">
        <f t="shared" si="77"/>
        <v>0</v>
      </c>
      <c r="Z747" s="1357">
        <f t="shared" si="78"/>
        <v>0</v>
      </c>
      <c r="AA747" s="311">
        <f t="shared" si="79"/>
        <v>0</v>
      </c>
      <c r="AB747" s="311">
        <f t="shared" si="80"/>
        <v>0</v>
      </c>
      <c r="AC747" s="311">
        <f t="shared" si="81"/>
        <v>0</v>
      </c>
      <c r="AD747" s="311">
        <f t="shared" si="82"/>
        <v>0</v>
      </c>
      <c r="AE747" s="311">
        <f t="shared" si="83"/>
        <v>0</v>
      </c>
      <c r="AF747" s="355"/>
      <c r="AG747" s="838"/>
      <c r="AH747" s="744"/>
      <c r="AI747" s="292"/>
      <c r="AK747" s="300"/>
      <c r="AS747" s="452"/>
    </row>
    <row r="748" spans="1:45" s="299" customFormat="1">
      <c r="A748" s="353">
        <v>355</v>
      </c>
      <c r="B748" s="352">
        <v>200</v>
      </c>
      <c r="C748" s="357">
        <v>103</v>
      </c>
      <c r="D748" s="357"/>
      <c r="E748" s="357"/>
      <c r="F748" s="357"/>
      <c r="G748" s="409" t="s">
        <v>1293</v>
      </c>
      <c r="H748" s="314"/>
      <c r="I748" s="311"/>
      <c r="J748" s="319"/>
      <c r="K748" s="319"/>
      <c r="L748" s="319"/>
      <c r="M748" s="319"/>
      <c r="N748" s="312"/>
      <c r="O748" s="313"/>
      <c r="P748" s="311">
        <v>0</v>
      </c>
      <c r="Q748" s="312"/>
      <c r="R748" s="314"/>
      <c r="S748" s="311"/>
      <c r="T748" s="311"/>
      <c r="U748" s="311"/>
      <c r="V748" s="311"/>
      <c r="W748" s="311"/>
      <c r="X748" s="311"/>
      <c r="Y748" s="1356">
        <f t="shared" si="77"/>
        <v>0</v>
      </c>
      <c r="Z748" s="1357">
        <f t="shared" si="78"/>
        <v>0</v>
      </c>
      <c r="AA748" s="311">
        <f t="shared" si="79"/>
        <v>0</v>
      </c>
      <c r="AB748" s="311">
        <f t="shared" si="80"/>
        <v>0</v>
      </c>
      <c r="AC748" s="311">
        <f t="shared" si="81"/>
        <v>0</v>
      </c>
      <c r="AD748" s="311">
        <f t="shared" si="82"/>
        <v>0</v>
      </c>
      <c r="AE748" s="311">
        <f t="shared" si="83"/>
        <v>0</v>
      </c>
      <c r="AF748" s="355"/>
      <c r="AG748" s="838"/>
      <c r="AH748" s="744"/>
      <c r="AI748" s="292"/>
      <c r="AK748" s="300"/>
      <c r="AS748" s="452"/>
    </row>
    <row r="749" spans="1:45" s="299" customFormat="1">
      <c r="A749" s="353">
        <v>355</v>
      </c>
      <c r="B749" s="352">
        <v>200</v>
      </c>
      <c r="C749" s="357">
        <v>200</v>
      </c>
      <c r="D749" s="357"/>
      <c r="E749" s="357"/>
      <c r="F749" s="357"/>
      <c r="G749" s="409" t="s">
        <v>1294</v>
      </c>
      <c r="H749" s="314"/>
      <c r="I749" s="311"/>
      <c r="J749" s="319"/>
      <c r="K749" s="319"/>
      <c r="L749" s="319"/>
      <c r="M749" s="319"/>
      <c r="N749" s="312"/>
      <c r="O749" s="313"/>
      <c r="P749" s="311">
        <v>0</v>
      </c>
      <c r="Q749" s="312"/>
      <c r="R749" s="314"/>
      <c r="S749" s="311"/>
      <c r="T749" s="311"/>
      <c r="U749" s="311"/>
      <c r="V749" s="311"/>
      <c r="W749" s="311"/>
      <c r="X749" s="311"/>
      <c r="Y749" s="1356">
        <f t="shared" si="77"/>
        <v>0</v>
      </c>
      <c r="Z749" s="1357">
        <f t="shared" si="78"/>
        <v>0</v>
      </c>
      <c r="AA749" s="311">
        <f t="shared" si="79"/>
        <v>0</v>
      </c>
      <c r="AB749" s="311">
        <f t="shared" si="80"/>
        <v>0</v>
      </c>
      <c r="AC749" s="311">
        <f t="shared" si="81"/>
        <v>0</v>
      </c>
      <c r="AD749" s="311">
        <f t="shared" si="82"/>
        <v>0</v>
      </c>
      <c r="AE749" s="311">
        <f t="shared" si="83"/>
        <v>0</v>
      </c>
      <c r="AF749" s="355"/>
      <c r="AG749" s="838"/>
      <c r="AH749" s="744"/>
      <c r="AI749" s="292"/>
      <c r="AK749" s="300"/>
      <c r="AS749" s="452"/>
    </row>
    <row r="750" spans="1:45" s="299" customFormat="1">
      <c r="A750" s="353">
        <v>355</v>
      </c>
      <c r="B750" s="352">
        <v>200</v>
      </c>
      <c r="C750" s="357">
        <v>201</v>
      </c>
      <c r="D750" s="357"/>
      <c r="E750" s="357"/>
      <c r="F750" s="357"/>
      <c r="G750" s="409" t="s">
        <v>1295</v>
      </c>
      <c r="H750" s="314"/>
      <c r="I750" s="311"/>
      <c r="J750" s="319"/>
      <c r="K750" s="319"/>
      <c r="L750" s="319"/>
      <c r="M750" s="319"/>
      <c r="N750" s="312"/>
      <c r="O750" s="313"/>
      <c r="P750" s="311">
        <v>0</v>
      </c>
      <c r="Q750" s="312"/>
      <c r="R750" s="314"/>
      <c r="S750" s="311"/>
      <c r="T750" s="311"/>
      <c r="U750" s="311"/>
      <c r="V750" s="311"/>
      <c r="W750" s="311"/>
      <c r="X750" s="311"/>
      <c r="Y750" s="1356">
        <f t="shared" si="77"/>
        <v>0</v>
      </c>
      <c r="Z750" s="1357">
        <f t="shared" si="78"/>
        <v>0</v>
      </c>
      <c r="AA750" s="311">
        <f t="shared" si="79"/>
        <v>0</v>
      </c>
      <c r="AB750" s="311">
        <f t="shared" si="80"/>
        <v>0</v>
      </c>
      <c r="AC750" s="311">
        <f t="shared" si="81"/>
        <v>0</v>
      </c>
      <c r="AD750" s="311">
        <f t="shared" si="82"/>
        <v>0</v>
      </c>
      <c r="AE750" s="311">
        <f t="shared" si="83"/>
        <v>0</v>
      </c>
      <c r="AF750" s="355"/>
      <c r="AG750" s="838"/>
      <c r="AH750" s="744"/>
      <c r="AI750" s="292"/>
      <c r="AK750" s="300"/>
      <c r="AS750" s="452"/>
    </row>
    <row r="751" spans="1:45" s="299" customFormat="1">
      <c r="A751" s="353">
        <v>355</v>
      </c>
      <c r="B751" s="352">
        <v>200</v>
      </c>
      <c r="C751" s="357">
        <v>202</v>
      </c>
      <c r="D751" s="357"/>
      <c r="E751" s="357"/>
      <c r="F751" s="357"/>
      <c r="G751" s="409" t="s">
        <v>1296</v>
      </c>
      <c r="H751" s="314"/>
      <c r="I751" s="311"/>
      <c r="J751" s="319"/>
      <c r="K751" s="319"/>
      <c r="L751" s="319"/>
      <c r="M751" s="319"/>
      <c r="N751" s="312"/>
      <c r="O751" s="313"/>
      <c r="P751" s="311">
        <v>0</v>
      </c>
      <c r="Q751" s="312"/>
      <c r="R751" s="314"/>
      <c r="S751" s="311"/>
      <c r="T751" s="311"/>
      <c r="U751" s="311"/>
      <c r="V751" s="311"/>
      <c r="W751" s="311"/>
      <c r="X751" s="311"/>
      <c r="Y751" s="1356">
        <f t="shared" si="77"/>
        <v>0</v>
      </c>
      <c r="Z751" s="1357">
        <f t="shared" si="78"/>
        <v>0</v>
      </c>
      <c r="AA751" s="311">
        <f t="shared" si="79"/>
        <v>0</v>
      </c>
      <c r="AB751" s="311">
        <f t="shared" si="80"/>
        <v>0</v>
      </c>
      <c r="AC751" s="311">
        <f t="shared" si="81"/>
        <v>0</v>
      </c>
      <c r="AD751" s="311">
        <f t="shared" si="82"/>
        <v>0</v>
      </c>
      <c r="AE751" s="311">
        <f t="shared" si="83"/>
        <v>0</v>
      </c>
      <c r="AF751" s="355"/>
      <c r="AG751" s="838"/>
      <c r="AH751" s="744"/>
      <c r="AI751" s="292"/>
      <c r="AK751" s="300"/>
      <c r="AS751" s="452"/>
    </row>
    <row r="752" spans="1:45" s="299" customFormat="1">
      <c r="A752" s="353">
        <v>355</v>
      </c>
      <c r="B752" s="352">
        <v>200</v>
      </c>
      <c r="C752" s="357">
        <v>203</v>
      </c>
      <c r="D752" s="357"/>
      <c r="E752" s="357"/>
      <c r="F752" s="357"/>
      <c r="G752" s="409" t="s">
        <v>1297</v>
      </c>
      <c r="H752" s="314"/>
      <c r="I752" s="311"/>
      <c r="J752" s="319"/>
      <c r="K752" s="319"/>
      <c r="L752" s="319"/>
      <c r="M752" s="319"/>
      <c r="N752" s="312"/>
      <c r="O752" s="313"/>
      <c r="P752" s="311">
        <v>0</v>
      </c>
      <c r="Q752" s="312"/>
      <c r="R752" s="314"/>
      <c r="S752" s="311"/>
      <c r="T752" s="311"/>
      <c r="U752" s="311"/>
      <c r="V752" s="311"/>
      <c r="W752" s="311"/>
      <c r="X752" s="311"/>
      <c r="Y752" s="1356">
        <f t="shared" si="77"/>
        <v>0</v>
      </c>
      <c r="Z752" s="1357">
        <f t="shared" si="78"/>
        <v>0</v>
      </c>
      <c r="AA752" s="311">
        <f t="shared" si="79"/>
        <v>0</v>
      </c>
      <c r="AB752" s="311">
        <f t="shared" si="80"/>
        <v>0</v>
      </c>
      <c r="AC752" s="311">
        <f t="shared" si="81"/>
        <v>0</v>
      </c>
      <c r="AD752" s="311">
        <f t="shared" si="82"/>
        <v>0</v>
      </c>
      <c r="AE752" s="311">
        <f t="shared" si="83"/>
        <v>0</v>
      </c>
      <c r="AF752" s="355"/>
      <c r="AG752" s="838"/>
      <c r="AH752" s="744"/>
      <c r="AI752" s="292"/>
      <c r="AK752" s="300"/>
      <c r="AS752" s="452"/>
    </row>
    <row r="753" spans="1:45" s="299" customFormat="1">
      <c r="A753" s="353">
        <v>355</v>
      </c>
      <c r="B753" s="352">
        <v>200</v>
      </c>
      <c r="C753" s="357">
        <v>204</v>
      </c>
      <c r="D753" s="357"/>
      <c r="E753" s="357"/>
      <c r="F753" s="357"/>
      <c r="G753" s="409" t="s">
        <v>1298</v>
      </c>
      <c r="H753" s="314"/>
      <c r="I753" s="311"/>
      <c r="J753" s="319"/>
      <c r="K753" s="319"/>
      <c r="L753" s="319"/>
      <c r="M753" s="319"/>
      <c r="N753" s="312"/>
      <c r="O753" s="313"/>
      <c r="P753" s="311">
        <v>0</v>
      </c>
      <c r="Q753" s="312"/>
      <c r="R753" s="314"/>
      <c r="S753" s="311"/>
      <c r="T753" s="311"/>
      <c r="U753" s="311"/>
      <c r="V753" s="311"/>
      <c r="W753" s="311"/>
      <c r="X753" s="311"/>
      <c r="Y753" s="1356">
        <f t="shared" si="77"/>
        <v>0</v>
      </c>
      <c r="Z753" s="1357">
        <f t="shared" si="78"/>
        <v>0</v>
      </c>
      <c r="AA753" s="311">
        <f t="shared" si="79"/>
        <v>0</v>
      </c>
      <c r="AB753" s="311">
        <f t="shared" si="80"/>
        <v>0</v>
      </c>
      <c r="AC753" s="311">
        <f t="shared" si="81"/>
        <v>0</v>
      </c>
      <c r="AD753" s="311">
        <f t="shared" si="82"/>
        <v>0</v>
      </c>
      <c r="AE753" s="311">
        <f t="shared" si="83"/>
        <v>0</v>
      </c>
      <c r="AF753" s="355"/>
      <c r="AG753" s="838"/>
      <c r="AH753" s="744"/>
      <c r="AI753" s="292"/>
      <c r="AK753" s="300"/>
      <c r="AS753" s="452"/>
    </row>
    <row r="754" spans="1:45" s="299" customFormat="1">
      <c r="A754" s="353">
        <v>355</v>
      </c>
      <c r="B754" s="352">
        <v>200</v>
      </c>
      <c r="C754" s="357">
        <v>205</v>
      </c>
      <c r="D754" s="357"/>
      <c r="E754" s="357"/>
      <c r="F754" s="357"/>
      <c r="G754" s="409" t="s">
        <v>1299</v>
      </c>
      <c r="H754" s="314"/>
      <c r="I754" s="311"/>
      <c r="J754" s="319"/>
      <c r="K754" s="319"/>
      <c r="L754" s="319"/>
      <c r="M754" s="319"/>
      <c r="N754" s="312"/>
      <c r="O754" s="313"/>
      <c r="P754" s="311">
        <v>0</v>
      </c>
      <c r="Q754" s="312"/>
      <c r="R754" s="314"/>
      <c r="S754" s="311"/>
      <c r="T754" s="311"/>
      <c r="U754" s="311"/>
      <c r="V754" s="311"/>
      <c r="W754" s="311"/>
      <c r="X754" s="311"/>
      <c r="Y754" s="1356">
        <f t="shared" si="77"/>
        <v>0</v>
      </c>
      <c r="Z754" s="1357">
        <f t="shared" si="78"/>
        <v>0</v>
      </c>
      <c r="AA754" s="311">
        <f t="shared" si="79"/>
        <v>0</v>
      </c>
      <c r="AB754" s="311">
        <f t="shared" si="80"/>
        <v>0</v>
      </c>
      <c r="AC754" s="311">
        <f t="shared" si="81"/>
        <v>0</v>
      </c>
      <c r="AD754" s="311">
        <f t="shared" si="82"/>
        <v>0</v>
      </c>
      <c r="AE754" s="311">
        <f t="shared" si="83"/>
        <v>0</v>
      </c>
      <c r="AF754" s="355"/>
      <c r="AG754" s="838"/>
      <c r="AH754" s="744"/>
      <c r="AI754" s="292"/>
      <c r="AK754" s="300"/>
      <c r="AS754" s="452"/>
    </row>
    <row r="755" spans="1:45" s="299" customFormat="1">
      <c r="A755" s="353">
        <v>355</v>
      </c>
      <c r="B755" s="352">
        <v>200</v>
      </c>
      <c r="C755" s="357">
        <v>206</v>
      </c>
      <c r="D755" s="357"/>
      <c r="E755" s="357"/>
      <c r="F755" s="357"/>
      <c r="G755" s="409" t="s">
        <v>1300</v>
      </c>
      <c r="H755" s="314"/>
      <c r="I755" s="311"/>
      <c r="J755" s="319"/>
      <c r="K755" s="319"/>
      <c r="L755" s="319"/>
      <c r="M755" s="319"/>
      <c r="N755" s="312"/>
      <c r="O755" s="313"/>
      <c r="P755" s="311">
        <v>0</v>
      </c>
      <c r="Q755" s="312"/>
      <c r="R755" s="314"/>
      <c r="S755" s="311"/>
      <c r="T755" s="311"/>
      <c r="U755" s="311"/>
      <c r="V755" s="311"/>
      <c r="W755" s="311"/>
      <c r="X755" s="311"/>
      <c r="Y755" s="1356">
        <f t="shared" si="77"/>
        <v>0</v>
      </c>
      <c r="Z755" s="1357">
        <f t="shared" si="78"/>
        <v>0</v>
      </c>
      <c r="AA755" s="311">
        <f t="shared" si="79"/>
        <v>0</v>
      </c>
      <c r="AB755" s="311">
        <f t="shared" si="80"/>
        <v>0</v>
      </c>
      <c r="AC755" s="311">
        <f t="shared" si="81"/>
        <v>0</v>
      </c>
      <c r="AD755" s="311">
        <f t="shared" si="82"/>
        <v>0</v>
      </c>
      <c r="AE755" s="311">
        <f t="shared" si="83"/>
        <v>0</v>
      </c>
      <c r="AF755" s="355"/>
      <c r="AG755" s="838"/>
      <c r="AH755" s="744"/>
      <c r="AI755" s="292"/>
      <c r="AK755" s="300"/>
      <c r="AS755" s="452"/>
    </row>
    <row r="756" spans="1:45" s="299" customFormat="1">
      <c r="A756" s="353">
        <v>355</v>
      </c>
      <c r="B756" s="352">
        <v>200</v>
      </c>
      <c r="C756" s="357">
        <v>207</v>
      </c>
      <c r="D756" s="357"/>
      <c r="E756" s="357"/>
      <c r="F756" s="357"/>
      <c r="G756" s="409" t="s">
        <v>1301</v>
      </c>
      <c r="H756" s="314"/>
      <c r="I756" s="311"/>
      <c r="J756" s="319"/>
      <c r="K756" s="319"/>
      <c r="L756" s="319"/>
      <c r="M756" s="319"/>
      <c r="N756" s="312"/>
      <c r="O756" s="313"/>
      <c r="P756" s="311">
        <v>0</v>
      </c>
      <c r="Q756" s="312"/>
      <c r="R756" s="314"/>
      <c r="S756" s="311"/>
      <c r="T756" s="311"/>
      <c r="U756" s="311"/>
      <c r="V756" s="311"/>
      <c r="W756" s="311"/>
      <c r="X756" s="311"/>
      <c r="Y756" s="1356">
        <f t="shared" si="77"/>
        <v>0</v>
      </c>
      <c r="Z756" s="1357">
        <f t="shared" si="78"/>
        <v>0</v>
      </c>
      <c r="AA756" s="311">
        <f t="shared" si="79"/>
        <v>0</v>
      </c>
      <c r="AB756" s="311">
        <f t="shared" si="80"/>
        <v>0</v>
      </c>
      <c r="AC756" s="311">
        <f t="shared" si="81"/>
        <v>0</v>
      </c>
      <c r="AD756" s="311">
        <f t="shared" si="82"/>
        <v>0</v>
      </c>
      <c r="AE756" s="311">
        <f t="shared" si="83"/>
        <v>0</v>
      </c>
      <c r="AF756" s="355"/>
      <c r="AG756" s="838"/>
      <c r="AH756" s="744"/>
      <c r="AI756" s="292"/>
      <c r="AK756" s="300"/>
      <c r="AS756" s="452"/>
    </row>
    <row r="757" spans="1:45" s="299" customFormat="1">
      <c r="A757" s="353">
        <v>355</v>
      </c>
      <c r="B757" s="352">
        <v>200</v>
      </c>
      <c r="C757" s="357">
        <v>208</v>
      </c>
      <c r="D757" s="357"/>
      <c r="E757" s="357"/>
      <c r="F757" s="357"/>
      <c r="G757" s="409" t="s">
        <v>1302</v>
      </c>
      <c r="H757" s="314"/>
      <c r="I757" s="311"/>
      <c r="J757" s="319"/>
      <c r="K757" s="319"/>
      <c r="L757" s="319"/>
      <c r="M757" s="319"/>
      <c r="N757" s="312"/>
      <c r="O757" s="313"/>
      <c r="P757" s="311">
        <v>0</v>
      </c>
      <c r="Q757" s="312"/>
      <c r="R757" s="314"/>
      <c r="S757" s="311"/>
      <c r="T757" s="311"/>
      <c r="U757" s="311"/>
      <c r="V757" s="311"/>
      <c r="W757" s="311"/>
      <c r="X757" s="311"/>
      <c r="Y757" s="1356">
        <f t="shared" si="77"/>
        <v>0</v>
      </c>
      <c r="Z757" s="1357">
        <f t="shared" si="78"/>
        <v>0</v>
      </c>
      <c r="AA757" s="311">
        <f t="shared" si="79"/>
        <v>0</v>
      </c>
      <c r="AB757" s="311">
        <f t="shared" si="80"/>
        <v>0</v>
      </c>
      <c r="AC757" s="311">
        <f t="shared" si="81"/>
        <v>0</v>
      </c>
      <c r="AD757" s="311">
        <f t="shared" si="82"/>
        <v>0</v>
      </c>
      <c r="AE757" s="311">
        <f t="shared" si="83"/>
        <v>0</v>
      </c>
      <c r="AF757" s="355"/>
      <c r="AG757" s="838"/>
      <c r="AH757" s="744"/>
      <c r="AI757" s="292"/>
      <c r="AK757" s="300"/>
      <c r="AS757" s="452"/>
    </row>
    <row r="758" spans="1:45" s="299" customFormat="1">
      <c r="A758" s="353">
        <v>355</v>
      </c>
      <c r="B758" s="352">
        <v>200</v>
      </c>
      <c r="C758" s="357">
        <v>209</v>
      </c>
      <c r="D758" s="357"/>
      <c r="E758" s="357"/>
      <c r="F758" s="357"/>
      <c r="G758" s="409" t="s">
        <v>1303</v>
      </c>
      <c r="H758" s="314"/>
      <c r="I758" s="311"/>
      <c r="J758" s="319"/>
      <c r="K758" s="319"/>
      <c r="L758" s="319"/>
      <c r="M758" s="319"/>
      <c r="N758" s="312"/>
      <c r="O758" s="313"/>
      <c r="P758" s="311">
        <v>0</v>
      </c>
      <c r="Q758" s="312"/>
      <c r="R758" s="314"/>
      <c r="S758" s="311"/>
      <c r="T758" s="311"/>
      <c r="U758" s="311"/>
      <c r="V758" s="311"/>
      <c r="W758" s="311"/>
      <c r="X758" s="311"/>
      <c r="Y758" s="1356">
        <f t="shared" si="77"/>
        <v>0</v>
      </c>
      <c r="Z758" s="1357">
        <f t="shared" si="78"/>
        <v>0</v>
      </c>
      <c r="AA758" s="311">
        <f t="shared" si="79"/>
        <v>0</v>
      </c>
      <c r="AB758" s="311">
        <f t="shared" si="80"/>
        <v>0</v>
      </c>
      <c r="AC758" s="311">
        <f t="shared" si="81"/>
        <v>0</v>
      </c>
      <c r="AD758" s="311">
        <f t="shared" si="82"/>
        <v>0</v>
      </c>
      <c r="AE758" s="311">
        <f t="shared" si="83"/>
        <v>0</v>
      </c>
      <c r="AF758" s="355"/>
      <c r="AG758" s="838"/>
      <c r="AH758" s="744"/>
      <c r="AI758" s="292"/>
      <c r="AK758" s="300"/>
      <c r="AS758" s="452"/>
    </row>
    <row r="759" spans="1:45" s="299" customFormat="1">
      <c r="A759" s="353">
        <v>355</v>
      </c>
      <c r="B759" s="352">
        <v>200</v>
      </c>
      <c r="C759" s="357">
        <v>210</v>
      </c>
      <c r="D759" s="357"/>
      <c r="E759" s="357"/>
      <c r="F759" s="357"/>
      <c r="G759" s="409" t="s">
        <v>1304</v>
      </c>
      <c r="H759" s="314"/>
      <c r="I759" s="311"/>
      <c r="J759" s="319"/>
      <c r="K759" s="319"/>
      <c r="L759" s="319"/>
      <c r="M759" s="319"/>
      <c r="N759" s="312"/>
      <c r="O759" s="313"/>
      <c r="P759" s="311">
        <v>0</v>
      </c>
      <c r="Q759" s="312"/>
      <c r="R759" s="314"/>
      <c r="S759" s="311"/>
      <c r="T759" s="311"/>
      <c r="U759" s="311"/>
      <c r="V759" s="311"/>
      <c r="W759" s="311"/>
      <c r="X759" s="311"/>
      <c r="Y759" s="1356">
        <f t="shared" si="77"/>
        <v>0</v>
      </c>
      <c r="Z759" s="1357">
        <f t="shared" si="78"/>
        <v>0</v>
      </c>
      <c r="AA759" s="311">
        <f t="shared" si="79"/>
        <v>0</v>
      </c>
      <c r="AB759" s="311">
        <f t="shared" si="80"/>
        <v>0</v>
      </c>
      <c r="AC759" s="311">
        <f t="shared" si="81"/>
        <v>0</v>
      </c>
      <c r="AD759" s="311">
        <f t="shared" si="82"/>
        <v>0</v>
      </c>
      <c r="AE759" s="311">
        <f t="shared" si="83"/>
        <v>0</v>
      </c>
      <c r="AF759" s="355"/>
      <c r="AG759" s="838"/>
      <c r="AH759" s="744"/>
      <c r="AI759" s="292"/>
      <c r="AK759" s="300"/>
      <c r="AS759" s="452"/>
    </row>
    <row r="760" spans="1:45" s="299" customFormat="1">
      <c r="A760" s="353">
        <v>355</v>
      </c>
      <c r="B760" s="352">
        <v>200</v>
      </c>
      <c r="C760" s="357">
        <v>211</v>
      </c>
      <c r="D760" s="357"/>
      <c r="E760" s="357"/>
      <c r="F760" s="357"/>
      <c r="G760" s="409" t="s">
        <v>1305</v>
      </c>
      <c r="H760" s="314"/>
      <c r="I760" s="311"/>
      <c r="J760" s="319"/>
      <c r="K760" s="319"/>
      <c r="L760" s="319"/>
      <c r="M760" s="319"/>
      <c r="N760" s="312"/>
      <c r="O760" s="313"/>
      <c r="P760" s="311">
        <v>0</v>
      </c>
      <c r="Q760" s="312"/>
      <c r="R760" s="314"/>
      <c r="S760" s="311"/>
      <c r="T760" s="311"/>
      <c r="U760" s="311"/>
      <c r="V760" s="311"/>
      <c r="W760" s="311"/>
      <c r="X760" s="311"/>
      <c r="Y760" s="1356">
        <f t="shared" si="77"/>
        <v>0</v>
      </c>
      <c r="Z760" s="1357">
        <f t="shared" si="78"/>
        <v>0</v>
      </c>
      <c r="AA760" s="311">
        <f t="shared" si="79"/>
        <v>0</v>
      </c>
      <c r="AB760" s="311">
        <f t="shared" si="80"/>
        <v>0</v>
      </c>
      <c r="AC760" s="311">
        <f t="shared" si="81"/>
        <v>0</v>
      </c>
      <c r="AD760" s="311">
        <f t="shared" si="82"/>
        <v>0</v>
      </c>
      <c r="AE760" s="311">
        <f t="shared" si="83"/>
        <v>0</v>
      </c>
      <c r="AF760" s="355"/>
      <c r="AG760" s="838"/>
      <c r="AH760" s="744"/>
      <c r="AI760" s="292"/>
      <c r="AK760" s="300"/>
      <c r="AS760" s="452"/>
    </row>
    <row r="761" spans="1:45" s="299" customFormat="1">
      <c r="A761" s="353">
        <v>355</v>
      </c>
      <c r="B761" s="352">
        <v>200</v>
      </c>
      <c r="C761" s="357">
        <v>300</v>
      </c>
      <c r="D761" s="357"/>
      <c r="E761" s="357"/>
      <c r="F761" s="357"/>
      <c r="G761" s="409" t="s">
        <v>1306</v>
      </c>
      <c r="H761" s="314"/>
      <c r="I761" s="311"/>
      <c r="J761" s="319"/>
      <c r="K761" s="319"/>
      <c r="L761" s="319"/>
      <c r="M761" s="319"/>
      <c r="N761" s="312"/>
      <c r="O761" s="313"/>
      <c r="P761" s="311">
        <v>0</v>
      </c>
      <c r="Q761" s="312"/>
      <c r="R761" s="314"/>
      <c r="S761" s="311"/>
      <c r="T761" s="311"/>
      <c r="U761" s="311"/>
      <c r="V761" s="311"/>
      <c r="W761" s="311"/>
      <c r="X761" s="311"/>
      <c r="Y761" s="1356">
        <f t="shared" si="77"/>
        <v>0</v>
      </c>
      <c r="Z761" s="1357">
        <f t="shared" si="78"/>
        <v>0</v>
      </c>
      <c r="AA761" s="311">
        <f t="shared" si="79"/>
        <v>0</v>
      </c>
      <c r="AB761" s="311">
        <f t="shared" si="80"/>
        <v>0</v>
      </c>
      <c r="AC761" s="311">
        <f t="shared" si="81"/>
        <v>0</v>
      </c>
      <c r="AD761" s="311">
        <f t="shared" si="82"/>
        <v>0</v>
      </c>
      <c r="AE761" s="311">
        <f t="shared" si="83"/>
        <v>0</v>
      </c>
      <c r="AF761" s="355"/>
      <c r="AG761" s="838"/>
      <c r="AH761" s="744"/>
      <c r="AI761" s="292"/>
      <c r="AK761" s="300"/>
      <c r="AS761" s="452"/>
    </row>
    <row r="762" spans="1:45" s="299" customFormat="1">
      <c r="A762" s="353">
        <v>355</v>
      </c>
      <c r="B762" s="352">
        <v>200</v>
      </c>
      <c r="C762" s="357">
        <v>400</v>
      </c>
      <c r="D762" s="357"/>
      <c r="E762" s="357"/>
      <c r="F762" s="357"/>
      <c r="G762" s="409" t="s">
        <v>1307</v>
      </c>
      <c r="H762" s="314"/>
      <c r="I762" s="311"/>
      <c r="J762" s="319"/>
      <c r="K762" s="319"/>
      <c r="L762" s="319"/>
      <c r="M762" s="319"/>
      <c r="N762" s="312"/>
      <c r="O762" s="313"/>
      <c r="P762" s="311">
        <v>0</v>
      </c>
      <c r="Q762" s="312"/>
      <c r="R762" s="314"/>
      <c r="S762" s="311"/>
      <c r="T762" s="311"/>
      <c r="U762" s="311"/>
      <c r="V762" s="311"/>
      <c r="W762" s="311"/>
      <c r="X762" s="311"/>
      <c r="Y762" s="1356">
        <f t="shared" si="77"/>
        <v>0</v>
      </c>
      <c r="Z762" s="1357">
        <f t="shared" si="78"/>
        <v>0</v>
      </c>
      <c r="AA762" s="311">
        <f t="shared" si="79"/>
        <v>0</v>
      </c>
      <c r="AB762" s="311">
        <f t="shared" si="80"/>
        <v>0</v>
      </c>
      <c r="AC762" s="311">
        <f t="shared" si="81"/>
        <v>0</v>
      </c>
      <c r="AD762" s="311">
        <f t="shared" si="82"/>
        <v>0</v>
      </c>
      <c r="AE762" s="311">
        <f t="shared" si="83"/>
        <v>0</v>
      </c>
      <c r="AF762" s="355"/>
      <c r="AG762" s="838"/>
      <c r="AH762" s="744"/>
      <c r="AI762" s="292"/>
      <c r="AK762" s="300"/>
      <c r="AS762" s="452"/>
    </row>
    <row r="763" spans="1:45" s="299" customFormat="1">
      <c r="A763" s="353">
        <v>355</v>
      </c>
      <c r="B763" s="352">
        <v>200</v>
      </c>
      <c r="C763" s="357">
        <v>401</v>
      </c>
      <c r="D763" s="357"/>
      <c r="E763" s="357"/>
      <c r="F763" s="357"/>
      <c r="G763" s="409" t="s">
        <v>1308</v>
      </c>
      <c r="H763" s="314"/>
      <c r="I763" s="311"/>
      <c r="J763" s="319"/>
      <c r="K763" s="319"/>
      <c r="L763" s="319"/>
      <c r="M763" s="319"/>
      <c r="N763" s="312"/>
      <c r="O763" s="313"/>
      <c r="P763" s="311">
        <v>0</v>
      </c>
      <c r="Q763" s="312"/>
      <c r="R763" s="314"/>
      <c r="S763" s="311"/>
      <c r="T763" s="311"/>
      <c r="U763" s="311"/>
      <c r="V763" s="311"/>
      <c r="W763" s="311"/>
      <c r="X763" s="311"/>
      <c r="Y763" s="1356">
        <f t="shared" si="77"/>
        <v>0</v>
      </c>
      <c r="Z763" s="1357">
        <f t="shared" si="78"/>
        <v>0</v>
      </c>
      <c r="AA763" s="311">
        <f t="shared" si="79"/>
        <v>0</v>
      </c>
      <c r="AB763" s="311">
        <f t="shared" si="80"/>
        <v>0</v>
      </c>
      <c r="AC763" s="311">
        <f t="shared" si="81"/>
        <v>0</v>
      </c>
      <c r="AD763" s="311">
        <f t="shared" si="82"/>
        <v>0</v>
      </c>
      <c r="AE763" s="311">
        <f t="shared" si="83"/>
        <v>0</v>
      </c>
      <c r="AF763" s="355"/>
      <c r="AG763" s="838"/>
      <c r="AH763" s="744"/>
      <c r="AI763" s="292"/>
      <c r="AK763" s="300"/>
      <c r="AS763" s="452"/>
    </row>
    <row r="764" spans="1:45" s="299" customFormat="1">
      <c r="A764" s="353">
        <v>355</v>
      </c>
      <c r="B764" s="352">
        <v>200</v>
      </c>
      <c r="C764" s="357">
        <v>402</v>
      </c>
      <c r="D764" s="357"/>
      <c r="E764" s="357"/>
      <c r="F764" s="357"/>
      <c r="G764" s="409" t="s">
        <v>1309</v>
      </c>
      <c r="H764" s="314"/>
      <c r="I764" s="311"/>
      <c r="J764" s="319"/>
      <c r="K764" s="319"/>
      <c r="L764" s="319"/>
      <c r="M764" s="319"/>
      <c r="N764" s="312"/>
      <c r="O764" s="313"/>
      <c r="P764" s="311">
        <v>0</v>
      </c>
      <c r="Q764" s="312"/>
      <c r="R764" s="314"/>
      <c r="S764" s="311"/>
      <c r="T764" s="311"/>
      <c r="U764" s="311"/>
      <c r="V764" s="311"/>
      <c r="W764" s="311"/>
      <c r="X764" s="311"/>
      <c r="Y764" s="1356">
        <f t="shared" si="77"/>
        <v>0</v>
      </c>
      <c r="Z764" s="1357">
        <f t="shared" si="78"/>
        <v>0</v>
      </c>
      <c r="AA764" s="311">
        <f t="shared" si="79"/>
        <v>0</v>
      </c>
      <c r="AB764" s="311">
        <f t="shared" si="80"/>
        <v>0</v>
      </c>
      <c r="AC764" s="311">
        <f t="shared" si="81"/>
        <v>0</v>
      </c>
      <c r="AD764" s="311">
        <f t="shared" si="82"/>
        <v>0</v>
      </c>
      <c r="AE764" s="311">
        <f t="shared" si="83"/>
        <v>0</v>
      </c>
      <c r="AF764" s="355"/>
      <c r="AG764" s="838"/>
      <c r="AH764" s="744"/>
      <c r="AI764" s="292"/>
      <c r="AK764" s="300"/>
      <c r="AS764" s="452"/>
    </row>
    <row r="765" spans="1:45" s="299" customFormat="1">
      <c r="A765" s="353">
        <v>355</v>
      </c>
      <c r="B765" s="352">
        <v>200</v>
      </c>
      <c r="C765" s="357">
        <v>403</v>
      </c>
      <c r="D765" s="357"/>
      <c r="E765" s="357"/>
      <c r="F765" s="357"/>
      <c r="G765" s="409" t="s">
        <v>1310</v>
      </c>
      <c r="H765" s="314"/>
      <c r="I765" s="311"/>
      <c r="J765" s="319"/>
      <c r="K765" s="319"/>
      <c r="L765" s="319"/>
      <c r="M765" s="319"/>
      <c r="N765" s="312"/>
      <c r="O765" s="313"/>
      <c r="P765" s="311">
        <v>0</v>
      </c>
      <c r="Q765" s="312"/>
      <c r="R765" s="314"/>
      <c r="S765" s="311"/>
      <c r="T765" s="311"/>
      <c r="U765" s="311"/>
      <c r="V765" s="311"/>
      <c r="W765" s="311"/>
      <c r="X765" s="311"/>
      <c r="Y765" s="1356">
        <f t="shared" si="77"/>
        <v>0</v>
      </c>
      <c r="Z765" s="1357">
        <f t="shared" si="78"/>
        <v>0</v>
      </c>
      <c r="AA765" s="311">
        <f t="shared" si="79"/>
        <v>0</v>
      </c>
      <c r="AB765" s="311">
        <f t="shared" si="80"/>
        <v>0</v>
      </c>
      <c r="AC765" s="311">
        <f t="shared" si="81"/>
        <v>0</v>
      </c>
      <c r="AD765" s="311">
        <f t="shared" si="82"/>
        <v>0</v>
      </c>
      <c r="AE765" s="311">
        <f t="shared" si="83"/>
        <v>0</v>
      </c>
      <c r="AF765" s="355"/>
      <c r="AG765" s="838"/>
      <c r="AH765" s="744"/>
      <c r="AI765" s="292"/>
      <c r="AK765" s="300"/>
      <c r="AS765" s="452"/>
    </row>
    <row r="766" spans="1:45" s="299" customFormat="1">
      <c r="A766" s="353">
        <v>355</v>
      </c>
      <c r="B766" s="352">
        <v>200</v>
      </c>
      <c r="C766" s="357">
        <v>404</v>
      </c>
      <c r="D766" s="357"/>
      <c r="E766" s="357"/>
      <c r="F766" s="357"/>
      <c r="G766" s="409" t="s">
        <v>1311</v>
      </c>
      <c r="H766" s="314"/>
      <c r="I766" s="311"/>
      <c r="J766" s="319"/>
      <c r="K766" s="319"/>
      <c r="L766" s="319"/>
      <c r="M766" s="319"/>
      <c r="N766" s="312"/>
      <c r="O766" s="313"/>
      <c r="P766" s="311">
        <v>0</v>
      </c>
      <c r="Q766" s="312"/>
      <c r="R766" s="314"/>
      <c r="S766" s="311"/>
      <c r="T766" s="311"/>
      <c r="U766" s="311"/>
      <c r="V766" s="311"/>
      <c r="W766" s="311"/>
      <c r="X766" s="311"/>
      <c r="Y766" s="1356">
        <f t="shared" si="77"/>
        <v>0</v>
      </c>
      <c r="Z766" s="1357">
        <f t="shared" si="78"/>
        <v>0</v>
      </c>
      <c r="AA766" s="311">
        <f t="shared" si="79"/>
        <v>0</v>
      </c>
      <c r="AB766" s="311">
        <f t="shared" si="80"/>
        <v>0</v>
      </c>
      <c r="AC766" s="311">
        <f t="shared" si="81"/>
        <v>0</v>
      </c>
      <c r="AD766" s="311">
        <f t="shared" si="82"/>
        <v>0</v>
      </c>
      <c r="AE766" s="311">
        <f t="shared" si="83"/>
        <v>0</v>
      </c>
      <c r="AF766" s="355"/>
      <c r="AG766" s="838"/>
      <c r="AH766" s="744"/>
      <c r="AI766" s="292"/>
      <c r="AK766" s="300"/>
      <c r="AS766" s="452"/>
    </row>
    <row r="767" spans="1:45" s="299" customFormat="1">
      <c r="A767" s="353">
        <v>355</v>
      </c>
      <c r="B767" s="352">
        <v>200</v>
      </c>
      <c r="C767" s="357">
        <v>405</v>
      </c>
      <c r="D767" s="357"/>
      <c r="E767" s="357"/>
      <c r="F767" s="357"/>
      <c r="G767" s="409" t="s">
        <v>1312</v>
      </c>
      <c r="H767" s="314"/>
      <c r="I767" s="311"/>
      <c r="J767" s="319"/>
      <c r="K767" s="319">
        <f t="shared" ref="K767:K821" si="84">+I767+J767</f>
        <v>0</v>
      </c>
      <c r="L767" s="319"/>
      <c r="M767" s="319"/>
      <c r="N767" s="312"/>
      <c r="O767" s="313"/>
      <c r="P767" s="311">
        <v>0</v>
      </c>
      <c r="Q767" s="312"/>
      <c r="R767" s="314"/>
      <c r="S767" s="311"/>
      <c r="T767" s="311"/>
      <c r="U767" s="311"/>
      <c r="V767" s="311"/>
      <c r="W767" s="311"/>
      <c r="X767" s="311"/>
      <c r="Y767" s="1356">
        <f t="shared" si="77"/>
        <v>0</v>
      </c>
      <c r="Z767" s="1357">
        <f t="shared" si="78"/>
        <v>0</v>
      </c>
      <c r="AA767" s="311">
        <f t="shared" si="79"/>
        <v>0</v>
      </c>
      <c r="AB767" s="311">
        <f t="shared" si="80"/>
        <v>0</v>
      </c>
      <c r="AC767" s="311">
        <f t="shared" si="81"/>
        <v>0</v>
      </c>
      <c r="AD767" s="311">
        <f t="shared" si="82"/>
        <v>0</v>
      </c>
      <c r="AE767" s="311">
        <f t="shared" si="83"/>
        <v>0</v>
      </c>
      <c r="AF767" s="355"/>
      <c r="AG767" s="838"/>
      <c r="AH767" s="744"/>
      <c r="AI767" s="292"/>
      <c r="AK767" s="300"/>
      <c r="AS767" s="452"/>
    </row>
    <row r="768" spans="1:45" s="299" customFormat="1">
      <c r="A768" s="353">
        <v>355</v>
      </c>
      <c r="B768" s="352">
        <v>200</v>
      </c>
      <c r="C768" s="357">
        <v>406</v>
      </c>
      <c r="D768" s="357"/>
      <c r="E768" s="357"/>
      <c r="F768" s="357"/>
      <c r="G768" s="409" t="s">
        <v>1313</v>
      </c>
      <c r="H768" s="314"/>
      <c r="I768" s="311"/>
      <c r="J768" s="319"/>
      <c r="K768" s="319">
        <f t="shared" si="84"/>
        <v>0</v>
      </c>
      <c r="L768" s="319"/>
      <c r="M768" s="319"/>
      <c r="N768" s="312"/>
      <c r="O768" s="313"/>
      <c r="P768" s="311">
        <v>0</v>
      </c>
      <c r="Q768" s="312"/>
      <c r="R768" s="314"/>
      <c r="S768" s="311"/>
      <c r="T768" s="311"/>
      <c r="U768" s="311"/>
      <c r="V768" s="311"/>
      <c r="W768" s="311"/>
      <c r="X768" s="311"/>
      <c r="Y768" s="1356">
        <f t="shared" si="77"/>
        <v>0</v>
      </c>
      <c r="Z768" s="1357">
        <f t="shared" si="78"/>
        <v>0</v>
      </c>
      <c r="AA768" s="311">
        <f t="shared" si="79"/>
        <v>0</v>
      </c>
      <c r="AB768" s="311">
        <f t="shared" si="80"/>
        <v>0</v>
      </c>
      <c r="AC768" s="311">
        <f t="shared" si="81"/>
        <v>0</v>
      </c>
      <c r="AD768" s="311">
        <f t="shared" si="82"/>
        <v>0</v>
      </c>
      <c r="AE768" s="311">
        <f t="shared" si="83"/>
        <v>0</v>
      </c>
      <c r="AF768" s="355"/>
      <c r="AG768" s="838"/>
      <c r="AH768" s="744"/>
      <c r="AI768" s="292"/>
      <c r="AK768" s="300"/>
      <c r="AS768" s="452"/>
    </row>
    <row r="769" spans="1:45" s="299" customFormat="1">
      <c r="A769" s="353">
        <v>355</v>
      </c>
      <c r="B769" s="352">
        <v>200</v>
      </c>
      <c r="C769" s="357">
        <v>407</v>
      </c>
      <c r="D769" s="357"/>
      <c r="E769" s="357"/>
      <c r="F769" s="357"/>
      <c r="G769" s="409" t="s">
        <v>1314</v>
      </c>
      <c r="H769" s="314"/>
      <c r="I769" s="311"/>
      <c r="J769" s="319"/>
      <c r="K769" s="319">
        <f t="shared" si="84"/>
        <v>0</v>
      </c>
      <c r="L769" s="319"/>
      <c r="M769" s="319"/>
      <c r="N769" s="312"/>
      <c r="O769" s="313"/>
      <c r="P769" s="311">
        <v>0</v>
      </c>
      <c r="Q769" s="312"/>
      <c r="R769" s="314"/>
      <c r="S769" s="311"/>
      <c r="T769" s="311"/>
      <c r="U769" s="311"/>
      <c r="V769" s="311"/>
      <c r="W769" s="311"/>
      <c r="X769" s="311"/>
      <c r="Y769" s="1356">
        <f t="shared" si="77"/>
        <v>0</v>
      </c>
      <c r="Z769" s="1357">
        <f t="shared" si="78"/>
        <v>0</v>
      </c>
      <c r="AA769" s="311">
        <f t="shared" si="79"/>
        <v>0</v>
      </c>
      <c r="AB769" s="311">
        <f t="shared" si="80"/>
        <v>0</v>
      </c>
      <c r="AC769" s="311">
        <f t="shared" si="81"/>
        <v>0</v>
      </c>
      <c r="AD769" s="311">
        <f t="shared" si="82"/>
        <v>0</v>
      </c>
      <c r="AE769" s="311">
        <f t="shared" si="83"/>
        <v>0</v>
      </c>
      <c r="AF769" s="355"/>
      <c r="AG769" s="838"/>
      <c r="AH769" s="744"/>
      <c r="AI769" s="292"/>
      <c r="AK769" s="300"/>
      <c r="AS769" s="452"/>
    </row>
    <row r="770" spans="1:45" s="299" customFormat="1">
      <c r="A770" s="353">
        <v>355</v>
      </c>
      <c r="B770" s="352">
        <v>200</v>
      </c>
      <c r="C770" s="357">
        <v>408</v>
      </c>
      <c r="D770" s="357"/>
      <c r="E770" s="357"/>
      <c r="F770" s="357"/>
      <c r="G770" s="409" t="s">
        <v>1315</v>
      </c>
      <c r="H770" s="314"/>
      <c r="I770" s="311"/>
      <c r="J770" s="319"/>
      <c r="K770" s="319">
        <f t="shared" si="84"/>
        <v>0</v>
      </c>
      <c r="L770" s="319"/>
      <c r="M770" s="319"/>
      <c r="N770" s="312"/>
      <c r="O770" s="313"/>
      <c r="P770" s="311">
        <v>0</v>
      </c>
      <c r="Q770" s="312"/>
      <c r="R770" s="314">
        <v>54782.96</v>
      </c>
      <c r="S770" s="311"/>
      <c r="T770" s="311"/>
      <c r="U770" s="311"/>
      <c r="V770" s="311"/>
      <c r="W770" s="311"/>
      <c r="X770" s="311"/>
      <c r="Y770" s="1356">
        <f t="shared" si="77"/>
        <v>54782.96</v>
      </c>
      <c r="Z770" s="1357">
        <f t="shared" si="78"/>
        <v>0</v>
      </c>
      <c r="AA770" s="311">
        <f t="shared" si="79"/>
        <v>0</v>
      </c>
      <c r="AB770" s="311">
        <f t="shared" si="80"/>
        <v>0</v>
      </c>
      <c r="AC770" s="311">
        <f t="shared" si="81"/>
        <v>0</v>
      </c>
      <c r="AD770" s="311">
        <f t="shared" si="82"/>
        <v>0</v>
      </c>
      <c r="AE770" s="311">
        <f t="shared" si="83"/>
        <v>0</v>
      </c>
      <c r="AF770" s="355"/>
      <c r="AG770" s="838"/>
      <c r="AH770" s="744"/>
      <c r="AI770" s="292"/>
      <c r="AK770" s="300"/>
      <c r="AS770" s="452"/>
    </row>
    <row r="771" spans="1:45" s="299" customFormat="1">
      <c r="A771" s="353">
        <v>355</v>
      </c>
      <c r="B771" s="352">
        <v>200</v>
      </c>
      <c r="C771" s="357">
        <v>409</v>
      </c>
      <c r="D771" s="357"/>
      <c r="E771" s="357"/>
      <c r="F771" s="357"/>
      <c r="G771" s="409" t="s">
        <v>1316</v>
      </c>
      <c r="H771" s="314"/>
      <c r="I771" s="311"/>
      <c r="J771" s="319"/>
      <c r="K771" s="319">
        <f t="shared" si="84"/>
        <v>0</v>
      </c>
      <c r="L771" s="319"/>
      <c r="M771" s="319"/>
      <c r="N771" s="312"/>
      <c r="O771" s="313"/>
      <c r="P771" s="311">
        <v>0</v>
      </c>
      <c r="Q771" s="312"/>
      <c r="R771" s="314"/>
      <c r="S771" s="311"/>
      <c r="T771" s="311"/>
      <c r="U771" s="311"/>
      <c r="V771" s="311"/>
      <c r="W771" s="311"/>
      <c r="X771" s="311"/>
      <c r="Y771" s="1356">
        <f t="shared" si="77"/>
        <v>0</v>
      </c>
      <c r="Z771" s="1357">
        <f t="shared" si="78"/>
        <v>0</v>
      </c>
      <c r="AA771" s="311">
        <f t="shared" si="79"/>
        <v>0</v>
      </c>
      <c r="AB771" s="311">
        <f t="shared" si="80"/>
        <v>0</v>
      </c>
      <c r="AC771" s="311">
        <f t="shared" si="81"/>
        <v>0</v>
      </c>
      <c r="AD771" s="311">
        <f t="shared" si="82"/>
        <v>0</v>
      </c>
      <c r="AE771" s="311">
        <f t="shared" si="83"/>
        <v>0</v>
      </c>
      <c r="AF771" s="355"/>
      <c r="AG771" s="838"/>
      <c r="AH771" s="744"/>
      <c r="AI771" s="292"/>
      <c r="AK771" s="300"/>
      <c r="AS771" s="452"/>
    </row>
    <row r="772" spans="1:45" s="299" customFormat="1">
      <c r="A772" s="353">
        <v>355</v>
      </c>
      <c r="B772" s="352">
        <v>200</v>
      </c>
      <c r="C772" s="357">
        <v>410</v>
      </c>
      <c r="D772" s="357"/>
      <c r="E772" s="357"/>
      <c r="F772" s="357"/>
      <c r="G772" s="409" t="s">
        <v>1317</v>
      </c>
      <c r="H772" s="314"/>
      <c r="I772" s="311"/>
      <c r="J772" s="319"/>
      <c r="K772" s="319">
        <f t="shared" si="84"/>
        <v>0</v>
      </c>
      <c r="L772" s="319"/>
      <c r="M772" s="319"/>
      <c r="N772" s="312"/>
      <c r="O772" s="313"/>
      <c r="P772" s="311">
        <v>0</v>
      </c>
      <c r="Q772" s="312"/>
      <c r="R772" s="314"/>
      <c r="S772" s="311"/>
      <c r="T772" s="311"/>
      <c r="U772" s="311"/>
      <c r="V772" s="311"/>
      <c r="W772" s="311"/>
      <c r="X772" s="311"/>
      <c r="Y772" s="1356">
        <f t="shared" si="77"/>
        <v>0</v>
      </c>
      <c r="Z772" s="1357">
        <f t="shared" si="78"/>
        <v>0</v>
      </c>
      <c r="AA772" s="311">
        <f t="shared" si="79"/>
        <v>0</v>
      </c>
      <c r="AB772" s="311">
        <f t="shared" si="80"/>
        <v>0</v>
      </c>
      <c r="AC772" s="311">
        <f t="shared" si="81"/>
        <v>0</v>
      </c>
      <c r="AD772" s="311">
        <f t="shared" si="82"/>
        <v>0</v>
      </c>
      <c r="AE772" s="311">
        <f t="shared" si="83"/>
        <v>0</v>
      </c>
      <c r="AF772" s="355"/>
      <c r="AG772" s="838"/>
      <c r="AH772" s="744"/>
      <c r="AI772" s="292"/>
      <c r="AK772" s="300"/>
      <c r="AS772" s="452"/>
    </row>
    <row r="773" spans="1:45" s="299" customFormat="1">
      <c r="A773" s="353">
        <v>355</v>
      </c>
      <c r="B773" s="352">
        <v>200</v>
      </c>
      <c r="C773" s="357">
        <v>411</v>
      </c>
      <c r="D773" s="357"/>
      <c r="E773" s="357"/>
      <c r="F773" s="357"/>
      <c r="G773" s="409" t="s">
        <v>1318</v>
      </c>
      <c r="H773" s="314"/>
      <c r="I773" s="311"/>
      <c r="J773" s="319"/>
      <c r="K773" s="319">
        <f t="shared" si="84"/>
        <v>0</v>
      </c>
      <c r="L773" s="319"/>
      <c r="M773" s="319"/>
      <c r="N773" s="312"/>
      <c r="O773" s="313"/>
      <c r="P773" s="311">
        <v>0</v>
      </c>
      <c r="Q773" s="312"/>
      <c r="R773" s="314"/>
      <c r="S773" s="311"/>
      <c r="T773" s="311"/>
      <c r="U773" s="311"/>
      <c r="V773" s="311"/>
      <c r="W773" s="311"/>
      <c r="X773" s="311"/>
      <c r="Y773" s="1356">
        <f t="shared" si="77"/>
        <v>0</v>
      </c>
      <c r="Z773" s="1357">
        <f t="shared" si="78"/>
        <v>0</v>
      </c>
      <c r="AA773" s="311">
        <f t="shared" si="79"/>
        <v>0</v>
      </c>
      <c r="AB773" s="311">
        <f t="shared" si="80"/>
        <v>0</v>
      </c>
      <c r="AC773" s="311">
        <f t="shared" si="81"/>
        <v>0</v>
      </c>
      <c r="AD773" s="311">
        <f t="shared" si="82"/>
        <v>0</v>
      </c>
      <c r="AE773" s="311">
        <f t="shared" si="83"/>
        <v>0</v>
      </c>
      <c r="AF773" s="355"/>
      <c r="AG773" s="838"/>
      <c r="AH773" s="744"/>
      <c r="AI773" s="292"/>
      <c r="AK773" s="300"/>
      <c r="AS773" s="452"/>
    </row>
    <row r="774" spans="1:45" s="299" customFormat="1">
      <c r="A774" s="353">
        <v>355</v>
      </c>
      <c r="B774" s="352">
        <v>200</v>
      </c>
      <c r="C774" s="357">
        <v>412</v>
      </c>
      <c r="D774" s="357"/>
      <c r="E774" s="357"/>
      <c r="F774" s="357"/>
      <c r="G774" s="409" t="s">
        <v>1319</v>
      </c>
      <c r="H774" s="314"/>
      <c r="I774" s="311"/>
      <c r="J774" s="319"/>
      <c r="K774" s="319">
        <f t="shared" si="84"/>
        <v>0</v>
      </c>
      <c r="L774" s="319"/>
      <c r="M774" s="319"/>
      <c r="N774" s="312"/>
      <c r="O774" s="313"/>
      <c r="P774" s="311">
        <v>0</v>
      </c>
      <c r="Q774" s="312"/>
      <c r="R774" s="314"/>
      <c r="S774" s="311"/>
      <c r="T774" s="311"/>
      <c r="U774" s="311"/>
      <c r="V774" s="311"/>
      <c r="W774" s="311"/>
      <c r="X774" s="311"/>
      <c r="Y774" s="1356">
        <f t="shared" si="77"/>
        <v>0</v>
      </c>
      <c r="Z774" s="1357">
        <f t="shared" si="78"/>
        <v>0</v>
      </c>
      <c r="AA774" s="311">
        <f t="shared" si="79"/>
        <v>0</v>
      </c>
      <c r="AB774" s="311">
        <f t="shared" si="80"/>
        <v>0</v>
      </c>
      <c r="AC774" s="311">
        <f t="shared" si="81"/>
        <v>0</v>
      </c>
      <c r="AD774" s="311">
        <f t="shared" si="82"/>
        <v>0</v>
      </c>
      <c r="AE774" s="311">
        <f t="shared" si="83"/>
        <v>0</v>
      </c>
      <c r="AF774" s="355"/>
      <c r="AG774" s="838"/>
      <c r="AH774" s="744"/>
      <c r="AI774" s="292"/>
      <c r="AK774" s="300"/>
      <c r="AS774" s="452"/>
    </row>
    <row r="775" spans="1:45" s="299" customFormat="1">
      <c r="A775" s="353">
        <v>355</v>
      </c>
      <c r="B775" s="352">
        <v>200</v>
      </c>
      <c r="C775" s="357">
        <v>413</v>
      </c>
      <c r="D775" s="357"/>
      <c r="E775" s="357"/>
      <c r="F775" s="357"/>
      <c r="G775" s="409" t="s">
        <v>1320</v>
      </c>
      <c r="H775" s="314"/>
      <c r="I775" s="311"/>
      <c r="J775" s="319"/>
      <c r="K775" s="319">
        <f t="shared" si="84"/>
        <v>0</v>
      </c>
      <c r="L775" s="319"/>
      <c r="M775" s="319"/>
      <c r="N775" s="312"/>
      <c r="O775" s="313"/>
      <c r="P775" s="311">
        <v>0</v>
      </c>
      <c r="Q775" s="312"/>
      <c r="R775" s="314"/>
      <c r="S775" s="311"/>
      <c r="T775" s="311"/>
      <c r="U775" s="311"/>
      <c r="V775" s="311"/>
      <c r="W775" s="311"/>
      <c r="X775" s="311"/>
      <c r="Y775" s="1356">
        <f t="shared" ref="Y775:Y838" si="85">+H775+O775+R775</f>
        <v>0</v>
      </c>
      <c r="Z775" s="1357">
        <f t="shared" ref="Z775:Z838" si="86">+I775+S775</f>
        <v>0</v>
      </c>
      <c r="AA775" s="311">
        <f t="shared" ref="AA775:AA838" si="87">+J775+T775</f>
        <v>0</v>
      </c>
      <c r="AB775" s="311">
        <f t="shared" ref="AB775:AB838" si="88">+K775+P775+U775</f>
        <v>0</v>
      </c>
      <c r="AC775" s="311">
        <f t="shared" ref="AC775:AC838" si="89">+L775+V775</f>
        <v>0</v>
      </c>
      <c r="AD775" s="311">
        <f t="shared" ref="AD775:AD838" si="90">+M775+W775</f>
        <v>0</v>
      </c>
      <c r="AE775" s="311">
        <f t="shared" ref="AE775:AE838" si="91">+N775+X775+Q775</f>
        <v>0</v>
      </c>
      <c r="AF775" s="355"/>
      <c r="AG775" s="838"/>
      <c r="AH775" s="744"/>
      <c r="AI775" s="292"/>
      <c r="AK775" s="300"/>
      <c r="AS775" s="452"/>
    </row>
    <row r="776" spans="1:45" s="299" customFormat="1">
      <c r="A776" s="353">
        <v>355</v>
      </c>
      <c r="B776" s="352">
        <v>200</v>
      </c>
      <c r="C776" s="357">
        <v>414</v>
      </c>
      <c r="D776" s="357"/>
      <c r="E776" s="357"/>
      <c r="F776" s="357"/>
      <c r="G776" s="409" t="s">
        <v>1321</v>
      </c>
      <c r="H776" s="314"/>
      <c r="I776" s="311"/>
      <c r="J776" s="319"/>
      <c r="K776" s="319">
        <f t="shared" si="84"/>
        <v>0</v>
      </c>
      <c r="L776" s="319"/>
      <c r="M776" s="319"/>
      <c r="N776" s="312"/>
      <c r="O776" s="313"/>
      <c r="P776" s="311">
        <v>0</v>
      </c>
      <c r="Q776" s="312"/>
      <c r="R776" s="314"/>
      <c r="S776" s="311"/>
      <c r="T776" s="311"/>
      <c r="U776" s="311"/>
      <c r="V776" s="311"/>
      <c r="W776" s="311"/>
      <c r="X776" s="311"/>
      <c r="Y776" s="1356">
        <f t="shared" si="85"/>
        <v>0</v>
      </c>
      <c r="Z776" s="1357">
        <f t="shared" si="86"/>
        <v>0</v>
      </c>
      <c r="AA776" s="311">
        <f t="shared" si="87"/>
        <v>0</v>
      </c>
      <c r="AB776" s="311">
        <f t="shared" si="88"/>
        <v>0</v>
      </c>
      <c r="AC776" s="311">
        <f t="shared" si="89"/>
        <v>0</v>
      </c>
      <c r="AD776" s="311">
        <f t="shared" si="90"/>
        <v>0</v>
      </c>
      <c r="AE776" s="311">
        <f t="shared" si="91"/>
        <v>0</v>
      </c>
      <c r="AF776" s="355"/>
      <c r="AG776" s="838"/>
      <c r="AH776" s="744"/>
      <c r="AI776" s="292"/>
      <c r="AK776" s="300"/>
      <c r="AS776" s="452"/>
    </row>
    <row r="777" spans="1:45" s="299" customFormat="1">
      <c r="A777" s="353">
        <v>355</v>
      </c>
      <c r="B777" s="352">
        <v>200</v>
      </c>
      <c r="C777" s="357">
        <v>415</v>
      </c>
      <c r="D777" s="357"/>
      <c r="E777" s="357"/>
      <c r="F777" s="357"/>
      <c r="G777" s="409" t="s">
        <v>1322</v>
      </c>
      <c r="H777" s="314"/>
      <c r="I777" s="311"/>
      <c r="J777" s="319"/>
      <c r="K777" s="319">
        <f t="shared" si="84"/>
        <v>0</v>
      </c>
      <c r="L777" s="319"/>
      <c r="M777" s="319"/>
      <c r="N777" s="312"/>
      <c r="O777" s="313"/>
      <c r="P777" s="311">
        <v>0</v>
      </c>
      <c r="Q777" s="312"/>
      <c r="R777" s="314"/>
      <c r="S777" s="311"/>
      <c r="T777" s="311"/>
      <c r="U777" s="311"/>
      <c r="V777" s="311"/>
      <c r="W777" s="311"/>
      <c r="X777" s="311"/>
      <c r="Y777" s="1356">
        <f t="shared" si="85"/>
        <v>0</v>
      </c>
      <c r="Z777" s="1357">
        <f t="shared" si="86"/>
        <v>0</v>
      </c>
      <c r="AA777" s="311">
        <f t="shared" si="87"/>
        <v>0</v>
      </c>
      <c r="AB777" s="311">
        <f t="shared" si="88"/>
        <v>0</v>
      </c>
      <c r="AC777" s="311">
        <f t="shared" si="89"/>
        <v>0</v>
      </c>
      <c r="AD777" s="311">
        <f t="shared" si="90"/>
        <v>0</v>
      </c>
      <c r="AE777" s="311">
        <f t="shared" si="91"/>
        <v>0</v>
      </c>
      <c r="AF777" s="355"/>
      <c r="AG777" s="838"/>
      <c r="AH777" s="744"/>
      <c r="AI777" s="292"/>
      <c r="AK777" s="300"/>
      <c r="AS777" s="452"/>
    </row>
    <row r="778" spans="1:45" s="299" customFormat="1">
      <c r="A778" s="353">
        <v>355</v>
      </c>
      <c r="B778" s="352">
        <v>200</v>
      </c>
      <c r="C778" s="357">
        <v>416</v>
      </c>
      <c r="D778" s="357"/>
      <c r="E778" s="357"/>
      <c r="F778" s="357"/>
      <c r="G778" s="409" t="s">
        <v>1323</v>
      </c>
      <c r="H778" s="314"/>
      <c r="I778" s="311"/>
      <c r="J778" s="319"/>
      <c r="K778" s="319">
        <f t="shared" si="84"/>
        <v>0</v>
      </c>
      <c r="L778" s="319"/>
      <c r="M778" s="319"/>
      <c r="N778" s="312"/>
      <c r="O778" s="313"/>
      <c r="P778" s="311">
        <v>0</v>
      </c>
      <c r="Q778" s="312"/>
      <c r="R778" s="314"/>
      <c r="S778" s="311"/>
      <c r="T778" s="311"/>
      <c r="U778" s="311"/>
      <c r="V778" s="311"/>
      <c r="W778" s="311"/>
      <c r="X778" s="311"/>
      <c r="Y778" s="1356">
        <f t="shared" si="85"/>
        <v>0</v>
      </c>
      <c r="Z778" s="1357">
        <f t="shared" si="86"/>
        <v>0</v>
      </c>
      <c r="AA778" s="311">
        <f t="shared" si="87"/>
        <v>0</v>
      </c>
      <c r="AB778" s="311">
        <f t="shared" si="88"/>
        <v>0</v>
      </c>
      <c r="AC778" s="311">
        <f t="shared" si="89"/>
        <v>0</v>
      </c>
      <c r="AD778" s="311">
        <f t="shared" si="90"/>
        <v>0</v>
      </c>
      <c r="AE778" s="311">
        <f t="shared" si="91"/>
        <v>0</v>
      </c>
      <c r="AF778" s="355"/>
      <c r="AG778" s="838"/>
      <c r="AH778" s="744"/>
      <c r="AI778" s="292"/>
      <c r="AK778" s="300"/>
      <c r="AS778" s="452"/>
    </row>
    <row r="779" spans="1:45" s="299" customFormat="1">
      <c r="A779" s="353">
        <v>355</v>
      </c>
      <c r="B779" s="352">
        <v>200</v>
      </c>
      <c r="C779" s="357">
        <v>500</v>
      </c>
      <c r="D779" s="357"/>
      <c r="E779" s="357"/>
      <c r="F779" s="357"/>
      <c r="G779" s="409" t="s">
        <v>1324</v>
      </c>
      <c r="H779" s="314"/>
      <c r="I779" s="311"/>
      <c r="J779" s="319"/>
      <c r="K779" s="319">
        <f t="shared" si="84"/>
        <v>0</v>
      </c>
      <c r="L779" s="319"/>
      <c r="M779" s="319"/>
      <c r="N779" s="312"/>
      <c r="O779" s="313"/>
      <c r="P779" s="311">
        <v>0</v>
      </c>
      <c r="Q779" s="312"/>
      <c r="R779" s="314"/>
      <c r="S779" s="311"/>
      <c r="T779" s="311"/>
      <c r="U779" s="311"/>
      <c r="V779" s="311"/>
      <c r="W779" s="311"/>
      <c r="X779" s="311"/>
      <c r="Y779" s="1356">
        <f t="shared" si="85"/>
        <v>0</v>
      </c>
      <c r="Z779" s="1357">
        <f t="shared" si="86"/>
        <v>0</v>
      </c>
      <c r="AA779" s="311">
        <f t="shared" si="87"/>
        <v>0</v>
      </c>
      <c r="AB779" s="311">
        <f t="shared" si="88"/>
        <v>0</v>
      </c>
      <c r="AC779" s="311">
        <f t="shared" si="89"/>
        <v>0</v>
      </c>
      <c r="AD779" s="311">
        <f t="shared" si="90"/>
        <v>0</v>
      </c>
      <c r="AE779" s="311">
        <f t="shared" si="91"/>
        <v>0</v>
      </c>
      <c r="AF779" s="355"/>
      <c r="AG779" s="838"/>
      <c r="AH779" s="744"/>
      <c r="AI779" s="292"/>
      <c r="AK779" s="300"/>
      <c r="AS779" s="452"/>
    </row>
    <row r="780" spans="1:45" s="299" customFormat="1">
      <c r="A780" s="353">
        <v>355</v>
      </c>
      <c r="B780" s="352">
        <v>200</v>
      </c>
      <c r="C780" s="357">
        <v>600</v>
      </c>
      <c r="D780" s="357"/>
      <c r="E780" s="357"/>
      <c r="F780" s="357"/>
      <c r="G780" s="409" t="s">
        <v>1325</v>
      </c>
      <c r="H780" s="314"/>
      <c r="I780" s="311"/>
      <c r="J780" s="319"/>
      <c r="K780" s="319">
        <f t="shared" si="84"/>
        <v>0</v>
      </c>
      <c r="L780" s="319"/>
      <c r="M780" s="319"/>
      <c r="N780" s="312"/>
      <c r="O780" s="313"/>
      <c r="P780" s="311">
        <v>0</v>
      </c>
      <c r="Q780" s="312"/>
      <c r="R780" s="314"/>
      <c r="S780" s="311"/>
      <c r="T780" s="311"/>
      <c r="U780" s="311"/>
      <c r="V780" s="311"/>
      <c r="W780" s="311"/>
      <c r="X780" s="311"/>
      <c r="Y780" s="1356">
        <f t="shared" si="85"/>
        <v>0</v>
      </c>
      <c r="Z780" s="1357">
        <f t="shared" si="86"/>
        <v>0</v>
      </c>
      <c r="AA780" s="311">
        <f t="shared" si="87"/>
        <v>0</v>
      </c>
      <c r="AB780" s="311">
        <f t="shared" si="88"/>
        <v>0</v>
      </c>
      <c r="AC780" s="311">
        <f t="shared" si="89"/>
        <v>0</v>
      </c>
      <c r="AD780" s="311">
        <f t="shared" si="90"/>
        <v>0</v>
      </c>
      <c r="AE780" s="311">
        <f t="shared" si="91"/>
        <v>0</v>
      </c>
      <c r="AF780" s="355"/>
      <c r="AG780" s="838"/>
      <c r="AH780" s="744"/>
      <c r="AI780" s="292"/>
      <c r="AK780" s="300"/>
      <c r="AS780" s="452"/>
    </row>
    <row r="781" spans="1:45" s="299" customFormat="1">
      <c r="A781" s="353">
        <v>355</v>
      </c>
      <c r="B781" s="352">
        <v>200</v>
      </c>
      <c r="C781" s="357">
        <v>601</v>
      </c>
      <c r="D781" s="357"/>
      <c r="E781" s="357"/>
      <c r="F781" s="357"/>
      <c r="G781" s="410" t="s">
        <v>1326</v>
      </c>
      <c r="H781" s="314"/>
      <c r="I781" s="311"/>
      <c r="J781" s="319"/>
      <c r="K781" s="319">
        <f t="shared" si="84"/>
        <v>0</v>
      </c>
      <c r="L781" s="319"/>
      <c r="M781" s="319"/>
      <c r="N781" s="312"/>
      <c r="O781" s="313"/>
      <c r="P781" s="311">
        <v>0</v>
      </c>
      <c r="Q781" s="312"/>
      <c r="R781" s="314"/>
      <c r="S781" s="311"/>
      <c r="T781" s="311"/>
      <c r="U781" s="311"/>
      <c r="V781" s="311"/>
      <c r="W781" s="311"/>
      <c r="X781" s="311"/>
      <c r="Y781" s="1356">
        <f t="shared" si="85"/>
        <v>0</v>
      </c>
      <c r="Z781" s="1357">
        <f t="shared" si="86"/>
        <v>0</v>
      </c>
      <c r="AA781" s="311">
        <f t="shared" si="87"/>
        <v>0</v>
      </c>
      <c r="AB781" s="311">
        <f t="shared" si="88"/>
        <v>0</v>
      </c>
      <c r="AC781" s="311">
        <f t="shared" si="89"/>
        <v>0</v>
      </c>
      <c r="AD781" s="311">
        <f t="shared" si="90"/>
        <v>0</v>
      </c>
      <c r="AE781" s="311">
        <f t="shared" si="91"/>
        <v>0</v>
      </c>
      <c r="AF781" s="355"/>
      <c r="AG781" s="838"/>
      <c r="AH781" s="744"/>
      <c r="AI781" s="292"/>
      <c r="AK781" s="300"/>
      <c r="AS781" s="452"/>
    </row>
    <row r="782" spans="1:45" s="299" customFormat="1">
      <c r="A782" s="353">
        <v>355</v>
      </c>
      <c r="B782" s="352">
        <v>200</v>
      </c>
      <c r="C782" s="357">
        <v>602</v>
      </c>
      <c r="D782" s="357"/>
      <c r="E782" s="357"/>
      <c r="F782" s="357"/>
      <c r="G782" s="409" t="s">
        <v>1327</v>
      </c>
      <c r="H782" s="314"/>
      <c r="I782" s="311"/>
      <c r="J782" s="319"/>
      <c r="K782" s="319">
        <f t="shared" si="84"/>
        <v>0</v>
      </c>
      <c r="L782" s="319"/>
      <c r="M782" s="319"/>
      <c r="N782" s="312"/>
      <c r="O782" s="313"/>
      <c r="P782" s="311">
        <v>0</v>
      </c>
      <c r="Q782" s="312"/>
      <c r="R782" s="314"/>
      <c r="S782" s="311"/>
      <c r="T782" s="311"/>
      <c r="U782" s="311"/>
      <c r="V782" s="311"/>
      <c r="W782" s="311"/>
      <c r="X782" s="311"/>
      <c r="Y782" s="1356">
        <f t="shared" si="85"/>
        <v>0</v>
      </c>
      <c r="Z782" s="1357">
        <f t="shared" si="86"/>
        <v>0</v>
      </c>
      <c r="AA782" s="311">
        <f t="shared" si="87"/>
        <v>0</v>
      </c>
      <c r="AB782" s="311">
        <f t="shared" si="88"/>
        <v>0</v>
      </c>
      <c r="AC782" s="311">
        <f t="shared" si="89"/>
        <v>0</v>
      </c>
      <c r="AD782" s="311">
        <f t="shared" si="90"/>
        <v>0</v>
      </c>
      <c r="AE782" s="311">
        <f t="shared" si="91"/>
        <v>0</v>
      </c>
      <c r="AF782" s="355"/>
      <c r="AG782" s="838"/>
      <c r="AH782" s="744"/>
      <c r="AI782" s="292"/>
      <c r="AK782" s="300"/>
      <c r="AS782" s="452"/>
    </row>
    <row r="783" spans="1:45" s="299" customFormat="1">
      <c r="A783" s="353">
        <v>355</v>
      </c>
      <c r="B783" s="352">
        <v>200</v>
      </c>
      <c r="C783" s="357">
        <v>603</v>
      </c>
      <c r="D783" s="357"/>
      <c r="E783" s="357"/>
      <c r="F783" s="357"/>
      <c r="G783" s="409" t="s">
        <v>1328</v>
      </c>
      <c r="H783" s="314"/>
      <c r="I783" s="311"/>
      <c r="J783" s="319"/>
      <c r="K783" s="319">
        <f t="shared" si="84"/>
        <v>0</v>
      </c>
      <c r="L783" s="319"/>
      <c r="M783" s="319"/>
      <c r="N783" s="312"/>
      <c r="O783" s="313"/>
      <c r="P783" s="311">
        <v>0</v>
      </c>
      <c r="Q783" s="312"/>
      <c r="R783" s="314"/>
      <c r="S783" s="311"/>
      <c r="T783" s="311"/>
      <c r="U783" s="311"/>
      <c r="V783" s="311"/>
      <c r="W783" s="311"/>
      <c r="X783" s="311"/>
      <c r="Y783" s="1356">
        <f t="shared" si="85"/>
        <v>0</v>
      </c>
      <c r="Z783" s="1357">
        <f t="shared" si="86"/>
        <v>0</v>
      </c>
      <c r="AA783" s="311">
        <f t="shared" si="87"/>
        <v>0</v>
      </c>
      <c r="AB783" s="311">
        <f t="shared" si="88"/>
        <v>0</v>
      </c>
      <c r="AC783" s="311">
        <f t="shared" si="89"/>
        <v>0</v>
      </c>
      <c r="AD783" s="311">
        <f t="shared" si="90"/>
        <v>0</v>
      </c>
      <c r="AE783" s="311">
        <f t="shared" si="91"/>
        <v>0</v>
      </c>
      <c r="AF783" s="355"/>
      <c r="AG783" s="838"/>
      <c r="AH783" s="744"/>
      <c r="AI783" s="292"/>
      <c r="AK783" s="300"/>
      <c r="AS783" s="452"/>
    </row>
    <row r="784" spans="1:45" s="299" customFormat="1">
      <c r="A784" s="353">
        <v>355</v>
      </c>
      <c r="B784" s="352">
        <v>200</v>
      </c>
      <c r="C784" s="357">
        <v>700</v>
      </c>
      <c r="D784" s="357"/>
      <c r="E784" s="357"/>
      <c r="F784" s="357"/>
      <c r="G784" s="409" t="s">
        <v>1329</v>
      </c>
      <c r="H784" s="314"/>
      <c r="I784" s="311"/>
      <c r="J784" s="319"/>
      <c r="K784" s="319">
        <f t="shared" si="84"/>
        <v>0</v>
      </c>
      <c r="L784" s="319"/>
      <c r="M784" s="319"/>
      <c r="N784" s="312"/>
      <c r="O784" s="313"/>
      <c r="P784" s="311">
        <v>0</v>
      </c>
      <c r="Q784" s="312"/>
      <c r="R784" s="314"/>
      <c r="S784" s="311"/>
      <c r="T784" s="311"/>
      <c r="U784" s="311"/>
      <c r="V784" s="311"/>
      <c r="W784" s="311"/>
      <c r="X784" s="311"/>
      <c r="Y784" s="1356">
        <f t="shared" si="85"/>
        <v>0</v>
      </c>
      <c r="Z784" s="1357">
        <f t="shared" si="86"/>
        <v>0</v>
      </c>
      <c r="AA784" s="311">
        <f t="shared" si="87"/>
        <v>0</v>
      </c>
      <c r="AB784" s="311">
        <f t="shared" si="88"/>
        <v>0</v>
      </c>
      <c r="AC784" s="311">
        <f t="shared" si="89"/>
        <v>0</v>
      </c>
      <c r="AD784" s="311">
        <f t="shared" si="90"/>
        <v>0</v>
      </c>
      <c r="AE784" s="311">
        <f t="shared" si="91"/>
        <v>0</v>
      </c>
      <c r="AF784" s="355"/>
      <c r="AG784" s="838"/>
      <c r="AH784" s="744"/>
      <c r="AI784" s="292"/>
      <c r="AK784" s="300"/>
      <c r="AS784" s="452"/>
    </row>
    <row r="785" spans="1:45" s="299" customFormat="1">
      <c r="A785" s="353">
        <v>355</v>
      </c>
      <c r="B785" s="352">
        <v>200</v>
      </c>
      <c r="C785" s="357">
        <v>701</v>
      </c>
      <c r="D785" s="357"/>
      <c r="E785" s="357"/>
      <c r="F785" s="357"/>
      <c r="G785" s="409" t="s">
        <v>1330</v>
      </c>
      <c r="H785" s="314"/>
      <c r="I785" s="311"/>
      <c r="J785" s="319"/>
      <c r="K785" s="319">
        <f t="shared" si="84"/>
        <v>0</v>
      </c>
      <c r="L785" s="319"/>
      <c r="M785" s="319"/>
      <c r="N785" s="312"/>
      <c r="O785" s="313"/>
      <c r="P785" s="311">
        <v>0</v>
      </c>
      <c r="Q785" s="312"/>
      <c r="R785" s="314"/>
      <c r="S785" s="311"/>
      <c r="T785" s="311"/>
      <c r="U785" s="311"/>
      <c r="V785" s="311"/>
      <c r="W785" s="311"/>
      <c r="X785" s="311"/>
      <c r="Y785" s="1356">
        <f t="shared" si="85"/>
        <v>0</v>
      </c>
      <c r="Z785" s="1357">
        <f t="shared" si="86"/>
        <v>0</v>
      </c>
      <c r="AA785" s="311">
        <f t="shared" si="87"/>
        <v>0</v>
      </c>
      <c r="AB785" s="311">
        <f t="shared" si="88"/>
        <v>0</v>
      </c>
      <c r="AC785" s="311">
        <f t="shared" si="89"/>
        <v>0</v>
      </c>
      <c r="AD785" s="311">
        <f t="shared" si="90"/>
        <v>0</v>
      </c>
      <c r="AE785" s="311">
        <f t="shared" si="91"/>
        <v>0</v>
      </c>
      <c r="AF785" s="355"/>
      <c r="AG785" s="838"/>
      <c r="AH785" s="744"/>
      <c r="AI785" s="292"/>
      <c r="AK785" s="300"/>
      <c r="AS785" s="452"/>
    </row>
    <row r="786" spans="1:45" s="299" customFormat="1">
      <c r="A786" s="353">
        <v>355</v>
      </c>
      <c r="B786" s="352">
        <v>200</v>
      </c>
      <c r="C786" s="357">
        <v>702</v>
      </c>
      <c r="D786" s="357"/>
      <c r="E786" s="357"/>
      <c r="F786" s="357"/>
      <c r="G786" s="410" t="s">
        <v>1331</v>
      </c>
      <c r="H786" s="314"/>
      <c r="I786" s="311"/>
      <c r="J786" s="319"/>
      <c r="K786" s="319">
        <f t="shared" si="84"/>
        <v>0</v>
      </c>
      <c r="L786" s="319"/>
      <c r="M786" s="319"/>
      <c r="N786" s="312"/>
      <c r="O786" s="313"/>
      <c r="P786" s="311">
        <v>0</v>
      </c>
      <c r="Q786" s="312"/>
      <c r="R786" s="314"/>
      <c r="S786" s="311"/>
      <c r="T786" s="311"/>
      <c r="U786" s="311"/>
      <c r="V786" s="311"/>
      <c r="W786" s="311"/>
      <c r="X786" s="311"/>
      <c r="Y786" s="1356">
        <f t="shared" si="85"/>
        <v>0</v>
      </c>
      <c r="Z786" s="1357">
        <f t="shared" si="86"/>
        <v>0</v>
      </c>
      <c r="AA786" s="311">
        <f t="shared" si="87"/>
        <v>0</v>
      </c>
      <c r="AB786" s="311">
        <f t="shared" si="88"/>
        <v>0</v>
      </c>
      <c r="AC786" s="311">
        <f t="shared" si="89"/>
        <v>0</v>
      </c>
      <c r="AD786" s="311">
        <f t="shared" si="90"/>
        <v>0</v>
      </c>
      <c r="AE786" s="311">
        <f t="shared" si="91"/>
        <v>0</v>
      </c>
      <c r="AF786" s="355"/>
      <c r="AG786" s="838"/>
      <c r="AH786" s="744"/>
      <c r="AI786" s="292"/>
      <c r="AK786" s="300"/>
      <c r="AS786" s="452"/>
    </row>
    <row r="787" spans="1:45" s="299" customFormat="1">
      <c r="A787" s="353">
        <v>355</v>
      </c>
      <c r="B787" s="352">
        <v>200</v>
      </c>
      <c r="C787" s="357">
        <v>900</v>
      </c>
      <c r="D787" s="357"/>
      <c r="E787" s="357"/>
      <c r="F787" s="357"/>
      <c r="G787" s="409" t="s">
        <v>1332</v>
      </c>
      <c r="H787" s="314"/>
      <c r="I787" s="311"/>
      <c r="J787" s="319"/>
      <c r="K787" s="319">
        <f t="shared" si="84"/>
        <v>0</v>
      </c>
      <c r="L787" s="319"/>
      <c r="M787" s="319"/>
      <c r="N787" s="312"/>
      <c r="O787" s="313"/>
      <c r="P787" s="311">
        <v>0</v>
      </c>
      <c r="Q787" s="312"/>
      <c r="R787" s="314"/>
      <c r="S787" s="311"/>
      <c r="T787" s="311"/>
      <c r="U787" s="311"/>
      <c r="V787" s="311"/>
      <c r="W787" s="311"/>
      <c r="X787" s="311"/>
      <c r="Y787" s="1356">
        <f t="shared" si="85"/>
        <v>0</v>
      </c>
      <c r="Z787" s="1357">
        <f t="shared" si="86"/>
        <v>0</v>
      </c>
      <c r="AA787" s="311">
        <f t="shared" si="87"/>
        <v>0</v>
      </c>
      <c r="AB787" s="311">
        <f t="shared" si="88"/>
        <v>0</v>
      </c>
      <c r="AC787" s="311">
        <f t="shared" si="89"/>
        <v>0</v>
      </c>
      <c r="AD787" s="311">
        <f t="shared" si="90"/>
        <v>0</v>
      </c>
      <c r="AE787" s="311">
        <f t="shared" si="91"/>
        <v>0</v>
      </c>
      <c r="AF787" s="355"/>
      <c r="AG787" s="838"/>
      <c r="AH787" s="744"/>
      <c r="AI787" s="292"/>
      <c r="AK787" s="300"/>
      <c r="AS787" s="452"/>
    </row>
    <row r="788" spans="1:45" s="299" customFormat="1">
      <c r="A788" s="353">
        <v>355</v>
      </c>
      <c r="B788" s="352">
        <v>200</v>
      </c>
      <c r="C788" s="357">
        <v>901</v>
      </c>
      <c r="D788" s="357"/>
      <c r="E788" s="357"/>
      <c r="F788" s="357"/>
      <c r="G788" s="409" t="s">
        <v>1333</v>
      </c>
      <c r="H788" s="314"/>
      <c r="I788" s="311"/>
      <c r="J788" s="319"/>
      <c r="K788" s="319">
        <f t="shared" si="84"/>
        <v>0</v>
      </c>
      <c r="L788" s="319"/>
      <c r="M788" s="319"/>
      <c r="N788" s="312"/>
      <c r="O788" s="313"/>
      <c r="P788" s="311">
        <v>0</v>
      </c>
      <c r="Q788" s="312"/>
      <c r="R788" s="314"/>
      <c r="S788" s="311"/>
      <c r="T788" s="311"/>
      <c r="U788" s="311"/>
      <c r="V788" s="311"/>
      <c r="W788" s="311"/>
      <c r="X788" s="311"/>
      <c r="Y788" s="1356">
        <f t="shared" si="85"/>
        <v>0</v>
      </c>
      <c r="Z788" s="1357">
        <f t="shared" si="86"/>
        <v>0</v>
      </c>
      <c r="AA788" s="311">
        <f t="shared" si="87"/>
        <v>0</v>
      </c>
      <c r="AB788" s="311">
        <f t="shared" si="88"/>
        <v>0</v>
      </c>
      <c r="AC788" s="311">
        <f t="shared" si="89"/>
        <v>0</v>
      </c>
      <c r="AD788" s="311">
        <f t="shared" si="90"/>
        <v>0</v>
      </c>
      <c r="AE788" s="311">
        <f t="shared" si="91"/>
        <v>0</v>
      </c>
      <c r="AF788" s="355"/>
      <c r="AG788" s="838"/>
      <c r="AH788" s="744"/>
      <c r="AI788" s="292"/>
      <c r="AK788" s="300"/>
      <c r="AS788" s="452"/>
    </row>
    <row r="789" spans="1:45" s="299" customFormat="1">
      <c r="A789" s="353">
        <v>355</v>
      </c>
      <c r="B789" s="352">
        <v>200</v>
      </c>
      <c r="C789" s="357">
        <v>902</v>
      </c>
      <c r="D789" s="357"/>
      <c r="E789" s="357"/>
      <c r="F789" s="357"/>
      <c r="G789" s="409" t="s">
        <v>1334</v>
      </c>
      <c r="H789" s="314"/>
      <c r="I789" s="311"/>
      <c r="J789" s="319"/>
      <c r="K789" s="319">
        <f t="shared" si="84"/>
        <v>0</v>
      </c>
      <c r="L789" s="319"/>
      <c r="M789" s="319"/>
      <c r="N789" s="312"/>
      <c r="O789" s="313"/>
      <c r="P789" s="311">
        <v>0</v>
      </c>
      <c r="Q789" s="312"/>
      <c r="R789" s="314"/>
      <c r="S789" s="311"/>
      <c r="T789" s="311"/>
      <c r="U789" s="311"/>
      <c r="V789" s="311"/>
      <c r="W789" s="311"/>
      <c r="X789" s="311"/>
      <c r="Y789" s="1356">
        <f t="shared" si="85"/>
        <v>0</v>
      </c>
      <c r="Z789" s="1357">
        <f t="shared" si="86"/>
        <v>0</v>
      </c>
      <c r="AA789" s="311">
        <f t="shared" si="87"/>
        <v>0</v>
      </c>
      <c r="AB789" s="311">
        <f t="shared" si="88"/>
        <v>0</v>
      </c>
      <c r="AC789" s="311">
        <f t="shared" si="89"/>
        <v>0</v>
      </c>
      <c r="AD789" s="311">
        <f t="shared" si="90"/>
        <v>0</v>
      </c>
      <c r="AE789" s="311">
        <f t="shared" si="91"/>
        <v>0</v>
      </c>
      <c r="AF789" s="355"/>
      <c r="AG789" s="838"/>
      <c r="AH789" s="744"/>
      <c r="AI789" s="292"/>
      <c r="AK789" s="300"/>
      <c r="AS789" s="452"/>
    </row>
    <row r="790" spans="1:45" s="299" customFormat="1">
      <c r="A790" s="353">
        <v>355</v>
      </c>
      <c r="B790" s="352">
        <v>200</v>
      </c>
      <c r="C790" s="357">
        <v>903</v>
      </c>
      <c r="D790" s="357"/>
      <c r="E790" s="357"/>
      <c r="F790" s="357"/>
      <c r="G790" s="409" t="s">
        <v>1335</v>
      </c>
      <c r="H790" s="314"/>
      <c r="I790" s="311"/>
      <c r="J790" s="319"/>
      <c r="K790" s="319">
        <f t="shared" si="84"/>
        <v>0</v>
      </c>
      <c r="L790" s="319"/>
      <c r="M790" s="319"/>
      <c r="N790" s="312"/>
      <c r="O790" s="313"/>
      <c r="P790" s="311">
        <v>0</v>
      </c>
      <c r="Q790" s="312"/>
      <c r="R790" s="314"/>
      <c r="S790" s="311"/>
      <c r="T790" s="311"/>
      <c r="U790" s="311"/>
      <c r="V790" s="311"/>
      <c r="W790" s="311"/>
      <c r="X790" s="311"/>
      <c r="Y790" s="1356">
        <f t="shared" si="85"/>
        <v>0</v>
      </c>
      <c r="Z790" s="1357">
        <f t="shared" si="86"/>
        <v>0</v>
      </c>
      <c r="AA790" s="311">
        <f t="shared" si="87"/>
        <v>0</v>
      </c>
      <c r="AB790" s="311">
        <f t="shared" si="88"/>
        <v>0</v>
      </c>
      <c r="AC790" s="311">
        <f t="shared" si="89"/>
        <v>0</v>
      </c>
      <c r="AD790" s="311">
        <f t="shared" si="90"/>
        <v>0</v>
      </c>
      <c r="AE790" s="311">
        <f t="shared" si="91"/>
        <v>0</v>
      </c>
      <c r="AF790" s="355"/>
      <c r="AG790" s="838"/>
      <c r="AH790" s="744"/>
      <c r="AI790" s="292"/>
      <c r="AK790" s="300"/>
      <c r="AS790" s="452"/>
    </row>
    <row r="791" spans="1:45" s="292" customFormat="1">
      <c r="A791" s="353">
        <v>355</v>
      </c>
      <c r="B791" s="352">
        <v>200</v>
      </c>
      <c r="C791" s="357">
        <v>990</v>
      </c>
      <c r="D791" s="357"/>
      <c r="E791" s="357"/>
      <c r="F791" s="357"/>
      <c r="G791" s="409" t="s">
        <v>1336</v>
      </c>
      <c r="H791" s="314"/>
      <c r="I791" s="311"/>
      <c r="J791" s="319"/>
      <c r="K791" s="319">
        <f t="shared" si="84"/>
        <v>0</v>
      </c>
      <c r="L791" s="319"/>
      <c r="M791" s="319"/>
      <c r="N791" s="312"/>
      <c r="O791" s="313"/>
      <c r="P791" s="311">
        <v>0</v>
      </c>
      <c r="Q791" s="312"/>
      <c r="R791" s="314"/>
      <c r="S791" s="311"/>
      <c r="T791" s="311"/>
      <c r="U791" s="311"/>
      <c r="V791" s="311"/>
      <c r="W791" s="311"/>
      <c r="X791" s="311"/>
      <c r="Y791" s="1356">
        <f t="shared" si="85"/>
        <v>0</v>
      </c>
      <c r="Z791" s="1357">
        <f t="shared" si="86"/>
        <v>0</v>
      </c>
      <c r="AA791" s="311">
        <f t="shared" si="87"/>
        <v>0</v>
      </c>
      <c r="AB791" s="311">
        <f t="shared" si="88"/>
        <v>0</v>
      </c>
      <c r="AC791" s="311">
        <f t="shared" si="89"/>
        <v>0</v>
      </c>
      <c r="AD791" s="311">
        <f t="shared" si="90"/>
        <v>0</v>
      </c>
      <c r="AE791" s="311">
        <f t="shared" si="91"/>
        <v>0</v>
      </c>
      <c r="AF791" s="355"/>
      <c r="AG791" s="838"/>
      <c r="AH791" s="744"/>
      <c r="AK791" s="293"/>
      <c r="AS791" s="744"/>
    </row>
    <row r="792" spans="1:45" s="299" customFormat="1">
      <c r="A792" s="338">
        <v>360</v>
      </c>
      <c r="B792" s="337">
        <v>0</v>
      </c>
      <c r="C792" s="337">
        <v>0</v>
      </c>
      <c r="D792" s="337">
        <v>0</v>
      </c>
      <c r="E792" s="337">
        <v>0</v>
      </c>
      <c r="F792" s="337">
        <v>0</v>
      </c>
      <c r="G792" s="391" t="s">
        <v>74</v>
      </c>
      <c r="H792" s="334"/>
      <c r="I792" s="331"/>
      <c r="J792" s="359"/>
      <c r="K792" s="359">
        <f t="shared" si="84"/>
        <v>0</v>
      </c>
      <c r="L792" s="359"/>
      <c r="M792" s="359"/>
      <c r="N792" s="332"/>
      <c r="O792" s="333"/>
      <c r="P792" s="331">
        <v>0</v>
      </c>
      <c r="Q792" s="332"/>
      <c r="R792" s="334"/>
      <c r="S792" s="331"/>
      <c r="T792" s="331"/>
      <c r="U792" s="331"/>
      <c r="V792" s="331"/>
      <c r="W792" s="331"/>
      <c r="X792" s="331"/>
      <c r="Y792" s="1352">
        <f t="shared" si="85"/>
        <v>0</v>
      </c>
      <c r="Z792" s="1353">
        <f t="shared" si="86"/>
        <v>0</v>
      </c>
      <c r="AA792" s="331">
        <f t="shared" si="87"/>
        <v>0</v>
      </c>
      <c r="AB792" s="331">
        <f t="shared" si="88"/>
        <v>0</v>
      </c>
      <c r="AC792" s="331">
        <f t="shared" si="89"/>
        <v>0</v>
      </c>
      <c r="AD792" s="331">
        <f t="shared" si="90"/>
        <v>0</v>
      </c>
      <c r="AE792" s="331">
        <f t="shared" si="91"/>
        <v>0</v>
      </c>
      <c r="AF792" s="330" t="s">
        <v>1337</v>
      </c>
      <c r="AG792" s="837"/>
      <c r="AH792" s="744">
        <f>SUM(Y792:Y808)</f>
        <v>-31165.100000000002</v>
      </c>
      <c r="AI792" s="292" t="s">
        <v>2263</v>
      </c>
      <c r="AK792" s="300"/>
      <c r="AS792" s="452"/>
    </row>
    <row r="793" spans="1:45" s="299" customFormat="1">
      <c r="A793" s="353">
        <v>360</v>
      </c>
      <c r="B793" s="357">
        <v>100</v>
      </c>
      <c r="C793" s="357"/>
      <c r="D793" s="357"/>
      <c r="E793" s="357"/>
      <c r="F793" s="357"/>
      <c r="G793" s="315" t="s">
        <v>1338</v>
      </c>
      <c r="H793" s="334"/>
      <c r="I793" s="331"/>
      <c r="J793" s="359"/>
      <c r="K793" s="359">
        <f t="shared" si="84"/>
        <v>0</v>
      </c>
      <c r="L793" s="359"/>
      <c r="M793" s="359"/>
      <c r="N793" s="332"/>
      <c r="O793" s="333"/>
      <c r="P793" s="331">
        <v>0</v>
      </c>
      <c r="Q793" s="332"/>
      <c r="R793" s="334"/>
      <c r="S793" s="331"/>
      <c r="T793" s="331"/>
      <c r="U793" s="331"/>
      <c r="V793" s="331"/>
      <c r="W793" s="331"/>
      <c r="X793" s="331"/>
      <c r="Y793" s="1352">
        <f t="shared" si="85"/>
        <v>0</v>
      </c>
      <c r="Z793" s="1353">
        <f t="shared" si="86"/>
        <v>0</v>
      </c>
      <c r="AA793" s="331">
        <f t="shared" si="87"/>
        <v>0</v>
      </c>
      <c r="AB793" s="331">
        <f t="shared" si="88"/>
        <v>0</v>
      </c>
      <c r="AC793" s="331">
        <f t="shared" si="89"/>
        <v>0</v>
      </c>
      <c r="AD793" s="331">
        <f t="shared" si="90"/>
        <v>0</v>
      </c>
      <c r="AE793" s="331">
        <f t="shared" si="91"/>
        <v>0</v>
      </c>
      <c r="AF793" s="355" t="s">
        <v>1339</v>
      </c>
      <c r="AG793" s="838"/>
      <c r="AH793" s="744"/>
      <c r="AI793" s="292"/>
      <c r="AK793" s="300"/>
      <c r="AS793" s="452"/>
    </row>
    <row r="794" spans="1:45" s="299" customFormat="1" ht="27.6">
      <c r="A794" s="353">
        <v>360</v>
      </c>
      <c r="B794" s="357">
        <v>100</v>
      </c>
      <c r="C794" s="357">
        <v>10</v>
      </c>
      <c r="D794" s="357"/>
      <c r="E794" s="357"/>
      <c r="F794" s="357"/>
      <c r="G794" s="315" t="s">
        <v>542</v>
      </c>
      <c r="H794" s="329"/>
      <c r="I794" s="326"/>
      <c r="J794" s="358"/>
      <c r="K794" s="358">
        <f t="shared" si="84"/>
        <v>0</v>
      </c>
      <c r="L794" s="358"/>
      <c r="M794" s="358"/>
      <c r="N794" s="327"/>
      <c r="O794" s="328"/>
      <c r="P794" s="326">
        <v>0</v>
      </c>
      <c r="Q794" s="327"/>
      <c r="R794" s="329">
        <v>42302.879999999997</v>
      </c>
      <c r="S794" s="326"/>
      <c r="T794" s="326"/>
      <c r="U794" s="326"/>
      <c r="V794" s="326"/>
      <c r="W794" s="326"/>
      <c r="X794" s="326"/>
      <c r="Y794" s="1350">
        <f t="shared" si="85"/>
        <v>42302.879999999997</v>
      </c>
      <c r="Z794" s="1351">
        <f t="shared" si="86"/>
        <v>0</v>
      </c>
      <c r="AA794" s="326">
        <f t="shared" si="87"/>
        <v>0</v>
      </c>
      <c r="AB794" s="326">
        <f t="shared" si="88"/>
        <v>0</v>
      </c>
      <c r="AC794" s="326">
        <f t="shared" si="89"/>
        <v>0</v>
      </c>
      <c r="AD794" s="326">
        <f t="shared" si="90"/>
        <v>0</v>
      </c>
      <c r="AE794" s="326">
        <f t="shared" si="91"/>
        <v>0</v>
      </c>
      <c r="AF794" s="355" t="s">
        <v>1340</v>
      </c>
      <c r="AG794" s="838"/>
      <c r="AH794" s="744"/>
      <c r="AI794" s="292"/>
      <c r="AK794" s="300"/>
      <c r="AS794" s="452"/>
    </row>
    <row r="795" spans="1:45" s="299" customFormat="1">
      <c r="A795" s="353">
        <v>360</v>
      </c>
      <c r="B795" s="357">
        <v>100</v>
      </c>
      <c r="C795" s="357">
        <v>20</v>
      </c>
      <c r="D795" s="357"/>
      <c r="E795" s="357"/>
      <c r="F795" s="357"/>
      <c r="G795" s="342" t="s">
        <v>559</v>
      </c>
      <c r="H795" s="329"/>
      <c r="I795" s="326"/>
      <c r="J795" s="358"/>
      <c r="K795" s="358">
        <f t="shared" si="84"/>
        <v>0</v>
      </c>
      <c r="L795" s="358"/>
      <c r="M795" s="358"/>
      <c r="N795" s="327"/>
      <c r="O795" s="328"/>
      <c r="P795" s="326">
        <v>0</v>
      </c>
      <c r="Q795" s="327"/>
      <c r="R795" s="329"/>
      <c r="S795" s="326"/>
      <c r="T795" s="326"/>
      <c r="U795" s="326"/>
      <c r="V795" s="326"/>
      <c r="W795" s="326"/>
      <c r="X795" s="326"/>
      <c r="Y795" s="1350">
        <f t="shared" si="85"/>
        <v>0</v>
      </c>
      <c r="Z795" s="1351">
        <f t="shared" si="86"/>
        <v>0</v>
      </c>
      <c r="AA795" s="326">
        <f t="shared" si="87"/>
        <v>0</v>
      </c>
      <c r="AB795" s="326">
        <f t="shared" si="88"/>
        <v>0</v>
      </c>
      <c r="AC795" s="326">
        <f t="shared" si="89"/>
        <v>0</v>
      </c>
      <c r="AD795" s="326">
        <f t="shared" si="90"/>
        <v>0</v>
      </c>
      <c r="AE795" s="326">
        <f t="shared" si="91"/>
        <v>0</v>
      </c>
      <c r="AF795" s="355" t="s">
        <v>1341</v>
      </c>
      <c r="AG795" s="838"/>
      <c r="AH795" s="744"/>
      <c r="AI795" s="292"/>
      <c r="AK795" s="300"/>
      <c r="AS795" s="452"/>
    </row>
    <row r="796" spans="1:45" s="299" customFormat="1">
      <c r="A796" s="353">
        <v>360</v>
      </c>
      <c r="B796" s="357">
        <v>100</v>
      </c>
      <c r="C796" s="357">
        <v>30</v>
      </c>
      <c r="D796" s="357"/>
      <c r="E796" s="357"/>
      <c r="F796" s="357"/>
      <c r="G796" s="315" t="s">
        <v>567</v>
      </c>
      <c r="H796" s="329"/>
      <c r="I796" s="326"/>
      <c r="J796" s="358"/>
      <c r="K796" s="358">
        <f t="shared" si="84"/>
        <v>0</v>
      </c>
      <c r="L796" s="358"/>
      <c r="M796" s="358"/>
      <c r="N796" s="327"/>
      <c r="O796" s="328"/>
      <c r="P796" s="326">
        <v>0</v>
      </c>
      <c r="Q796" s="327"/>
      <c r="R796" s="329">
        <v>-27557.99</v>
      </c>
      <c r="S796" s="326"/>
      <c r="T796" s="326"/>
      <c r="U796" s="326"/>
      <c r="V796" s="326"/>
      <c r="W796" s="326"/>
      <c r="X796" s="326"/>
      <c r="Y796" s="1350">
        <f t="shared" si="85"/>
        <v>-27557.99</v>
      </c>
      <c r="Z796" s="1351">
        <f t="shared" si="86"/>
        <v>0</v>
      </c>
      <c r="AA796" s="326">
        <f t="shared" si="87"/>
        <v>0</v>
      </c>
      <c r="AB796" s="326">
        <f t="shared" si="88"/>
        <v>0</v>
      </c>
      <c r="AC796" s="326">
        <f t="shared" si="89"/>
        <v>0</v>
      </c>
      <c r="AD796" s="326">
        <f t="shared" si="90"/>
        <v>0</v>
      </c>
      <c r="AE796" s="326">
        <f t="shared" si="91"/>
        <v>0</v>
      </c>
      <c r="AF796" s="355" t="s">
        <v>1342</v>
      </c>
      <c r="AG796" s="838"/>
      <c r="AH796" s="744"/>
      <c r="AI796" s="292"/>
      <c r="AK796" s="300"/>
      <c r="AS796" s="452"/>
    </row>
    <row r="797" spans="1:45" s="299" customFormat="1">
      <c r="A797" s="353">
        <v>360</v>
      </c>
      <c r="B797" s="357">
        <v>100</v>
      </c>
      <c r="C797" s="357">
        <v>40</v>
      </c>
      <c r="D797" s="357"/>
      <c r="E797" s="357"/>
      <c r="F797" s="357"/>
      <c r="G797" s="342" t="s">
        <v>575</v>
      </c>
      <c r="H797" s="329"/>
      <c r="I797" s="326"/>
      <c r="J797" s="358"/>
      <c r="K797" s="358">
        <f t="shared" si="84"/>
        <v>0</v>
      </c>
      <c r="L797" s="358"/>
      <c r="M797" s="358"/>
      <c r="N797" s="327"/>
      <c r="O797" s="328"/>
      <c r="P797" s="326">
        <v>0</v>
      </c>
      <c r="Q797" s="327"/>
      <c r="R797" s="329">
        <v>-450.77</v>
      </c>
      <c r="S797" s="326"/>
      <c r="T797" s="326"/>
      <c r="U797" s="326"/>
      <c r="V797" s="326"/>
      <c r="W797" s="326"/>
      <c r="X797" s="326"/>
      <c r="Y797" s="1350">
        <f t="shared" si="85"/>
        <v>-450.77</v>
      </c>
      <c r="Z797" s="1351">
        <f t="shared" si="86"/>
        <v>0</v>
      </c>
      <c r="AA797" s="326">
        <f t="shared" si="87"/>
        <v>0</v>
      </c>
      <c r="AB797" s="326">
        <f t="shared" si="88"/>
        <v>0</v>
      </c>
      <c r="AC797" s="326">
        <f t="shared" si="89"/>
        <v>0</v>
      </c>
      <c r="AD797" s="326">
        <f t="shared" si="90"/>
        <v>0</v>
      </c>
      <c r="AE797" s="326">
        <f t="shared" si="91"/>
        <v>0</v>
      </c>
      <c r="AF797" s="355" t="s">
        <v>1343</v>
      </c>
      <c r="AG797" s="838"/>
      <c r="AH797" s="744"/>
      <c r="AI797" s="292"/>
      <c r="AK797" s="300"/>
      <c r="AS797" s="452"/>
    </row>
    <row r="798" spans="1:45" s="299" customFormat="1">
      <c r="A798" s="353">
        <v>360</v>
      </c>
      <c r="B798" s="357">
        <v>100</v>
      </c>
      <c r="C798" s="357">
        <v>50</v>
      </c>
      <c r="D798" s="357"/>
      <c r="E798" s="357"/>
      <c r="F798" s="357"/>
      <c r="G798" s="315" t="s">
        <v>577</v>
      </c>
      <c r="H798" s="329"/>
      <c r="I798" s="326"/>
      <c r="J798" s="358"/>
      <c r="K798" s="358">
        <f t="shared" si="84"/>
        <v>0</v>
      </c>
      <c r="L798" s="358"/>
      <c r="M798" s="358"/>
      <c r="N798" s="327"/>
      <c r="O798" s="328"/>
      <c r="P798" s="326">
        <v>0</v>
      </c>
      <c r="Q798" s="327"/>
      <c r="R798" s="329"/>
      <c r="S798" s="326"/>
      <c r="T798" s="326"/>
      <c r="U798" s="326"/>
      <c r="V798" s="326"/>
      <c r="W798" s="326"/>
      <c r="X798" s="326"/>
      <c r="Y798" s="1350">
        <f t="shared" si="85"/>
        <v>0</v>
      </c>
      <c r="Z798" s="1351">
        <f t="shared" si="86"/>
        <v>0</v>
      </c>
      <c r="AA798" s="326">
        <f t="shared" si="87"/>
        <v>0</v>
      </c>
      <c r="AB798" s="326">
        <f t="shared" si="88"/>
        <v>0</v>
      </c>
      <c r="AC798" s="326">
        <f t="shared" si="89"/>
        <v>0</v>
      </c>
      <c r="AD798" s="326">
        <f t="shared" si="90"/>
        <v>0</v>
      </c>
      <c r="AE798" s="326">
        <f t="shared" si="91"/>
        <v>0</v>
      </c>
      <c r="AF798" s="355" t="s">
        <v>1344</v>
      </c>
      <c r="AG798" s="838"/>
      <c r="AH798" s="744"/>
      <c r="AI798" s="292"/>
      <c r="AK798" s="300"/>
      <c r="AS798" s="452"/>
    </row>
    <row r="799" spans="1:45" s="299" customFormat="1">
      <c r="A799" s="353">
        <v>360</v>
      </c>
      <c r="B799" s="357">
        <v>100</v>
      </c>
      <c r="C799" s="357">
        <v>60</v>
      </c>
      <c r="D799" s="357"/>
      <c r="E799" s="357"/>
      <c r="F799" s="357"/>
      <c r="G799" s="342" t="s">
        <v>579</v>
      </c>
      <c r="H799" s="329"/>
      <c r="I799" s="326"/>
      <c r="J799" s="358"/>
      <c r="K799" s="358">
        <f t="shared" si="84"/>
        <v>0</v>
      </c>
      <c r="L799" s="358"/>
      <c r="M799" s="358"/>
      <c r="N799" s="327"/>
      <c r="O799" s="328"/>
      <c r="P799" s="326">
        <v>0</v>
      </c>
      <c r="Q799" s="327"/>
      <c r="R799" s="329">
        <v>-7142.5</v>
      </c>
      <c r="S799" s="326"/>
      <c r="T799" s="326"/>
      <c r="U799" s="326"/>
      <c r="V799" s="326"/>
      <c r="W799" s="326"/>
      <c r="X799" s="326"/>
      <c r="Y799" s="1350">
        <f t="shared" si="85"/>
        <v>-7142.5</v>
      </c>
      <c r="Z799" s="1351">
        <f t="shared" si="86"/>
        <v>0</v>
      </c>
      <c r="AA799" s="326">
        <f t="shared" si="87"/>
        <v>0</v>
      </c>
      <c r="AB799" s="326">
        <f t="shared" si="88"/>
        <v>0</v>
      </c>
      <c r="AC799" s="326">
        <f t="shared" si="89"/>
        <v>0</v>
      </c>
      <c r="AD799" s="326">
        <f t="shared" si="90"/>
        <v>0</v>
      </c>
      <c r="AE799" s="326">
        <f t="shared" si="91"/>
        <v>0</v>
      </c>
      <c r="AF799" s="355" t="s">
        <v>1345</v>
      </c>
      <c r="AG799" s="838"/>
      <c r="AH799" s="744"/>
      <c r="AI799" s="292"/>
      <c r="AK799" s="300"/>
      <c r="AS799" s="452"/>
    </row>
    <row r="800" spans="1:45" s="299" customFormat="1" ht="27.6">
      <c r="A800" s="353">
        <v>360</v>
      </c>
      <c r="B800" s="357">
        <v>100</v>
      </c>
      <c r="C800" s="357">
        <v>70</v>
      </c>
      <c r="D800" s="357"/>
      <c r="E800" s="357"/>
      <c r="F800" s="357"/>
      <c r="G800" s="315" t="s">
        <v>581</v>
      </c>
      <c r="H800" s="329"/>
      <c r="I800" s="326"/>
      <c r="J800" s="358"/>
      <c r="K800" s="358">
        <f t="shared" si="84"/>
        <v>0</v>
      </c>
      <c r="L800" s="358"/>
      <c r="M800" s="358"/>
      <c r="N800" s="327"/>
      <c r="O800" s="328"/>
      <c r="P800" s="326">
        <v>0</v>
      </c>
      <c r="Q800" s="327"/>
      <c r="R800" s="329"/>
      <c r="S800" s="326"/>
      <c r="T800" s="326"/>
      <c r="U800" s="326"/>
      <c r="V800" s="326"/>
      <c r="W800" s="326"/>
      <c r="X800" s="326"/>
      <c r="Y800" s="1350">
        <f t="shared" si="85"/>
        <v>0</v>
      </c>
      <c r="Z800" s="1351">
        <f t="shared" si="86"/>
        <v>0</v>
      </c>
      <c r="AA800" s="326">
        <f t="shared" si="87"/>
        <v>0</v>
      </c>
      <c r="AB800" s="326">
        <f t="shared" si="88"/>
        <v>0</v>
      </c>
      <c r="AC800" s="326">
        <f t="shared" si="89"/>
        <v>0</v>
      </c>
      <c r="AD800" s="326">
        <f t="shared" si="90"/>
        <v>0</v>
      </c>
      <c r="AE800" s="326">
        <f t="shared" si="91"/>
        <v>0</v>
      </c>
      <c r="AF800" s="355" t="s">
        <v>1346</v>
      </c>
      <c r="AG800" s="838"/>
      <c r="AH800" s="744"/>
      <c r="AI800" s="292"/>
      <c r="AK800" s="300"/>
      <c r="AS800" s="452"/>
    </row>
    <row r="801" spans="1:45" s="299" customFormat="1">
      <c r="A801" s="353">
        <v>360</v>
      </c>
      <c r="B801" s="357">
        <v>100</v>
      </c>
      <c r="C801" s="357">
        <v>80</v>
      </c>
      <c r="D801" s="357"/>
      <c r="E801" s="357"/>
      <c r="F801" s="357"/>
      <c r="G801" s="342" t="s">
        <v>593</v>
      </c>
      <c r="H801" s="329"/>
      <c r="I801" s="326"/>
      <c r="J801" s="358"/>
      <c r="K801" s="358">
        <f t="shared" si="84"/>
        <v>0</v>
      </c>
      <c r="L801" s="358"/>
      <c r="M801" s="358"/>
      <c r="N801" s="327"/>
      <c r="O801" s="328"/>
      <c r="P801" s="326">
        <v>0</v>
      </c>
      <c r="Q801" s="327"/>
      <c r="R801" s="329">
        <v>-25033.35</v>
      </c>
      <c r="S801" s="326"/>
      <c r="T801" s="326"/>
      <c r="U801" s="326"/>
      <c r="V801" s="326"/>
      <c r="W801" s="326"/>
      <c r="X801" s="326"/>
      <c r="Y801" s="1350">
        <f t="shared" si="85"/>
        <v>-25033.35</v>
      </c>
      <c r="Z801" s="1351">
        <f t="shared" si="86"/>
        <v>0</v>
      </c>
      <c r="AA801" s="326">
        <f t="shared" si="87"/>
        <v>0</v>
      </c>
      <c r="AB801" s="326">
        <f t="shared" si="88"/>
        <v>0</v>
      </c>
      <c r="AC801" s="326">
        <f t="shared" si="89"/>
        <v>0</v>
      </c>
      <c r="AD801" s="326">
        <f t="shared" si="90"/>
        <v>0</v>
      </c>
      <c r="AE801" s="326">
        <f t="shared" si="91"/>
        <v>0</v>
      </c>
      <c r="AF801" s="355" t="s">
        <v>1347</v>
      </c>
      <c r="AG801" s="838"/>
      <c r="AH801" s="744"/>
      <c r="AI801" s="292"/>
      <c r="AK801" s="300"/>
      <c r="AS801" s="452"/>
    </row>
    <row r="802" spans="1:45" s="299" customFormat="1">
      <c r="A802" s="353">
        <v>360</v>
      </c>
      <c r="B802" s="357">
        <v>200</v>
      </c>
      <c r="C802" s="357"/>
      <c r="D802" s="357"/>
      <c r="E802" s="357"/>
      <c r="F802" s="357"/>
      <c r="G802" s="315" t="s">
        <v>1348</v>
      </c>
      <c r="H802" s="334"/>
      <c r="I802" s="331"/>
      <c r="J802" s="359"/>
      <c r="K802" s="359">
        <f t="shared" si="84"/>
        <v>0</v>
      </c>
      <c r="L802" s="359"/>
      <c r="M802" s="359"/>
      <c r="N802" s="332"/>
      <c r="O802" s="333"/>
      <c r="P802" s="331">
        <v>0</v>
      </c>
      <c r="Q802" s="332"/>
      <c r="R802" s="334"/>
      <c r="S802" s="331"/>
      <c r="T802" s="331"/>
      <c r="U802" s="331"/>
      <c r="V802" s="331"/>
      <c r="W802" s="331"/>
      <c r="X802" s="331"/>
      <c r="Y802" s="1352">
        <f t="shared" si="85"/>
        <v>0</v>
      </c>
      <c r="Z802" s="1353">
        <f t="shared" si="86"/>
        <v>0</v>
      </c>
      <c r="AA802" s="331">
        <f t="shared" si="87"/>
        <v>0</v>
      </c>
      <c r="AB802" s="331">
        <f t="shared" si="88"/>
        <v>0</v>
      </c>
      <c r="AC802" s="331">
        <f t="shared" si="89"/>
        <v>0</v>
      </c>
      <c r="AD802" s="331">
        <f t="shared" si="90"/>
        <v>0</v>
      </c>
      <c r="AE802" s="331">
        <f t="shared" si="91"/>
        <v>0</v>
      </c>
      <c r="AF802" s="355" t="s">
        <v>1349</v>
      </c>
      <c r="AG802" s="838"/>
      <c r="AH802" s="744"/>
      <c r="AI802" s="292"/>
      <c r="AK802" s="300"/>
      <c r="AS802" s="452"/>
    </row>
    <row r="803" spans="1:45" s="299" customFormat="1">
      <c r="A803" s="353">
        <v>360</v>
      </c>
      <c r="B803" s="357">
        <v>200</v>
      </c>
      <c r="C803" s="357">
        <v>10</v>
      </c>
      <c r="D803" s="343"/>
      <c r="E803" s="343"/>
      <c r="F803" s="343"/>
      <c r="G803" s="408" t="s">
        <v>597</v>
      </c>
      <c r="H803" s="401"/>
      <c r="I803" s="395"/>
      <c r="J803" s="402"/>
      <c r="K803" s="402">
        <f t="shared" si="84"/>
        <v>0</v>
      </c>
      <c r="L803" s="402"/>
      <c r="M803" s="402"/>
      <c r="N803" s="396"/>
      <c r="O803" s="798"/>
      <c r="P803" s="395">
        <v>0</v>
      </c>
      <c r="Q803" s="396"/>
      <c r="R803" s="401">
        <v>0</v>
      </c>
      <c r="S803" s="395"/>
      <c r="T803" s="395"/>
      <c r="U803" s="395"/>
      <c r="V803" s="395"/>
      <c r="W803" s="395"/>
      <c r="X803" s="395"/>
      <c r="Y803" s="1354">
        <f t="shared" si="85"/>
        <v>0</v>
      </c>
      <c r="Z803" s="1355">
        <f t="shared" si="86"/>
        <v>0</v>
      </c>
      <c r="AA803" s="395">
        <f t="shared" si="87"/>
        <v>0</v>
      </c>
      <c r="AB803" s="395">
        <f t="shared" si="88"/>
        <v>0</v>
      </c>
      <c r="AC803" s="395">
        <f t="shared" si="89"/>
        <v>0</v>
      </c>
      <c r="AD803" s="395">
        <f t="shared" si="90"/>
        <v>0</v>
      </c>
      <c r="AE803" s="395">
        <f t="shared" si="91"/>
        <v>0</v>
      </c>
      <c r="AF803" s="355" t="s">
        <v>1350</v>
      </c>
      <c r="AG803" s="838"/>
      <c r="AH803" s="744"/>
      <c r="AI803" s="292"/>
      <c r="AK803" s="300"/>
      <c r="AS803" s="452"/>
    </row>
    <row r="804" spans="1:45" s="299" customFormat="1" ht="27.6">
      <c r="A804" s="353">
        <v>360</v>
      </c>
      <c r="B804" s="357">
        <v>200</v>
      </c>
      <c r="C804" s="357">
        <v>20</v>
      </c>
      <c r="D804" s="343"/>
      <c r="E804" s="343"/>
      <c r="F804" s="343"/>
      <c r="G804" s="408" t="s">
        <v>599</v>
      </c>
      <c r="H804" s="401"/>
      <c r="I804" s="395"/>
      <c r="J804" s="402"/>
      <c r="K804" s="402">
        <f t="shared" si="84"/>
        <v>0</v>
      </c>
      <c r="L804" s="402"/>
      <c r="M804" s="402"/>
      <c r="N804" s="396"/>
      <c r="O804" s="798"/>
      <c r="P804" s="395">
        <v>0</v>
      </c>
      <c r="Q804" s="396"/>
      <c r="R804" s="401">
        <v>215.85</v>
      </c>
      <c r="S804" s="395"/>
      <c r="T804" s="395"/>
      <c r="U804" s="395"/>
      <c r="V804" s="395"/>
      <c r="W804" s="395"/>
      <c r="X804" s="395"/>
      <c r="Y804" s="1354">
        <f t="shared" si="85"/>
        <v>215.85</v>
      </c>
      <c r="Z804" s="1355">
        <f t="shared" si="86"/>
        <v>0</v>
      </c>
      <c r="AA804" s="395">
        <f t="shared" si="87"/>
        <v>0</v>
      </c>
      <c r="AB804" s="395">
        <f t="shared" si="88"/>
        <v>0</v>
      </c>
      <c r="AC804" s="395">
        <f t="shared" si="89"/>
        <v>0</v>
      </c>
      <c r="AD804" s="395">
        <f t="shared" si="90"/>
        <v>0</v>
      </c>
      <c r="AE804" s="395">
        <f t="shared" si="91"/>
        <v>0</v>
      </c>
      <c r="AF804" s="355" t="s">
        <v>1351</v>
      </c>
      <c r="AG804" s="838"/>
      <c r="AH804" s="744"/>
      <c r="AI804" s="292"/>
      <c r="AK804" s="300"/>
      <c r="AS804" s="452"/>
    </row>
    <row r="805" spans="1:45" s="299" customFormat="1" ht="27.6">
      <c r="A805" s="353">
        <v>360</v>
      </c>
      <c r="B805" s="357">
        <v>200</v>
      </c>
      <c r="C805" s="357">
        <v>30</v>
      </c>
      <c r="D805" s="343"/>
      <c r="E805" s="343"/>
      <c r="F805" s="343"/>
      <c r="G805" s="408" t="s">
        <v>601</v>
      </c>
      <c r="H805" s="401"/>
      <c r="I805" s="395"/>
      <c r="J805" s="402"/>
      <c r="K805" s="402">
        <f t="shared" si="84"/>
        <v>0</v>
      </c>
      <c r="L805" s="402"/>
      <c r="M805" s="402"/>
      <c r="N805" s="396"/>
      <c r="O805" s="798"/>
      <c r="P805" s="395">
        <v>0</v>
      </c>
      <c r="Q805" s="396"/>
      <c r="R805" s="401">
        <v>1557.53</v>
      </c>
      <c r="S805" s="395"/>
      <c r="T805" s="395"/>
      <c r="U805" s="395"/>
      <c r="V805" s="395"/>
      <c r="W805" s="395"/>
      <c r="X805" s="395"/>
      <c r="Y805" s="1354">
        <f t="shared" si="85"/>
        <v>1557.53</v>
      </c>
      <c r="Z805" s="1355">
        <f t="shared" si="86"/>
        <v>0</v>
      </c>
      <c r="AA805" s="395">
        <f t="shared" si="87"/>
        <v>0</v>
      </c>
      <c r="AB805" s="395">
        <f t="shared" si="88"/>
        <v>0</v>
      </c>
      <c r="AC805" s="395">
        <f t="shared" si="89"/>
        <v>0</v>
      </c>
      <c r="AD805" s="395">
        <f t="shared" si="90"/>
        <v>0</v>
      </c>
      <c r="AE805" s="395">
        <f t="shared" si="91"/>
        <v>0</v>
      </c>
      <c r="AF805" s="355" t="s">
        <v>1352</v>
      </c>
      <c r="AG805" s="838"/>
      <c r="AH805" s="744"/>
      <c r="AI805" s="292"/>
      <c r="AK805" s="300"/>
      <c r="AS805" s="452"/>
    </row>
    <row r="806" spans="1:45" s="299" customFormat="1">
      <c r="A806" s="353">
        <v>360</v>
      </c>
      <c r="B806" s="357">
        <v>200</v>
      </c>
      <c r="C806" s="357">
        <v>40</v>
      </c>
      <c r="D806" s="343"/>
      <c r="E806" s="343"/>
      <c r="F806" s="343"/>
      <c r="G806" s="408" t="s">
        <v>603</v>
      </c>
      <c r="H806" s="401"/>
      <c r="I806" s="395"/>
      <c r="J806" s="402"/>
      <c r="K806" s="402">
        <f t="shared" si="84"/>
        <v>0</v>
      </c>
      <c r="L806" s="402"/>
      <c r="M806" s="402"/>
      <c r="N806" s="396"/>
      <c r="O806" s="798"/>
      <c r="P806" s="395">
        <v>0</v>
      </c>
      <c r="Q806" s="396"/>
      <c r="R806" s="401">
        <v>-4928.6499999999996</v>
      </c>
      <c r="S806" s="395"/>
      <c r="T806" s="395"/>
      <c r="U806" s="395"/>
      <c r="V806" s="395"/>
      <c r="W806" s="395"/>
      <c r="X806" s="395"/>
      <c r="Y806" s="1354">
        <f t="shared" si="85"/>
        <v>-4928.6499999999996</v>
      </c>
      <c r="Z806" s="1355">
        <f t="shared" si="86"/>
        <v>0</v>
      </c>
      <c r="AA806" s="395">
        <f t="shared" si="87"/>
        <v>0</v>
      </c>
      <c r="AB806" s="395">
        <f t="shared" si="88"/>
        <v>0</v>
      </c>
      <c r="AC806" s="395">
        <f t="shared" si="89"/>
        <v>0</v>
      </c>
      <c r="AD806" s="395">
        <f t="shared" si="90"/>
        <v>0</v>
      </c>
      <c r="AE806" s="395">
        <f t="shared" si="91"/>
        <v>0</v>
      </c>
      <c r="AF806" s="355" t="s">
        <v>1353</v>
      </c>
      <c r="AG806" s="838"/>
      <c r="AH806" s="744"/>
      <c r="AI806" s="292"/>
      <c r="AK806" s="300"/>
      <c r="AS806" s="452"/>
    </row>
    <row r="807" spans="1:45" s="299" customFormat="1">
      <c r="A807" s="353">
        <v>360</v>
      </c>
      <c r="B807" s="357">
        <v>200</v>
      </c>
      <c r="C807" s="357">
        <v>50</v>
      </c>
      <c r="D807" s="343"/>
      <c r="E807" s="343"/>
      <c r="F807" s="343"/>
      <c r="G807" s="408" t="s">
        <v>608</v>
      </c>
      <c r="H807" s="401"/>
      <c r="I807" s="395"/>
      <c r="J807" s="402"/>
      <c r="K807" s="402">
        <f t="shared" si="84"/>
        <v>0</v>
      </c>
      <c r="L807" s="402"/>
      <c r="M807" s="402"/>
      <c r="N807" s="396"/>
      <c r="O807" s="798"/>
      <c r="P807" s="395">
        <v>0</v>
      </c>
      <c r="Q807" s="396"/>
      <c r="R807" s="401">
        <v>-4894.32</v>
      </c>
      <c r="S807" s="395"/>
      <c r="T807" s="395"/>
      <c r="U807" s="395"/>
      <c r="V807" s="395"/>
      <c r="W807" s="395"/>
      <c r="X807" s="395"/>
      <c r="Y807" s="1354">
        <f t="shared" si="85"/>
        <v>-4894.32</v>
      </c>
      <c r="Z807" s="1355">
        <f t="shared" si="86"/>
        <v>0</v>
      </c>
      <c r="AA807" s="395">
        <f t="shared" si="87"/>
        <v>0</v>
      </c>
      <c r="AB807" s="395">
        <f t="shared" si="88"/>
        <v>0</v>
      </c>
      <c r="AC807" s="395">
        <f t="shared" si="89"/>
        <v>0</v>
      </c>
      <c r="AD807" s="395">
        <f t="shared" si="90"/>
        <v>0</v>
      </c>
      <c r="AE807" s="395">
        <f t="shared" si="91"/>
        <v>0</v>
      </c>
      <c r="AF807" s="355" t="s">
        <v>1354</v>
      </c>
      <c r="AG807" s="838"/>
      <c r="AH807" s="744"/>
      <c r="AI807" s="292"/>
      <c r="AK807" s="300"/>
      <c r="AS807" s="452"/>
    </row>
    <row r="808" spans="1:45" s="292" customFormat="1" ht="41.4">
      <c r="A808" s="353">
        <v>360</v>
      </c>
      <c r="B808" s="357">
        <v>200</v>
      </c>
      <c r="C808" s="357">
        <v>60</v>
      </c>
      <c r="D808" s="343"/>
      <c r="E808" s="343"/>
      <c r="F808" s="343"/>
      <c r="G808" s="408" t="s">
        <v>616</v>
      </c>
      <c r="H808" s="401"/>
      <c r="I808" s="395"/>
      <c r="J808" s="402"/>
      <c r="K808" s="402">
        <f t="shared" si="84"/>
        <v>0</v>
      </c>
      <c r="L808" s="402"/>
      <c r="M808" s="402"/>
      <c r="N808" s="396"/>
      <c r="O808" s="798"/>
      <c r="P808" s="395">
        <v>0</v>
      </c>
      <c r="Q808" s="396"/>
      <c r="R808" s="401">
        <v>-5233.78</v>
      </c>
      <c r="S808" s="395"/>
      <c r="T808" s="395"/>
      <c r="U808" s="395"/>
      <c r="V808" s="395"/>
      <c r="W808" s="395"/>
      <c r="X808" s="395"/>
      <c r="Y808" s="1354">
        <f t="shared" si="85"/>
        <v>-5233.78</v>
      </c>
      <c r="Z808" s="1355">
        <f t="shared" si="86"/>
        <v>0</v>
      </c>
      <c r="AA808" s="395">
        <f t="shared" si="87"/>
        <v>0</v>
      </c>
      <c r="AB808" s="395">
        <f t="shared" si="88"/>
        <v>0</v>
      </c>
      <c r="AC808" s="395">
        <f t="shared" si="89"/>
        <v>0</v>
      </c>
      <c r="AD808" s="395">
        <f t="shared" si="90"/>
        <v>0</v>
      </c>
      <c r="AE808" s="395">
        <f t="shared" si="91"/>
        <v>0</v>
      </c>
      <c r="AF808" s="355" t="s">
        <v>1355</v>
      </c>
      <c r="AG808" s="838"/>
      <c r="AH808" s="744"/>
      <c r="AK808" s="293"/>
      <c r="AS808" s="744"/>
    </row>
    <row r="809" spans="1:45" s="299" customFormat="1">
      <c r="A809" s="338">
        <v>365</v>
      </c>
      <c r="B809" s="337">
        <v>0</v>
      </c>
      <c r="C809" s="337">
        <v>0</v>
      </c>
      <c r="D809" s="337">
        <v>0</v>
      </c>
      <c r="E809" s="337">
        <v>0</v>
      </c>
      <c r="F809" s="337">
        <v>0</v>
      </c>
      <c r="G809" s="391" t="s">
        <v>1356</v>
      </c>
      <c r="H809" s="334"/>
      <c r="I809" s="331"/>
      <c r="J809" s="359"/>
      <c r="K809" s="359">
        <f t="shared" si="84"/>
        <v>0</v>
      </c>
      <c r="L809" s="359"/>
      <c r="M809" s="359"/>
      <c r="N809" s="332"/>
      <c r="O809" s="333"/>
      <c r="P809" s="331">
        <v>0</v>
      </c>
      <c r="Q809" s="332"/>
      <c r="R809" s="334"/>
      <c r="S809" s="331"/>
      <c r="T809" s="331"/>
      <c r="U809" s="331"/>
      <c r="V809" s="331"/>
      <c r="W809" s="331"/>
      <c r="X809" s="331"/>
      <c r="Y809" s="1352">
        <f t="shared" si="85"/>
        <v>0</v>
      </c>
      <c r="Z809" s="1353">
        <f t="shared" si="86"/>
        <v>0</v>
      </c>
      <c r="AA809" s="331">
        <f t="shared" si="87"/>
        <v>0</v>
      </c>
      <c r="AB809" s="331">
        <f t="shared" si="88"/>
        <v>0</v>
      </c>
      <c r="AC809" s="331">
        <f t="shared" si="89"/>
        <v>0</v>
      </c>
      <c r="AD809" s="331">
        <f t="shared" si="90"/>
        <v>0</v>
      </c>
      <c r="AE809" s="331">
        <f t="shared" si="91"/>
        <v>0</v>
      </c>
      <c r="AF809" s="330" t="s">
        <v>1357</v>
      </c>
      <c r="AG809" s="837"/>
      <c r="AH809" s="744">
        <f>SUM(Y809:Y843)</f>
        <v>5252577.3200000012</v>
      </c>
      <c r="AI809" s="292" t="s">
        <v>2262</v>
      </c>
      <c r="AK809" s="300"/>
      <c r="AS809" s="452"/>
    </row>
    <row r="810" spans="1:45" s="299" customFormat="1">
      <c r="A810" s="353">
        <v>365</v>
      </c>
      <c r="B810" s="352">
        <v>100</v>
      </c>
      <c r="C810" s="352"/>
      <c r="D810" s="352"/>
      <c r="E810" s="352"/>
      <c r="F810" s="352"/>
      <c r="G810" s="323" t="s">
        <v>1358</v>
      </c>
      <c r="H810" s="334"/>
      <c r="I810" s="331"/>
      <c r="J810" s="359"/>
      <c r="K810" s="359">
        <f t="shared" si="84"/>
        <v>0</v>
      </c>
      <c r="L810" s="359"/>
      <c r="M810" s="359"/>
      <c r="N810" s="332"/>
      <c r="O810" s="333"/>
      <c r="P810" s="331">
        <v>0</v>
      </c>
      <c r="Q810" s="332"/>
      <c r="R810" s="334"/>
      <c r="S810" s="331"/>
      <c r="T810" s="331"/>
      <c r="U810" s="331"/>
      <c r="V810" s="331"/>
      <c r="W810" s="331"/>
      <c r="X810" s="331"/>
      <c r="Y810" s="1352">
        <f t="shared" si="85"/>
        <v>0</v>
      </c>
      <c r="Z810" s="1353">
        <f t="shared" si="86"/>
        <v>0</v>
      </c>
      <c r="AA810" s="331">
        <f t="shared" si="87"/>
        <v>0</v>
      </c>
      <c r="AB810" s="331">
        <f t="shared" si="88"/>
        <v>0</v>
      </c>
      <c r="AC810" s="331">
        <f t="shared" si="89"/>
        <v>0</v>
      </c>
      <c r="AD810" s="331">
        <f t="shared" si="90"/>
        <v>0</v>
      </c>
      <c r="AE810" s="331">
        <f t="shared" si="91"/>
        <v>0</v>
      </c>
      <c r="AF810" s="355" t="s">
        <v>1359</v>
      </c>
      <c r="AG810" s="838"/>
      <c r="AH810" s="744"/>
      <c r="AI810" s="292"/>
      <c r="AK810" s="300"/>
      <c r="AS810" s="452"/>
    </row>
    <row r="811" spans="1:45" s="299" customFormat="1" ht="27.6">
      <c r="A811" s="353">
        <v>365</v>
      </c>
      <c r="B811" s="352">
        <v>100</v>
      </c>
      <c r="C811" s="357">
        <v>100</v>
      </c>
      <c r="D811" s="357"/>
      <c r="E811" s="357"/>
      <c r="F811" s="357"/>
      <c r="G811" s="315" t="s">
        <v>1360</v>
      </c>
      <c r="H811" s="329"/>
      <c r="I811" s="326"/>
      <c r="J811" s="358"/>
      <c r="K811" s="358">
        <f t="shared" si="84"/>
        <v>0</v>
      </c>
      <c r="L811" s="358"/>
      <c r="M811" s="358"/>
      <c r="N811" s="327"/>
      <c r="O811" s="328"/>
      <c r="P811" s="326">
        <v>0</v>
      </c>
      <c r="Q811" s="327"/>
      <c r="R811" s="329"/>
      <c r="S811" s="326"/>
      <c r="T811" s="326"/>
      <c r="U811" s="326"/>
      <c r="V811" s="326"/>
      <c r="W811" s="326"/>
      <c r="X811" s="326"/>
      <c r="Y811" s="1350">
        <f t="shared" si="85"/>
        <v>0</v>
      </c>
      <c r="Z811" s="1351">
        <f t="shared" si="86"/>
        <v>0</v>
      </c>
      <c r="AA811" s="326">
        <f t="shared" si="87"/>
        <v>0</v>
      </c>
      <c r="AB811" s="326">
        <f t="shared" si="88"/>
        <v>0</v>
      </c>
      <c r="AC811" s="326">
        <f t="shared" si="89"/>
        <v>0</v>
      </c>
      <c r="AD811" s="326">
        <f t="shared" si="90"/>
        <v>0</v>
      </c>
      <c r="AE811" s="326">
        <f t="shared" si="91"/>
        <v>0</v>
      </c>
      <c r="AF811" s="355" t="s">
        <v>1361</v>
      </c>
      <c r="AG811" s="838"/>
      <c r="AH811" s="744"/>
      <c r="AI811" s="292"/>
      <c r="AK811" s="300"/>
      <c r="AS811" s="452"/>
    </row>
    <row r="812" spans="1:45" s="299" customFormat="1" ht="27.6">
      <c r="A812" s="353">
        <v>365</v>
      </c>
      <c r="B812" s="352">
        <v>100</v>
      </c>
      <c r="C812" s="357">
        <v>200</v>
      </c>
      <c r="D812" s="357"/>
      <c r="E812" s="357"/>
      <c r="F812" s="357"/>
      <c r="G812" s="315" t="s">
        <v>1362</v>
      </c>
      <c r="H812" s="329"/>
      <c r="I812" s="326"/>
      <c r="J812" s="358"/>
      <c r="K812" s="358">
        <f t="shared" si="84"/>
        <v>0</v>
      </c>
      <c r="L812" s="358"/>
      <c r="M812" s="358"/>
      <c r="N812" s="327"/>
      <c r="O812" s="328"/>
      <c r="P812" s="326">
        <v>0</v>
      </c>
      <c r="Q812" s="327"/>
      <c r="R812" s="329"/>
      <c r="S812" s="326"/>
      <c r="T812" s="326"/>
      <c r="U812" s="326"/>
      <c r="V812" s="326"/>
      <c r="W812" s="326"/>
      <c r="X812" s="326"/>
      <c r="Y812" s="1350">
        <f t="shared" si="85"/>
        <v>0</v>
      </c>
      <c r="Z812" s="1351">
        <f t="shared" si="86"/>
        <v>0</v>
      </c>
      <c r="AA812" s="326">
        <f t="shared" si="87"/>
        <v>0</v>
      </c>
      <c r="AB812" s="326">
        <f t="shared" si="88"/>
        <v>0</v>
      </c>
      <c r="AC812" s="326">
        <f t="shared" si="89"/>
        <v>0</v>
      </c>
      <c r="AD812" s="326">
        <f t="shared" si="90"/>
        <v>0</v>
      </c>
      <c r="AE812" s="326">
        <f t="shared" si="91"/>
        <v>0</v>
      </c>
      <c r="AF812" s="355" t="s">
        <v>1363</v>
      </c>
      <c r="AG812" s="838"/>
      <c r="AH812" s="744"/>
      <c r="AI812" s="292"/>
      <c r="AK812" s="300"/>
      <c r="AS812" s="452"/>
    </row>
    <row r="813" spans="1:45" s="299" customFormat="1" ht="41.4">
      <c r="A813" s="353">
        <v>365</v>
      </c>
      <c r="B813" s="352">
        <v>100</v>
      </c>
      <c r="C813" s="357">
        <v>300</v>
      </c>
      <c r="D813" s="357"/>
      <c r="E813" s="357"/>
      <c r="F813" s="357"/>
      <c r="G813" s="315" t="s">
        <v>1364</v>
      </c>
      <c r="H813" s="329"/>
      <c r="I813" s="326"/>
      <c r="J813" s="358"/>
      <c r="K813" s="358">
        <f t="shared" si="84"/>
        <v>0</v>
      </c>
      <c r="L813" s="358"/>
      <c r="M813" s="358"/>
      <c r="N813" s="327"/>
      <c r="O813" s="328"/>
      <c r="P813" s="326">
        <v>0</v>
      </c>
      <c r="Q813" s="327"/>
      <c r="R813" s="329"/>
      <c r="S813" s="326"/>
      <c r="T813" s="326"/>
      <c r="U813" s="326"/>
      <c r="V813" s="326"/>
      <c r="W813" s="326"/>
      <c r="X813" s="326"/>
      <c r="Y813" s="1350">
        <f t="shared" si="85"/>
        <v>0</v>
      </c>
      <c r="Z813" s="1351">
        <f t="shared" si="86"/>
        <v>0</v>
      </c>
      <c r="AA813" s="326">
        <f t="shared" si="87"/>
        <v>0</v>
      </c>
      <c r="AB813" s="326">
        <f t="shared" si="88"/>
        <v>0</v>
      </c>
      <c r="AC813" s="326">
        <f t="shared" si="89"/>
        <v>0</v>
      </c>
      <c r="AD813" s="326">
        <f t="shared" si="90"/>
        <v>0</v>
      </c>
      <c r="AE813" s="326">
        <f t="shared" si="91"/>
        <v>0</v>
      </c>
      <c r="AF813" s="355" t="s">
        <v>1365</v>
      </c>
      <c r="AG813" s="838"/>
      <c r="AH813" s="744"/>
      <c r="AI813" s="292"/>
      <c r="AK813" s="300"/>
      <c r="AS813" s="452"/>
    </row>
    <row r="814" spans="1:45" s="299" customFormat="1" ht="41.4">
      <c r="A814" s="353">
        <v>365</v>
      </c>
      <c r="B814" s="352">
        <v>100</v>
      </c>
      <c r="C814" s="357">
        <v>400</v>
      </c>
      <c r="D814" s="357"/>
      <c r="E814" s="357"/>
      <c r="F814" s="357"/>
      <c r="G814" s="315" t="s">
        <v>1366</v>
      </c>
      <c r="H814" s="329"/>
      <c r="I814" s="326"/>
      <c r="J814" s="358"/>
      <c r="K814" s="358">
        <f t="shared" si="84"/>
        <v>0</v>
      </c>
      <c r="L814" s="358"/>
      <c r="M814" s="358"/>
      <c r="N814" s="327"/>
      <c r="O814" s="328"/>
      <c r="P814" s="326">
        <v>0</v>
      </c>
      <c r="Q814" s="327"/>
      <c r="R814" s="329"/>
      <c r="S814" s="326"/>
      <c r="T814" s="326"/>
      <c r="U814" s="326"/>
      <c r="V814" s="326"/>
      <c r="W814" s="326"/>
      <c r="X814" s="326"/>
      <c r="Y814" s="1350">
        <f t="shared" si="85"/>
        <v>0</v>
      </c>
      <c r="Z814" s="1351">
        <f t="shared" si="86"/>
        <v>0</v>
      </c>
      <c r="AA814" s="326">
        <f t="shared" si="87"/>
        <v>0</v>
      </c>
      <c r="AB814" s="326">
        <f t="shared" si="88"/>
        <v>0</v>
      </c>
      <c r="AC814" s="326">
        <f t="shared" si="89"/>
        <v>0</v>
      </c>
      <c r="AD814" s="326">
        <f t="shared" si="90"/>
        <v>0</v>
      </c>
      <c r="AE814" s="326">
        <f t="shared" si="91"/>
        <v>0</v>
      </c>
      <c r="AF814" s="355" t="s">
        <v>1367</v>
      </c>
      <c r="AG814" s="838"/>
      <c r="AH814" s="744"/>
      <c r="AI814" s="292"/>
      <c r="AK814" s="300"/>
      <c r="AS814" s="452"/>
    </row>
    <row r="815" spans="1:45" s="299" customFormat="1" ht="27.6">
      <c r="A815" s="353">
        <v>365</v>
      </c>
      <c r="B815" s="352">
        <v>100</v>
      </c>
      <c r="C815" s="357">
        <v>450</v>
      </c>
      <c r="D815" s="357"/>
      <c r="E815" s="357"/>
      <c r="F815" s="357"/>
      <c r="G815" s="315" t="s">
        <v>1368</v>
      </c>
      <c r="H815" s="401"/>
      <c r="I815" s="395"/>
      <c r="J815" s="402"/>
      <c r="K815" s="402">
        <f t="shared" si="84"/>
        <v>0</v>
      </c>
      <c r="L815" s="402"/>
      <c r="M815" s="402"/>
      <c r="N815" s="396"/>
      <c r="O815" s="798"/>
      <c r="P815" s="395">
        <v>0</v>
      </c>
      <c r="Q815" s="396"/>
      <c r="R815" s="401"/>
      <c r="S815" s="395"/>
      <c r="T815" s="395"/>
      <c r="U815" s="395"/>
      <c r="V815" s="395"/>
      <c r="W815" s="395"/>
      <c r="X815" s="395"/>
      <c r="Y815" s="1354">
        <f t="shared" si="85"/>
        <v>0</v>
      </c>
      <c r="Z815" s="1355">
        <f t="shared" si="86"/>
        <v>0</v>
      </c>
      <c r="AA815" s="395">
        <f t="shared" si="87"/>
        <v>0</v>
      </c>
      <c r="AB815" s="395">
        <f t="shared" si="88"/>
        <v>0</v>
      </c>
      <c r="AC815" s="395">
        <f t="shared" si="89"/>
        <v>0</v>
      </c>
      <c r="AD815" s="395">
        <f t="shared" si="90"/>
        <v>0</v>
      </c>
      <c r="AE815" s="395">
        <f t="shared" si="91"/>
        <v>0</v>
      </c>
      <c r="AF815" s="355" t="s">
        <v>1369</v>
      </c>
      <c r="AG815" s="838"/>
      <c r="AH815" s="744"/>
      <c r="AI815" s="292"/>
      <c r="AK815" s="300"/>
      <c r="AS815" s="452"/>
    </row>
    <row r="816" spans="1:45" s="299" customFormat="1">
      <c r="A816" s="353">
        <v>365</v>
      </c>
      <c r="B816" s="352">
        <v>100</v>
      </c>
      <c r="C816" s="352">
        <v>500</v>
      </c>
      <c r="D816" s="352"/>
      <c r="E816" s="352"/>
      <c r="F816" s="352"/>
      <c r="G816" s="323" t="s">
        <v>1370</v>
      </c>
      <c r="H816" s="334"/>
      <c r="I816" s="331"/>
      <c r="J816" s="359"/>
      <c r="K816" s="359">
        <f t="shared" si="84"/>
        <v>0</v>
      </c>
      <c r="L816" s="359"/>
      <c r="M816" s="359"/>
      <c r="N816" s="332"/>
      <c r="O816" s="333"/>
      <c r="P816" s="331">
        <v>0</v>
      </c>
      <c r="Q816" s="332"/>
      <c r="R816" s="334"/>
      <c r="S816" s="331"/>
      <c r="T816" s="331"/>
      <c r="U816" s="331"/>
      <c r="V816" s="331"/>
      <c r="W816" s="331"/>
      <c r="X816" s="331"/>
      <c r="Y816" s="1352">
        <f t="shared" si="85"/>
        <v>0</v>
      </c>
      <c r="Z816" s="1353">
        <f t="shared" si="86"/>
        <v>0</v>
      </c>
      <c r="AA816" s="331">
        <f t="shared" si="87"/>
        <v>0</v>
      </c>
      <c r="AB816" s="331">
        <f t="shared" si="88"/>
        <v>0</v>
      </c>
      <c r="AC816" s="331">
        <f t="shared" si="89"/>
        <v>0</v>
      </c>
      <c r="AD816" s="331">
        <f t="shared" si="90"/>
        <v>0</v>
      </c>
      <c r="AE816" s="331">
        <f t="shared" si="91"/>
        <v>0</v>
      </c>
      <c r="AF816" s="355" t="s">
        <v>1371</v>
      </c>
      <c r="AG816" s="838"/>
      <c r="AH816" s="744"/>
      <c r="AI816" s="292"/>
      <c r="AK816" s="300"/>
      <c r="AS816" s="452"/>
    </row>
    <row r="817" spans="1:45" s="299" customFormat="1" ht="27.6">
      <c r="A817" s="353">
        <v>365</v>
      </c>
      <c r="B817" s="352">
        <v>100</v>
      </c>
      <c r="C817" s="352">
        <v>500</v>
      </c>
      <c r="D817" s="357">
        <v>100</v>
      </c>
      <c r="E817" s="357"/>
      <c r="F817" s="357"/>
      <c r="G817" s="407" t="s">
        <v>1372</v>
      </c>
      <c r="H817" s="405"/>
      <c r="I817" s="340"/>
      <c r="J817" s="406"/>
      <c r="K817" s="406">
        <f t="shared" si="84"/>
        <v>0</v>
      </c>
      <c r="L817" s="406"/>
      <c r="M817" s="406"/>
      <c r="N817" s="341"/>
      <c r="O817" s="813"/>
      <c r="P817" s="340">
        <v>0</v>
      </c>
      <c r="Q817" s="341"/>
      <c r="R817" s="405"/>
      <c r="S817" s="340"/>
      <c r="T817" s="340"/>
      <c r="U817" s="340"/>
      <c r="V817" s="340"/>
      <c r="W817" s="340"/>
      <c r="X817" s="340"/>
      <c r="Y817" s="1377">
        <f t="shared" si="85"/>
        <v>0</v>
      </c>
      <c r="Z817" s="1378">
        <f t="shared" si="86"/>
        <v>0</v>
      </c>
      <c r="AA817" s="340">
        <f t="shared" si="87"/>
        <v>0</v>
      </c>
      <c r="AB817" s="340">
        <f t="shared" si="88"/>
        <v>0</v>
      </c>
      <c r="AC817" s="340">
        <f t="shared" si="89"/>
        <v>0</v>
      </c>
      <c r="AD817" s="340">
        <f t="shared" si="90"/>
        <v>0</v>
      </c>
      <c r="AE817" s="340">
        <f t="shared" si="91"/>
        <v>0</v>
      </c>
      <c r="AF817" s="355"/>
      <c r="AG817" s="838"/>
      <c r="AH817" s="744"/>
      <c r="AI817" s="292"/>
      <c r="AK817" s="300"/>
      <c r="AS817" s="452"/>
    </row>
    <row r="818" spans="1:45" s="299" customFormat="1">
      <c r="A818" s="353">
        <v>365</v>
      </c>
      <c r="B818" s="352">
        <v>100</v>
      </c>
      <c r="C818" s="352">
        <v>500</v>
      </c>
      <c r="D818" s="357">
        <v>200</v>
      </c>
      <c r="E818" s="357"/>
      <c r="F818" s="357"/>
      <c r="G818" s="315" t="s">
        <v>1373</v>
      </c>
      <c r="H818" s="405"/>
      <c r="I818" s="340"/>
      <c r="J818" s="406"/>
      <c r="K818" s="406">
        <f t="shared" si="84"/>
        <v>0</v>
      </c>
      <c r="L818" s="406"/>
      <c r="M818" s="406"/>
      <c r="N818" s="341"/>
      <c r="O818" s="813"/>
      <c r="P818" s="340">
        <v>0</v>
      </c>
      <c r="Q818" s="341"/>
      <c r="R818" s="405"/>
      <c r="S818" s="340"/>
      <c r="T818" s="340"/>
      <c r="U818" s="340"/>
      <c r="V818" s="340"/>
      <c r="W818" s="340"/>
      <c r="X818" s="340"/>
      <c r="Y818" s="1377">
        <f t="shared" si="85"/>
        <v>0</v>
      </c>
      <c r="Z818" s="1378">
        <f t="shared" si="86"/>
        <v>0</v>
      </c>
      <c r="AA818" s="340">
        <f t="shared" si="87"/>
        <v>0</v>
      </c>
      <c r="AB818" s="340">
        <f t="shared" si="88"/>
        <v>0</v>
      </c>
      <c r="AC818" s="340">
        <f t="shared" si="89"/>
        <v>0</v>
      </c>
      <c r="AD818" s="340">
        <f t="shared" si="90"/>
        <v>0</v>
      </c>
      <c r="AE818" s="340">
        <f t="shared" si="91"/>
        <v>0</v>
      </c>
      <c r="AF818" s="355"/>
      <c r="AG818" s="838"/>
      <c r="AH818" s="744"/>
      <c r="AI818" s="292"/>
      <c r="AK818" s="300"/>
      <c r="AS818" s="452"/>
    </row>
    <row r="819" spans="1:45" s="299" customFormat="1">
      <c r="A819" s="353">
        <v>365</v>
      </c>
      <c r="B819" s="352">
        <v>100</v>
      </c>
      <c r="C819" s="352">
        <v>500</v>
      </c>
      <c r="D819" s="357">
        <v>900</v>
      </c>
      <c r="E819" s="357"/>
      <c r="F819" s="357"/>
      <c r="G819" s="315" t="s">
        <v>1370</v>
      </c>
      <c r="H819" s="405"/>
      <c r="I819" s="340"/>
      <c r="J819" s="406"/>
      <c r="K819" s="406">
        <f t="shared" si="84"/>
        <v>0</v>
      </c>
      <c r="L819" s="406"/>
      <c r="M819" s="406"/>
      <c r="N819" s="341"/>
      <c r="O819" s="813"/>
      <c r="P819" s="340">
        <v>0</v>
      </c>
      <c r="Q819" s="341"/>
      <c r="R819" s="405"/>
      <c r="S819" s="340"/>
      <c r="T819" s="340"/>
      <c r="U819" s="340"/>
      <c r="V819" s="340"/>
      <c r="W819" s="340"/>
      <c r="X819" s="340"/>
      <c r="Y819" s="1377">
        <f t="shared" si="85"/>
        <v>0</v>
      </c>
      <c r="Z819" s="1378">
        <f t="shared" si="86"/>
        <v>0</v>
      </c>
      <c r="AA819" s="340">
        <f t="shared" si="87"/>
        <v>0</v>
      </c>
      <c r="AB819" s="340">
        <f t="shared" si="88"/>
        <v>0</v>
      </c>
      <c r="AC819" s="340">
        <f t="shared" si="89"/>
        <v>0</v>
      </c>
      <c r="AD819" s="340">
        <f t="shared" si="90"/>
        <v>0</v>
      </c>
      <c r="AE819" s="340">
        <f t="shared" si="91"/>
        <v>0</v>
      </c>
      <c r="AF819" s="355"/>
      <c r="AG819" s="838"/>
      <c r="AH819" s="744"/>
      <c r="AI819" s="292"/>
      <c r="AK819" s="300"/>
      <c r="AS819" s="452"/>
    </row>
    <row r="820" spans="1:45" s="299" customFormat="1" ht="27.6">
      <c r="A820" s="353">
        <v>365</v>
      </c>
      <c r="B820" s="352">
        <v>100</v>
      </c>
      <c r="C820" s="357">
        <v>600</v>
      </c>
      <c r="D820" s="357"/>
      <c r="E820" s="357"/>
      <c r="F820" s="357"/>
      <c r="G820" s="315" t="s">
        <v>1374</v>
      </c>
      <c r="H820" s="405"/>
      <c r="I820" s="340"/>
      <c r="J820" s="406"/>
      <c r="K820" s="406">
        <f t="shared" si="84"/>
        <v>0</v>
      </c>
      <c r="L820" s="406"/>
      <c r="M820" s="406"/>
      <c r="N820" s="341"/>
      <c r="O820" s="813"/>
      <c r="P820" s="340">
        <v>0</v>
      </c>
      <c r="Q820" s="341"/>
      <c r="R820" s="405"/>
      <c r="S820" s="340"/>
      <c r="T820" s="340"/>
      <c r="U820" s="340"/>
      <c r="V820" s="340"/>
      <c r="W820" s="340"/>
      <c r="X820" s="340"/>
      <c r="Y820" s="1377">
        <f t="shared" si="85"/>
        <v>0</v>
      </c>
      <c r="Z820" s="1378">
        <f t="shared" si="86"/>
        <v>0</v>
      </c>
      <c r="AA820" s="340">
        <f t="shared" si="87"/>
        <v>0</v>
      </c>
      <c r="AB820" s="340">
        <f t="shared" si="88"/>
        <v>0</v>
      </c>
      <c r="AC820" s="340">
        <f t="shared" si="89"/>
        <v>0</v>
      </c>
      <c r="AD820" s="340">
        <f t="shared" si="90"/>
        <v>0</v>
      </c>
      <c r="AE820" s="340">
        <f t="shared" si="91"/>
        <v>0</v>
      </c>
      <c r="AF820" s="355" t="s">
        <v>1375</v>
      </c>
      <c r="AG820" s="838"/>
      <c r="AH820" s="744"/>
      <c r="AI820" s="292"/>
      <c r="AK820" s="300"/>
      <c r="AS820" s="452"/>
    </row>
    <row r="821" spans="1:45" s="299" customFormat="1" ht="27.6">
      <c r="A821" s="353">
        <v>365</v>
      </c>
      <c r="B821" s="352">
        <v>200</v>
      </c>
      <c r="C821" s="352"/>
      <c r="D821" s="352"/>
      <c r="E821" s="352"/>
      <c r="F821" s="352"/>
      <c r="G821" s="323" t="s">
        <v>1376</v>
      </c>
      <c r="H821" s="334"/>
      <c r="I821" s="331"/>
      <c r="J821" s="359"/>
      <c r="K821" s="359">
        <f t="shared" si="84"/>
        <v>0</v>
      </c>
      <c r="L821" s="359"/>
      <c r="M821" s="359"/>
      <c r="N821" s="332"/>
      <c r="O821" s="333"/>
      <c r="P821" s="331">
        <v>0</v>
      </c>
      <c r="Q821" s="332"/>
      <c r="R821" s="334"/>
      <c r="S821" s="331"/>
      <c r="T821" s="331"/>
      <c r="U821" s="331"/>
      <c r="V821" s="331"/>
      <c r="W821" s="331"/>
      <c r="X821" s="331"/>
      <c r="Y821" s="1352">
        <f t="shared" si="85"/>
        <v>0</v>
      </c>
      <c r="Z821" s="1353">
        <f t="shared" si="86"/>
        <v>0</v>
      </c>
      <c r="AA821" s="331">
        <f t="shared" si="87"/>
        <v>0</v>
      </c>
      <c r="AB821" s="331">
        <f t="shared" si="88"/>
        <v>0</v>
      </c>
      <c r="AC821" s="331">
        <f t="shared" si="89"/>
        <v>0</v>
      </c>
      <c r="AD821" s="331">
        <f t="shared" si="90"/>
        <v>0</v>
      </c>
      <c r="AE821" s="331">
        <f t="shared" si="91"/>
        <v>0</v>
      </c>
      <c r="AF821" s="355" t="s">
        <v>1377</v>
      </c>
      <c r="AG821" s="838"/>
      <c r="AH821" s="744"/>
      <c r="AI821" s="292"/>
      <c r="AK821" s="300"/>
      <c r="AS821" s="452"/>
    </row>
    <row r="822" spans="1:45" s="299" customFormat="1" ht="27.6">
      <c r="A822" s="353">
        <v>365</v>
      </c>
      <c r="B822" s="352">
        <v>200</v>
      </c>
      <c r="C822" s="357">
        <v>100</v>
      </c>
      <c r="D822" s="357"/>
      <c r="E822" s="357"/>
      <c r="F822" s="357"/>
      <c r="G822" s="315" t="s">
        <v>1378</v>
      </c>
      <c r="H822" s="314"/>
      <c r="I822" s="311"/>
      <c r="J822" s="319"/>
      <c r="K822" s="319">
        <f t="shared" ref="K822:K885" si="92">+I822+J822</f>
        <v>0</v>
      </c>
      <c r="L822" s="319"/>
      <c r="M822" s="319"/>
      <c r="N822" s="312"/>
      <c r="O822" s="313"/>
      <c r="P822" s="311">
        <v>0</v>
      </c>
      <c r="Q822" s="312"/>
      <c r="R822" s="314"/>
      <c r="S822" s="311"/>
      <c r="T822" s="311"/>
      <c r="U822" s="311"/>
      <c r="V822" s="311"/>
      <c r="W822" s="311"/>
      <c r="X822" s="311"/>
      <c r="Y822" s="1356">
        <f t="shared" si="85"/>
        <v>0</v>
      </c>
      <c r="Z822" s="1357">
        <f t="shared" si="86"/>
        <v>0</v>
      </c>
      <c r="AA822" s="311">
        <f t="shared" si="87"/>
        <v>0</v>
      </c>
      <c r="AB822" s="311">
        <f t="shared" si="88"/>
        <v>0</v>
      </c>
      <c r="AC822" s="311">
        <f t="shared" si="89"/>
        <v>0</v>
      </c>
      <c r="AD822" s="311">
        <f t="shared" si="90"/>
        <v>0</v>
      </c>
      <c r="AE822" s="311">
        <f t="shared" si="91"/>
        <v>0</v>
      </c>
      <c r="AF822" s="355"/>
      <c r="AG822" s="838"/>
      <c r="AH822" s="744"/>
      <c r="AI822" s="292"/>
      <c r="AK822" s="300"/>
      <c r="AS822" s="452"/>
    </row>
    <row r="823" spans="1:45" s="299" customFormat="1" ht="27.6">
      <c r="A823" s="353">
        <v>365</v>
      </c>
      <c r="B823" s="352">
        <v>200</v>
      </c>
      <c r="C823" s="357">
        <v>200</v>
      </c>
      <c r="D823" s="357"/>
      <c r="E823" s="357"/>
      <c r="F823" s="357"/>
      <c r="G823" s="315" t="s">
        <v>1379</v>
      </c>
      <c r="H823" s="314"/>
      <c r="I823" s="311"/>
      <c r="J823" s="319"/>
      <c r="K823" s="319">
        <f t="shared" si="92"/>
        <v>0</v>
      </c>
      <c r="L823" s="319"/>
      <c r="M823" s="319"/>
      <c r="N823" s="312"/>
      <c r="O823" s="313"/>
      <c r="P823" s="311">
        <v>0</v>
      </c>
      <c r="Q823" s="312"/>
      <c r="R823" s="314"/>
      <c r="S823" s="311"/>
      <c r="T823" s="311"/>
      <c r="U823" s="311"/>
      <c r="V823" s="311"/>
      <c r="W823" s="311"/>
      <c r="X823" s="311"/>
      <c r="Y823" s="1356">
        <f t="shared" si="85"/>
        <v>0</v>
      </c>
      <c r="Z823" s="1357">
        <f t="shared" si="86"/>
        <v>0</v>
      </c>
      <c r="AA823" s="311">
        <f t="shared" si="87"/>
        <v>0</v>
      </c>
      <c r="AB823" s="311">
        <f t="shared" si="88"/>
        <v>0</v>
      </c>
      <c r="AC823" s="311">
        <f t="shared" si="89"/>
        <v>0</v>
      </c>
      <c r="AD823" s="311">
        <f t="shared" si="90"/>
        <v>0</v>
      </c>
      <c r="AE823" s="311">
        <f t="shared" si="91"/>
        <v>0</v>
      </c>
      <c r="AF823" s="355"/>
      <c r="AG823" s="838"/>
      <c r="AH823" s="744"/>
      <c r="AI823" s="292"/>
      <c r="AK823" s="300"/>
      <c r="AS823" s="452"/>
    </row>
    <row r="824" spans="1:45" s="299" customFormat="1" ht="27.6">
      <c r="A824" s="353">
        <v>365</v>
      </c>
      <c r="B824" s="352">
        <v>300</v>
      </c>
      <c r="C824" s="352"/>
      <c r="D824" s="352"/>
      <c r="E824" s="352"/>
      <c r="F824" s="352"/>
      <c r="G824" s="323" t="s">
        <v>1380</v>
      </c>
      <c r="H824" s="334"/>
      <c r="I824" s="331"/>
      <c r="J824" s="359"/>
      <c r="K824" s="359">
        <f t="shared" si="92"/>
        <v>0</v>
      </c>
      <c r="L824" s="359"/>
      <c r="M824" s="359"/>
      <c r="N824" s="332"/>
      <c r="O824" s="333"/>
      <c r="P824" s="331">
        <v>0</v>
      </c>
      <c r="Q824" s="332"/>
      <c r="R824" s="334"/>
      <c r="S824" s="331"/>
      <c r="T824" s="331"/>
      <c r="U824" s="331"/>
      <c r="V824" s="331"/>
      <c r="W824" s="331"/>
      <c r="X824" s="331"/>
      <c r="Y824" s="1352">
        <f t="shared" si="85"/>
        <v>0</v>
      </c>
      <c r="Z824" s="1353">
        <f t="shared" si="86"/>
        <v>0</v>
      </c>
      <c r="AA824" s="331">
        <f t="shared" si="87"/>
        <v>0</v>
      </c>
      <c r="AB824" s="331">
        <f t="shared" si="88"/>
        <v>0</v>
      </c>
      <c r="AC824" s="331">
        <f t="shared" si="89"/>
        <v>0</v>
      </c>
      <c r="AD824" s="331">
        <f t="shared" si="90"/>
        <v>0</v>
      </c>
      <c r="AE824" s="331">
        <f t="shared" si="91"/>
        <v>0</v>
      </c>
      <c r="AF824" s="355" t="s">
        <v>1381</v>
      </c>
      <c r="AG824" s="838"/>
      <c r="AH824" s="744"/>
      <c r="AI824" s="292"/>
      <c r="AK824" s="300"/>
      <c r="AS824" s="452"/>
    </row>
    <row r="825" spans="1:45" s="299" customFormat="1" ht="55.2">
      <c r="A825" s="353">
        <v>365</v>
      </c>
      <c r="B825" s="352">
        <v>300</v>
      </c>
      <c r="C825" s="357">
        <v>50</v>
      </c>
      <c r="D825" s="352"/>
      <c r="E825" s="352"/>
      <c r="F825" s="352"/>
      <c r="G825" s="315" t="s">
        <v>1382</v>
      </c>
      <c r="H825" s="329"/>
      <c r="I825" s="326"/>
      <c r="J825" s="358"/>
      <c r="K825" s="358">
        <f t="shared" si="92"/>
        <v>0</v>
      </c>
      <c r="L825" s="358"/>
      <c r="M825" s="358"/>
      <c r="N825" s="327"/>
      <c r="O825" s="328"/>
      <c r="P825" s="326">
        <v>0</v>
      </c>
      <c r="Q825" s="327"/>
      <c r="R825" s="329">
        <v>606847.74</v>
      </c>
      <c r="S825" s="326">
        <v>606847.74</v>
      </c>
      <c r="T825" s="326"/>
      <c r="U825" s="326">
        <v>805164.74</v>
      </c>
      <c r="V825" s="326">
        <v>805164.74</v>
      </c>
      <c r="W825" s="326"/>
      <c r="X825" s="326"/>
      <c r="Y825" s="1350">
        <f t="shared" si="85"/>
        <v>606847.74</v>
      </c>
      <c r="Z825" s="1351">
        <f t="shared" si="86"/>
        <v>606847.74</v>
      </c>
      <c r="AA825" s="326">
        <f t="shared" si="87"/>
        <v>0</v>
      </c>
      <c r="AB825" s="326">
        <f t="shared" si="88"/>
        <v>805164.74</v>
      </c>
      <c r="AC825" s="326">
        <f t="shared" si="89"/>
        <v>805164.74</v>
      </c>
      <c r="AD825" s="326">
        <f t="shared" si="90"/>
        <v>0</v>
      </c>
      <c r="AE825" s="326">
        <f t="shared" si="91"/>
        <v>0</v>
      </c>
      <c r="AF825" s="355" t="s">
        <v>1383</v>
      </c>
      <c r="AG825" s="838"/>
      <c r="AH825" s="744"/>
      <c r="AI825" s="292"/>
      <c r="AK825" s="300"/>
      <c r="AS825" s="452"/>
    </row>
    <row r="826" spans="1:45" s="299" customFormat="1" ht="41.4">
      <c r="A826" s="353">
        <v>365</v>
      </c>
      <c r="B826" s="352">
        <v>300</v>
      </c>
      <c r="C826" s="357">
        <v>100</v>
      </c>
      <c r="D826" s="357"/>
      <c r="E826" s="357"/>
      <c r="F826" s="357"/>
      <c r="G826" s="315" t="s">
        <v>1384</v>
      </c>
      <c r="H826" s="329"/>
      <c r="I826" s="326"/>
      <c r="J826" s="358"/>
      <c r="K826" s="358">
        <f t="shared" si="92"/>
        <v>0</v>
      </c>
      <c r="L826" s="358"/>
      <c r="M826" s="358"/>
      <c r="N826" s="327"/>
      <c r="O826" s="328"/>
      <c r="P826" s="326">
        <v>0</v>
      </c>
      <c r="Q826" s="327"/>
      <c r="R826" s="329"/>
      <c r="S826" s="326"/>
      <c r="T826" s="326"/>
      <c r="U826" s="326"/>
      <c r="V826" s="326"/>
      <c r="W826" s="326"/>
      <c r="X826" s="326"/>
      <c r="Y826" s="1350">
        <f t="shared" si="85"/>
        <v>0</v>
      </c>
      <c r="Z826" s="1351">
        <f t="shared" si="86"/>
        <v>0</v>
      </c>
      <c r="AA826" s="326">
        <f t="shared" si="87"/>
        <v>0</v>
      </c>
      <c r="AB826" s="326">
        <f t="shared" si="88"/>
        <v>0</v>
      </c>
      <c r="AC826" s="326">
        <f t="shared" si="89"/>
        <v>0</v>
      </c>
      <c r="AD826" s="326">
        <f t="shared" si="90"/>
        <v>0</v>
      </c>
      <c r="AE826" s="326">
        <f t="shared" si="91"/>
        <v>0</v>
      </c>
      <c r="AF826" s="355" t="s">
        <v>1385</v>
      </c>
      <c r="AG826" s="838"/>
      <c r="AH826" s="744"/>
      <c r="AI826" s="292"/>
      <c r="AK826" s="300"/>
      <c r="AS826" s="452"/>
    </row>
    <row r="827" spans="1:45" s="299" customFormat="1" ht="41.4">
      <c r="A827" s="353">
        <v>365</v>
      </c>
      <c r="B827" s="352">
        <v>300</v>
      </c>
      <c r="C827" s="357">
        <v>200</v>
      </c>
      <c r="D827" s="357"/>
      <c r="E827" s="357"/>
      <c r="F827" s="357"/>
      <c r="G827" s="315" t="s">
        <v>1386</v>
      </c>
      <c r="H827" s="329"/>
      <c r="I827" s="326"/>
      <c r="J827" s="358"/>
      <c r="K827" s="358">
        <f t="shared" si="92"/>
        <v>0</v>
      </c>
      <c r="L827" s="358"/>
      <c r="M827" s="358"/>
      <c r="N827" s="327"/>
      <c r="O827" s="328"/>
      <c r="P827" s="326">
        <v>0</v>
      </c>
      <c r="Q827" s="327"/>
      <c r="R827" s="329">
        <v>104000</v>
      </c>
      <c r="S827" s="326"/>
      <c r="T827" s="326"/>
      <c r="U827" s="326">
        <v>79000</v>
      </c>
      <c r="V827" s="326"/>
      <c r="W827" s="326"/>
      <c r="X827" s="326"/>
      <c r="Y827" s="1350">
        <f t="shared" si="85"/>
        <v>104000</v>
      </c>
      <c r="Z827" s="1351">
        <f t="shared" si="86"/>
        <v>0</v>
      </c>
      <c r="AA827" s="326">
        <f t="shared" si="87"/>
        <v>0</v>
      </c>
      <c r="AB827" s="326">
        <f t="shared" si="88"/>
        <v>79000</v>
      </c>
      <c r="AC827" s="326">
        <f t="shared" si="89"/>
        <v>0</v>
      </c>
      <c r="AD827" s="326">
        <f t="shared" si="90"/>
        <v>0</v>
      </c>
      <c r="AE827" s="326">
        <f t="shared" si="91"/>
        <v>0</v>
      </c>
      <c r="AF827" s="355" t="s">
        <v>1387</v>
      </c>
      <c r="AG827" s="838"/>
      <c r="AH827" s="744"/>
      <c r="AI827" s="292"/>
      <c r="AK827" s="300"/>
      <c r="AS827" s="452"/>
    </row>
    <row r="828" spans="1:45" s="299" customFormat="1" ht="41.4">
      <c r="A828" s="353">
        <v>365</v>
      </c>
      <c r="B828" s="352">
        <v>300</v>
      </c>
      <c r="C828" s="357">
        <v>300</v>
      </c>
      <c r="D828" s="357"/>
      <c r="E828" s="357"/>
      <c r="F828" s="357"/>
      <c r="G828" s="315" t="s">
        <v>1388</v>
      </c>
      <c r="H828" s="329"/>
      <c r="I828" s="326"/>
      <c r="J828" s="358"/>
      <c r="K828" s="358">
        <f t="shared" si="92"/>
        <v>0</v>
      </c>
      <c r="L828" s="358"/>
      <c r="M828" s="358"/>
      <c r="N828" s="327"/>
      <c r="O828" s="328"/>
      <c r="P828" s="326">
        <v>0</v>
      </c>
      <c r="Q828" s="327"/>
      <c r="R828" s="329">
        <v>3690794.51</v>
      </c>
      <c r="S828" s="326"/>
      <c r="T828" s="326"/>
      <c r="U828" s="326">
        <v>0</v>
      </c>
      <c r="V828" s="326"/>
      <c r="W828" s="326"/>
      <c r="X828" s="326"/>
      <c r="Y828" s="1350">
        <f t="shared" si="85"/>
        <v>3690794.51</v>
      </c>
      <c r="Z828" s="1351">
        <f t="shared" si="86"/>
        <v>0</v>
      </c>
      <c r="AA828" s="326">
        <f t="shared" si="87"/>
        <v>0</v>
      </c>
      <c r="AB828" s="326">
        <f t="shared" si="88"/>
        <v>0</v>
      </c>
      <c r="AC828" s="326">
        <f t="shared" si="89"/>
        <v>0</v>
      </c>
      <c r="AD828" s="326">
        <f t="shared" si="90"/>
        <v>0</v>
      </c>
      <c r="AE828" s="326">
        <f t="shared" si="91"/>
        <v>0</v>
      </c>
      <c r="AF828" s="355" t="s">
        <v>1389</v>
      </c>
      <c r="AG828" s="838"/>
      <c r="AH828" s="744"/>
      <c r="AI828" s="292"/>
      <c r="AK828" s="300"/>
      <c r="AS828" s="452"/>
    </row>
    <row r="829" spans="1:45" s="299" customFormat="1" ht="41.4">
      <c r="A829" s="353">
        <v>365</v>
      </c>
      <c r="B829" s="352">
        <v>300</v>
      </c>
      <c r="C829" s="352">
        <v>400</v>
      </c>
      <c r="D829" s="352"/>
      <c r="E829" s="352"/>
      <c r="F829" s="352"/>
      <c r="G829" s="323" t="s">
        <v>1390</v>
      </c>
      <c r="H829" s="334"/>
      <c r="I829" s="331"/>
      <c r="J829" s="359"/>
      <c r="K829" s="359">
        <f t="shared" si="92"/>
        <v>0</v>
      </c>
      <c r="L829" s="359"/>
      <c r="M829" s="359"/>
      <c r="N829" s="332"/>
      <c r="O829" s="333"/>
      <c r="P829" s="331">
        <v>0</v>
      </c>
      <c r="Q829" s="332"/>
      <c r="R829" s="334"/>
      <c r="S829" s="331"/>
      <c r="T829" s="331"/>
      <c r="U829" s="331"/>
      <c r="V829" s="331"/>
      <c r="W829" s="331"/>
      <c r="X829" s="331"/>
      <c r="Y829" s="1352">
        <f t="shared" si="85"/>
        <v>0</v>
      </c>
      <c r="Z829" s="1353">
        <f t="shared" si="86"/>
        <v>0</v>
      </c>
      <c r="AA829" s="331">
        <f t="shared" si="87"/>
        <v>0</v>
      </c>
      <c r="AB829" s="331">
        <f t="shared" si="88"/>
        <v>0</v>
      </c>
      <c r="AC829" s="331">
        <f t="shared" si="89"/>
        <v>0</v>
      </c>
      <c r="AD829" s="331">
        <f t="shared" si="90"/>
        <v>0</v>
      </c>
      <c r="AE829" s="331">
        <f t="shared" si="91"/>
        <v>0</v>
      </c>
      <c r="AF829" s="355" t="s">
        <v>1391</v>
      </c>
      <c r="AG829" s="838"/>
      <c r="AH829" s="744"/>
      <c r="AI829" s="292"/>
      <c r="AK829" s="300"/>
      <c r="AS829" s="452"/>
    </row>
    <row r="830" spans="1:45" s="299" customFormat="1" ht="41.4">
      <c r="A830" s="353">
        <v>365</v>
      </c>
      <c r="B830" s="352">
        <v>300</v>
      </c>
      <c r="C830" s="352">
        <v>400</v>
      </c>
      <c r="D830" s="357">
        <v>100</v>
      </c>
      <c r="E830" s="357"/>
      <c r="F830" s="357"/>
      <c r="G830" s="315" t="s">
        <v>1392</v>
      </c>
      <c r="H830" s="314"/>
      <c r="I830" s="311"/>
      <c r="J830" s="319"/>
      <c r="K830" s="319">
        <f t="shared" si="92"/>
        <v>0</v>
      </c>
      <c r="L830" s="319"/>
      <c r="M830" s="319"/>
      <c r="N830" s="312"/>
      <c r="O830" s="313"/>
      <c r="P830" s="311">
        <v>0</v>
      </c>
      <c r="Q830" s="312"/>
      <c r="R830" s="314">
        <v>12719</v>
      </c>
      <c r="S830" s="311"/>
      <c r="T830" s="311"/>
      <c r="U830" s="311"/>
      <c r="V830" s="311"/>
      <c r="W830" s="311"/>
      <c r="X830" s="311"/>
      <c r="Y830" s="1356">
        <f t="shared" si="85"/>
        <v>12719</v>
      </c>
      <c r="Z830" s="1357">
        <f t="shared" si="86"/>
        <v>0</v>
      </c>
      <c r="AA830" s="311">
        <f t="shared" si="87"/>
        <v>0</v>
      </c>
      <c r="AB830" s="311">
        <f t="shared" si="88"/>
        <v>0</v>
      </c>
      <c r="AC830" s="311">
        <f t="shared" si="89"/>
        <v>0</v>
      </c>
      <c r="AD830" s="311">
        <f t="shared" si="90"/>
        <v>0</v>
      </c>
      <c r="AE830" s="311">
        <f t="shared" si="91"/>
        <v>0</v>
      </c>
      <c r="AF830" s="355"/>
      <c r="AG830" s="838"/>
      <c r="AH830" s="744"/>
      <c r="AI830" s="292"/>
      <c r="AK830" s="300"/>
      <c r="AS830" s="452"/>
    </row>
    <row r="831" spans="1:45" s="299" customFormat="1" ht="41.4">
      <c r="A831" s="353">
        <v>365</v>
      </c>
      <c r="B831" s="352">
        <v>300</v>
      </c>
      <c r="C831" s="352">
        <v>400</v>
      </c>
      <c r="D831" s="357">
        <v>200</v>
      </c>
      <c r="E831" s="357"/>
      <c r="F831" s="357"/>
      <c r="G831" s="315" t="s">
        <v>1393</v>
      </c>
      <c r="H831" s="314"/>
      <c r="I831" s="311"/>
      <c r="J831" s="319"/>
      <c r="K831" s="319">
        <f t="shared" si="92"/>
        <v>0</v>
      </c>
      <c r="L831" s="319"/>
      <c r="M831" s="319"/>
      <c r="N831" s="312"/>
      <c r="O831" s="313"/>
      <c r="P831" s="311">
        <v>0</v>
      </c>
      <c r="Q831" s="312"/>
      <c r="R831" s="314">
        <v>28359.66</v>
      </c>
      <c r="S831" s="326"/>
      <c r="T831" s="326"/>
      <c r="U831" s="326">
        <v>30000</v>
      </c>
      <c r="V831" s="326"/>
      <c r="W831" s="326"/>
      <c r="X831" s="326">
        <v>30000</v>
      </c>
      <c r="Y831" s="1350">
        <f t="shared" si="85"/>
        <v>28359.66</v>
      </c>
      <c r="Z831" s="1351">
        <f t="shared" si="86"/>
        <v>0</v>
      </c>
      <c r="AA831" s="326">
        <f t="shared" si="87"/>
        <v>0</v>
      </c>
      <c r="AB831" s="326">
        <f t="shared" si="88"/>
        <v>30000</v>
      </c>
      <c r="AC831" s="326">
        <f t="shared" si="89"/>
        <v>0</v>
      </c>
      <c r="AD831" s="326">
        <f t="shared" si="90"/>
        <v>0</v>
      </c>
      <c r="AE831" s="326">
        <f t="shared" si="91"/>
        <v>30000</v>
      </c>
      <c r="AF831" s="355"/>
      <c r="AG831" s="838"/>
      <c r="AH831" s="744"/>
      <c r="AI831" s="292"/>
      <c r="AK831" s="300"/>
      <c r="AS831" s="452"/>
    </row>
    <row r="832" spans="1:45" s="299" customFormat="1" ht="41.4">
      <c r="A832" s="353">
        <v>365</v>
      </c>
      <c r="B832" s="352">
        <v>300</v>
      </c>
      <c r="C832" s="352">
        <v>500</v>
      </c>
      <c r="D832" s="357"/>
      <c r="E832" s="357"/>
      <c r="F832" s="357"/>
      <c r="G832" s="315" t="s">
        <v>1394</v>
      </c>
      <c r="H832" s="314"/>
      <c r="I832" s="311"/>
      <c r="J832" s="319"/>
      <c r="K832" s="319">
        <f t="shared" si="92"/>
        <v>0</v>
      </c>
      <c r="L832" s="319"/>
      <c r="M832" s="319"/>
      <c r="N832" s="312"/>
      <c r="O832" s="313"/>
      <c r="P832" s="311">
        <v>0</v>
      </c>
      <c r="Q832" s="312"/>
      <c r="R832" s="314">
        <v>414975.48</v>
      </c>
      <c r="S832" s="311"/>
      <c r="T832" s="311"/>
      <c r="U832" s="311"/>
      <c r="V832" s="311"/>
      <c r="W832" s="311"/>
      <c r="X832" s="311"/>
      <c r="Y832" s="1356">
        <f t="shared" si="85"/>
        <v>414975.48</v>
      </c>
      <c r="Z832" s="1357">
        <f t="shared" si="86"/>
        <v>0</v>
      </c>
      <c r="AA832" s="311">
        <f t="shared" si="87"/>
        <v>0</v>
      </c>
      <c r="AB832" s="311">
        <f t="shared" si="88"/>
        <v>0</v>
      </c>
      <c r="AC832" s="311">
        <f t="shared" si="89"/>
        <v>0</v>
      </c>
      <c r="AD832" s="311">
        <f t="shared" si="90"/>
        <v>0</v>
      </c>
      <c r="AE832" s="311">
        <f t="shared" si="91"/>
        <v>0</v>
      </c>
      <c r="AF832" s="355" t="s">
        <v>1395</v>
      </c>
      <c r="AG832" s="838"/>
      <c r="AH832" s="744"/>
      <c r="AI832" s="292"/>
      <c r="AK832" s="300"/>
      <c r="AS832" s="452"/>
    </row>
    <row r="833" spans="1:50" s="299" customFormat="1">
      <c r="A833" s="353">
        <v>365</v>
      </c>
      <c r="B833" s="352">
        <v>400</v>
      </c>
      <c r="C833" s="352"/>
      <c r="D833" s="357"/>
      <c r="E833" s="357"/>
      <c r="F833" s="357"/>
      <c r="G833" s="323" t="s">
        <v>1396</v>
      </c>
      <c r="H833" s="334"/>
      <c r="I833" s="331"/>
      <c r="J833" s="359"/>
      <c r="K833" s="359">
        <f t="shared" si="92"/>
        <v>0</v>
      </c>
      <c r="L833" s="359"/>
      <c r="M833" s="359"/>
      <c r="N833" s="332"/>
      <c r="O833" s="333"/>
      <c r="P833" s="331">
        <v>0</v>
      </c>
      <c r="Q833" s="332"/>
      <c r="R833" s="334"/>
      <c r="S833" s="331"/>
      <c r="T833" s="331"/>
      <c r="U833" s="331"/>
      <c r="V833" s="331"/>
      <c r="W833" s="331"/>
      <c r="X833" s="331"/>
      <c r="Y833" s="1352">
        <f t="shared" si="85"/>
        <v>0</v>
      </c>
      <c r="Z833" s="1353">
        <f t="shared" si="86"/>
        <v>0</v>
      </c>
      <c r="AA833" s="331">
        <f t="shared" si="87"/>
        <v>0</v>
      </c>
      <c r="AB833" s="331">
        <f t="shared" si="88"/>
        <v>0</v>
      </c>
      <c r="AC833" s="331">
        <f t="shared" si="89"/>
        <v>0</v>
      </c>
      <c r="AD833" s="331">
        <f t="shared" si="90"/>
        <v>0</v>
      </c>
      <c r="AE833" s="331">
        <f t="shared" si="91"/>
        <v>0</v>
      </c>
      <c r="AF833" s="355" t="s">
        <v>1397</v>
      </c>
      <c r="AG833" s="838"/>
      <c r="AH833" s="744"/>
      <c r="AI833" s="292"/>
      <c r="AK833" s="300"/>
      <c r="AS833" s="452"/>
    </row>
    <row r="834" spans="1:50" s="299" customFormat="1" ht="27.6">
      <c r="A834" s="353">
        <v>365</v>
      </c>
      <c r="B834" s="352">
        <v>400</v>
      </c>
      <c r="C834" s="357">
        <v>200</v>
      </c>
      <c r="D834" s="357"/>
      <c r="E834" s="357"/>
      <c r="F834" s="357"/>
      <c r="G834" s="315" t="s">
        <v>1398</v>
      </c>
      <c r="H834" s="329"/>
      <c r="I834" s="326"/>
      <c r="J834" s="358"/>
      <c r="K834" s="358">
        <f t="shared" si="92"/>
        <v>0</v>
      </c>
      <c r="L834" s="358"/>
      <c r="M834" s="358"/>
      <c r="N834" s="327"/>
      <c r="O834" s="328"/>
      <c r="P834" s="326">
        <v>0</v>
      </c>
      <c r="Q834" s="327"/>
      <c r="R834" s="329"/>
      <c r="S834" s="326"/>
      <c r="T834" s="326"/>
      <c r="U834" s="326"/>
      <c r="V834" s="326"/>
      <c r="W834" s="326"/>
      <c r="X834" s="326"/>
      <c r="Y834" s="1350">
        <f t="shared" si="85"/>
        <v>0</v>
      </c>
      <c r="Z834" s="1351">
        <f t="shared" si="86"/>
        <v>0</v>
      </c>
      <c r="AA834" s="326">
        <f t="shared" si="87"/>
        <v>0</v>
      </c>
      <c r="AB834" s="326">
        <f t="shared" si="88"/>
        <v>0</v>
      </c>
      <c r="AC834" s="326">
        <f t="shared" si="89"/>
        <v>0</v>
      </c>
      <c r="AD834" s="326">
        <f t="shared" si="90"/>
        <v>0</v>
      </c>
      <c r="AE834" s="326">
        <f t="shared" si="91"/>
        <v>0</v>
      </c>
      <c r="AF834" s="355" t="s">
        <v>1399</v>
      </c>
      <c r="AG834" s="838"/>
      <c r="AH834" s="744"/>
      <c r="AI834" s="292"/>
      <c r="AK834" s="300"/>
      <c r="AS834" s="452"/>
    </row>
    <row r="835" spans="1:50" s="299" customFormat="1" ht="27.6">
      <c r="A835" s="353">
        <v>365</v>
      </c>
      <c r="B835" s="352">
        <v>400</v>
      </c>
      <c r="C835" s="357">
        <v>300</v>
      </c>
      <c r="D835" s="357"/>
      <c r="E835" s="357"/>
      <c r="F835" s="357"/>
      <c r="G835" s="315" t="s">
        <v>1400</v>
      </c>
      <c r="H835" s="329"/>
      <c r="I835" s="326"/>
      <c r="J835" s="358"/>
      <c r="K835" s="358">
        <f t="shared" si="92"/>
        <v>0</v>
      </c>
      <c r="L835" s="358"/>
      <c r="M835" s="358"/>
      <c r="N835" s="327"/>
      <c r="O835" s="328"/>
      <c r="P835" s="326">
        <v>0</v>
      </c>
      <c r="Q835" s="327"/>
      <c r="R835" s="329"/>
      <c r="S835" s="326"/>
      <c r="T835" s="326"/>
      <c r="U835" s="326"/>
      <c r="V835" s="326"/>
      <c r="W835" s="326"/>
      <c r="X835" s="326"/>
      <c r="Y835" s="1350">
        <f t="shared" si="85"/>
        <v>0</v>
      </c>
      <c r="Z835" s="1351">
        <f t="shared" si="86"/>
        <v>0</v>
      </c>
      <c r="AA835" s="326">
        <f t="shared" si="87"/>
        <v>0</v>
      </c>
      <c r="AB835" s="326">
        <f t="shared" si="88"/>
        <v>0</v>
      </c>
      <c r="AC835" s="326">
        <f t="shared" si="89"/>
        <v>0</v>
      </c>
      <c r="AD835" s="326">
        <f t="shared" si="90"/>
        <v>0</v>
      </c>
      <c r="AE835" s="326">
        <f t="shared" si="91"/>
        <v>0</v>
      </c>
      <c r="AF835" s="355" t="s">
        <v>1401</v>
      </c>
      <c r="AG835" s="838"/>
      <c r="AH835" s="744"/>
      <c r="AI835" s="292"/>
      <c r="AK835" s="300"/>
      <c r="AS835" s="452"/>
    </row>
    <row r="836" spans="1:50" s="299" customFormat="1" ht="27.6">
      <c r="A836" s="353">
        <v>365</v>
      </c>
      <c r="B836" s="352">
        <v>400</v>
      </c>
      <c r="C836" s="357">
        <v>400</v>
      </c>
      <c r="D836" s="357"/>
      <c r="E836" s="357"/>
      <c r="F836" s="357"/>
      <c r="G836" s="315" t="s">
        <v>1402</v>
      </c>
      <c r="H836" s="329"/>
      <c r="I836" s="326"/>
      <c r="J836" s="358"/>
      <c r="K836" s="358">
        <f t="shared" si="92"/>
        <v>0</v>
      </c>
      <c r="L836" s="358"/>
      <c r="M836" s="358"/>
      <c r="N836" s="327"/>
      <c r="O836" s="328"/>
      <c r="P836" s="326">
        <v>0</v>
      </c>
      <c r="Q836" s="327"/>
      <c r="R836" s="314">
        <v>222799.24</v>
      </c>
      <c r="S836" s="326"/>
      <c r="T836" s="618"/>
      <c r="U836" s="326">
        <v>222850.63</v>
      </c>
      <c r="V836" s="358"/>
      <c r="W836" s="326"/>
      <c r="X836" s="326">
        <v>523812</v>
      </c>
      <c r="Y836" s="1350">
        <f t="shared" si="85"/>
        <v>222799.24</v>
      </c>
      <c r="Z836" s="1351">
        <f t="shared" si="86"/>
        <v>0</v>
      </c>
      <c r="AA836" s="326">
        <f t="shared" si="87"/>
        <v>0</v>
      </c>
      <c r="AB836" s="326">
        <f t="shared" si="88"/>
        <v>222850.63</v>
      </c>
      <c r="AC836" s="326">
        <f t="shared" si="89"/>
        <v>0</v>
      </c>
      <c r="AD836" s="326">
        <f t="shared" si="90"/>
        <v>0</v>
      </c>
      <c r="AE836" s="326">
        <f t="shared" si="91"/>
        <v>523812</v>
      </c>
      <c r="AF836" s="355" t="s">
        <v>1403</v>
      </c>
      <c r="AG836" s="838"/>
      <c r="AH836" s="744"/>
      <c r="AI836" s="297"/>
      <c r="AJ836" s="742"/>
      <c r="AK836" s="300"/>
      <c r="AM836" s="742"/>
      <c r="AS836" s="452"/>
    </row>
    <row r="837" spans="1:50" s="299" customFormat="1" ht="27.6">
      <c r="A837" s="353">
        <v>365</v>
      </c>
      <c r="B837" s="352">
        <v>400</v>
      </c>
      <c r="C837" s="357">
        <v>500</v>
      </c>
      <c r="D837" s="357"/>
      <c r="E837" s="357"/>
      <c r="F837" s="357"/>
      <c r="G837" s="315" t="s">
        <v>1404</v>
      </c>
      <c r="H837" s="329"/>
      <c r="I837" s="326"/>
      <c r="J837" s="358"/>
      <c r="K837" s="358">
        <f t="shared" si="92"/>
        <v>0</v>
      </c>
      <c r="L837" s="358"/>
      <c r="M837" s="358"/>
      <c r="N837" s="327"/>
      <c r="O837" s="328"/>
      <c r="P837" s="326">
        <v>0</v>
      </c>
      <c r="Q837" s="327"/>
      <c r="R837" s="314">
        <v>24755.48</v>
      </c>
      <c r="S837" s="326"/>
      <c r="T837" s="618"/>
      <c r="U837" s="326">
        <v>24761.18</v>
      </c>
      <c r="V837" s="358"/>
      <c r="W837" s="326"/>
      <c r="X837" s="326">
        <v>118614</v>
      </c>
      <c r="Y837" s="1350">
        <f t="shared" si="85"/>
        <v>24755.48</v>
      </c>
      <c r="Z837" s="1351">
        <f t="shared" si="86"/>
        <v>0</v>
      </c>
      <c r="AA837" s="326">
        <f t="shared" si="87"/>
        <v>0</v>
      </c>
      <c r="AB837" s="326">
        <f t="shared" si="88"/>
        <v>24761.18</v>
      </c>
      <c r="AC837" s="326">
        <f t="shared" si="89"/>
        <v>0</v>
      </c>
      <c r="AD837" s="326">
        <f t="shared" si="90"/>
        <v>0</v>
      </c>
      <c r="AE837" s="326">
        <f t="shared" si="91"/>
        <v>118614</v>
      </c>
      <c r="AF837" s="355" t="s">
        <v>1405</v>
      </c>
      <c r="AG837" s="838"/>
      <c r="AH837" s="744"/>
      <c r="AI837" s="292"/>
      <c r="AJ837" s="742"/>
      <c r="AK837" s="300"/>
      <c r="AM837" s="742"/>
      <c r="AS837" s="452"/>
    </row>
    <row r="838" spans="1:50" s="299" customFormat="1">
      <c r="A838" s="353">
        <v>365</v>
      </c>
      <c r="B838" s="352">
        <v>400</v>
      </c>
      <c r="C838" s="357">
        <v>600</v>
      </c>
      <c r="D838" s="357"/>
      <c r="E838" s="357"/>
      <c r="F838" s="357"/>
      <c r="G838" s="315" t="s">
        <v>1406</v>
      </c>
      <c r="H838" s="329"/>
      <c r="I838" s="326"/>
      <c r="J838" s="358"/>
      <c r="K838" s="358">
        <f t="shared" si="92"/>
        <v>0</v>
      </c>
      <c r="L838" s="358"/>
      <c r="M838" s="358"/>
      <c r="N838" s="327"/>
      <c r="O838" s="328"/>
      <c r="P838" s="326">
        <v>0</v>
      </c>
      <c r="Q838" s="327"/>
      <c r="R838" s="314">
        <v>147326.21</v>
      </c>
      <c r="S838" s="326"/>
      <c r="T838" s="618"/>
      <c r="U838" s="326">
        <v>147564.98000000001</v>
      </c>
      <c r="V838" s="358"/>
      <c r="W838" s="326"/>
      <c r="X838" s="326">
        <v>100145</v>
      </c>
      <c r="Y838" s="1350">
        <f t="shared" si="85"/>
        <v>147326.21</v>
      </c>
      <c r="Z838" s="1351">
        <f t="shared" si="86"/>
        <v>0</v>
      </c>
      <c r="AA838" s="326">
        <f t="shared" si="87"/>
        <v>0</v>
      </c>
      <c r="AB838" s="326">
        <f t="shared" si="88"/>
        <v>147564.98000000001</v>
      </c>
      <c r="AC838" s="326">
        <f t="shared" si="89"/>
        <v>0</v>
      </c>
      <c r="AD838" s="326">
        <f t="shared" si="90"/>
        <v>0</v>
      </c>
      <c r="AE838" s="326">
        <f t="shared" si="91"/>
        <v>100145</v>
      </c>
      <c r="AF838" s="355" t="s">
        <v>1407</v>
      </c>
      <c r="AG838" s="838"/>
      <c r="AH838" s="744"/>
      <c r="AI838" s="292"/>
      <c r="AK838" s="300"/>
      <c r="AS838" s="452"/>
    </row>
    <row r="839" spans="1:50" s="299" customFormat="1" ht="27.6">
      <c r="A839" s="353">
        <v>365</v>
      </c>
      <c r="B839" s="352">
        <v>400</v>
      </c>
      <c r="C839" s="357">
        <v>610</v>
      </c>
      <c r="D839" s="404"/>
      <c r="E839" s="404"/>
      <c r="F839" s="404"/>
      <c r="G839" s="315" t="s">
        <v>1408</v>
      </c>
      <c r="H839" s="329"/>
      <c r="I839" s="326"/>
      <c r="J839" s="358"/>
      <c r="K839" s="358">
        <f t="shared" si="92"/>
        <v>0</v>
      </c>
      <c r="L839" s="358"/>
      <c r="M839" s="358"/>
      <c r="N839" s="327"/>
      <c r="O839" s="328"/>
      <c r="P839" s="326">
        <v>0</v>
      </c>
      <c r="Q839" s="327"/>
      <c r="R839" s="329"/>
      <c r="S839" s="326"/>
      <c r="T839" s="326"/>
      <c r="U839" s="326"/>
      <c r="V839" s="326"/>
      <c r="W839" s="326"/>
      <c r="X839" s="326"/>
      <c r="Y839" s="1350">
        <f t="shared" ref="Y839:Y902" si="93">+H839+O839+R839</f>
        <v>0</v>
      </c>
      <c r="Z839" s="1351">
        <f t="shared" ref="Z839:Z902" si="94">+I839+S839</f>
        <v>0</v>
      </c>
      <c r="AA839" s="326">
        <f t="shared" ref="AA839:AA902" si="95">+J839+T839</f>
        <v>0</v>
      </c>
      <c r="AB839" s="326">
        <f t="shared" ref="AB839:AB902" si="96">+K839+P839+U839</f>
        <v>0</v>
      </c>
      <c r="AC839" s="326">
        <f t="shared" ref="AC839:AC902" si="97">+L839+V839</f>
        <v>0</v>
      </c>
      <c r="AD839" s="326">
        <f t="shared" ref="AD839:AD902" si="98">+M839+W839</f>
        <v>0</v>
      </c>
      <c r="AE839" s="326">
        <f t="shared" ref="AE839:AE902" si="99">+N839+X839+Q839</f>
        <v>0</v>
      </c>
      <c r="AF839" s="355" t="s">
        <v>1409</v>
      </c>
      <c r="AG839" s="838"/>
      <c r="AH839" s="744"/>
      <c r="AI839" s="292"/>
      <c r="AK839" s="300"/>
      <c r="AS839" s="452"/>
    </row>
    <row r="840" spans="1:50" s="299" customFormat="1" ht="27.6">
      <c r="A840" s="353">
        <v>365</v>
      </c>
      <c r="B840" s="352">
        <v>400</v>
      </c>
      <c r="C840" s="357">
        <v>620</v>
      </c>
      <c r="D840" s="404"/>
      <c r="E840" s="404"/>
      <c r="F840" s="404"/>
      <c r="G840" s="315" t="s">
        <v>1410</v>
      </c>
      <c r="H840" s="329"/>
      <c r="I840" s="326"/>
      <c r="J840" s="358"/>
      <c r="K840" s="358">
        <f t="shared" si="92"/>
        <v>0</v>
      </c>
      <c r="L840" s="358"/>
      <c r="M840" s="358"/>
      <c r="N840" s="327"/>
      <c r="O840" s="328"/>
      <c r="P840" s="326">
        <v>0</v>
      </c>
      <c r="Q840" s="327"/>
      <c r="R840" s="329"/>
      <c r="S840" s="326"/>
      <c r="T840" s="326"/>
      <c r="U840" s="326"/>
      <c r="V840" s="326"/>
      <c r="W840" s="326"/>
      <c r="X840" s="326"/>
      <c r="Y840" s="1350">
        <f t="shared" si="93"/>
        <v>0</v>
      </c>
      <c r="Z840" s="1351">
        <f t="shared" si="94"/>
        <v>0</v>
      </c>
      <c r="AA840" s="326">
        <f t="shared" si="95"/>
        <v>0</v>
      </c>
      <c r="AB840" s="326">
        <f t="shared" si="96"/>
        <v>0</v>
      </c>
      <c r="AC840" s="326">
        <f t="shared" si="97"/>
        <v>0</v>
      </c>
      <c r="AD840" s="326">
        <f t="shared" si="98"/>
        <v>0</v>
      </c>
      <c r="AE840" s="326">
        <f t="shared" si="99"/>
        <v>0</v>
      </c>
      <c r="AF840" s="355" t="s">
        <v>1411</v>
      </c>
      <c r="AG840" s="838"/>
      <c r="AH840" s="744"/>
      <c r="AI840" s="292"/>
      <c r="AK840" s="300"/>
      <c r="AS840" s="452"/>
    </row>
    <row r="841" spans="1:50" s="299" customFormat="1">
      <c r="A841" s="353">
        <v>365</v>
      </c>
      <c r="B841" s="352">
        <v>400</v>
      </c>
      <c r="C841" s="357">
        <v>630</v>
      </c>
      <c r="D841" s="404"/>
      <c r="E841" s="404"/>
      <c r="F841" s="404"/>
      <c r="G841" s="315" t="s">
        <v>1412</v>
      </c>
      <c r="H841" s="329"/>
      <c r="I841" s="326"/>
      <c r="J841" s="358"/>
      <c r="K841" s="358">
        <f t="shared" si="92"/>
        <v>0</v>
      </c>
      <c r="L841" s="358"/>
      <c r="M841" s="358"/>
      <c r="N841" s="327"/>
      <c r="O841" s="328"/>
      <c r="P841" s="326">
        <v>0</v>
      </c>
      <c r="Q841" s="327"/>
      <c r="R841" s="329"/>
      <c r="S841" s="326"/>
      <c r="T841" s="326"/>
      <c r="U841" s="326"/>
      <c r="V841" s="326"/>
      <c r="W841" s="326"/>
      <c r="X841" s="326"/>
      <c r="Y841" s="1350">
        <f t="shared" si="93"/>
        <v>0</v>
      </c>
      <c r="Z841" s="1351">
        <f t="shared" si="94"/>
        <v>0</v>
      </c>
      <c r="AA841" s="326">
        <f t="shared" si="95"/>
        <v>0</v>
      </c>
      <c r="AB841" s="326">
        <f t="shared" si="96"/>
        <v>0</v>
      </c>
      <c r="AC841" s="326">
        <f t="shared" si="97"/>
        <v>0</v>
      </c>
      <c r="AD841" s="326">
        <f t="shared" si="98"/>
        <v>0</v>
      </c>
      <c r="AE841" s="326">
        <f t="shared" si="99"/>
        <v>0</v>
      </c>
      <c r="AF841" s="355" t="s">
        <v>1413</v>
      </c>
      <c r="AG841" s="838"/>
      <c r="AH841" s="744"/>
      <c r="AI841" s="292"/>
      <c r="AK841" s="300"/>
      <c r="AS841" s="452"/>
    </row>
    <row r="842" spans="1:50" s="299" customFormat="1" ht="27.6">
      <c r="A842" s="353">
        <v>365</v>
      </c>
      <c r="B842" s="352">
        <v>400</v>
      </c>
      <c r="C842" s="357">
        <v>640</v>
      </c>
      <c r="D842" s="404"/>
      <c r="E842" s="404"/>
      <c r="F842" s="404"/>
      <c r="G842" s="315" t="s">
        <v>1414</v>
      </c>
      <c r="H842" s="329"/>
      <c r="I842" s="326"/>
      <c r="J842" s="358"/>
      <c r="K842" s="358">
        <f t="shared" si="92"/>
        <v>0</v>
      </c>
      <c r="L842" s="358"/>
      <c r="M842" s="358"/>
      <c r="N842" s="327"/>
      <c r="O842" s="328"/>
      <c r="P842" s="326">
        <v>0</v>
      </c>
      <c r="Q842" s="327"/>
      <c r="R842" s="329"/>
      <c r="S842" s="326"/>
      <c r="T842" s="326"/>
      <c r="U842" s="326"/>
      <c r="V842" s="326"/>
      <c r="W842" s="326"/>
      <c r="X842" s="326"/>
      <c r="Y842" s="1350">
        <f t="shared" si="93"/>
        <v>0</v>
      </c>
      <c r="Z842" s="1351">
        <f t="shared" si="94"/>
        <v>0</v>
      </c>
      <c r="AA842" s="326">
        <f t="shared" si="95"/>
        <v>0</v>
      </c>
      <c r="AB842" s="326">
        <f t="shared" si="96"/>
        <v>0</v>
      </c>
      <c r="AC842" s="326">
        <f t="shared" si="97"/>
        <v>0</v>
      </c>
      <c r="AD842" s="326">
        <f t="shared" si="98"/>
        <v>0</v>
      </c>
      <c r="AE842" s="326">
        <f t="shared" si="99"/>
        <v>0</v>
      </c>
      <c r="AF842" s="355" t="s">
        <v>1415</v>
      </c>
      <c r="AG842" s="838"/>
      <c r="AH842" s="744"/>
      <c r="AI842" s="292"/>
      <c r="AK842" s="300"/>
      <c r="AS842" s="1405">
        <v>1062166.1100000001</v>
      </c>
      <c r="AT842" s="1405">
        <v>162698</v>
      </c>
      <c r="AU842" s="1405">
        <v>276913</v>
      </c>
      <c r="AV842" s="1405">
        <v>180157.67</v>
      </c>
      <c r="AW842" s="1405">
        <v>137093.26999999999</v>
      </c>
      <c r="AX842" s="744">
        <f>SUM(AS842:AW842)</f>
        <v>1819028.05</v>
      </c>
    </row>
    <row r="843" spans="1:50" s="299" customFormat="1">
      <c r="A843" s="353">
        <v>365</v>
      </c>
      <c r="B843" s="352">
        <v>400</v>
      </c>
      <c r="C843" s="354">
        <v>700</v>
      </c>
      <c r="D843" s="352"/>
      <c r="E843" s="352"/>
      <c r="F843" s="352"/>
      <c r="G843" s="403" t="s">
        <v>1396</v>
      </c>
      <c r="H843" s="401"/>
      <c r="I843" s="395"/>
      <c r="J843" s="402"/>
      <c r="K843" s="402">
        <f t="shared" si="92"/>
        <v>0</v>
      </c>
      <c r="L843" s="402"/>
      <c r="M843" s="402"/>
      <c r="N843" s="396"/>
      <c r="O843" s="798"/>
      <c r="P843" s="395">
        <v>0</v>
      </c>
      <c r="Q843" s="396"/>
      <c r="R843" s="401"/>
      <c r="S843" s="395"/>
      <c r="T843" s="395"/>
      <c r="U843" s="395"/>
      <c r="V843" s="395"/>
      <c r="W843" s="395"/>
      <c r="X843" s="395"/>
      <c r="Y843" s="1354">
        <f t="shared" si="93"/>
        <v>0</v>
      </c>
      <c r="Z843" s="1355">
        <f t="shared" si="94"/>
        <v>0</v>
      </c>
      <c r="AA843" s="395">
        <f t="shared" si="95"/>
        <v>0</v>
      </c>
      <c r="AB843" s="395">
        <f t="shared" si="96"/>
        <v>0</v>
      </c>
      <c r="AC843" s="395">
        <f t="shared" si="97"/>
        <v>0</v>
      </c>
      <c r="AD843" s="395">
        <f t="shared" si="98"/>
        <v>0</v>
      </c>
      <c r="AE843" s="395">
        <f t="shared" si="99"/>
        <v>0</v>
      </c>
      <c r="AF843" s="355" t="s">
        <v>1416</v>
      </c>
      <c r="AG843" s="838"/>
      <c r="AH843" s="744"/>
      <c r="AI843" s="292"/>
      <c r="AK843" s="300"/>
      <c r="AS843" s="452">
        <v>-699468.03</v>
      </c>
      <c r="AU843" s="452">
        <v>-30108</v>
      </c>
      <c r="AV843" s="452">
        <v>-180157.67</v>
      </c>
      <c r="AW843" s="452">
        <v>-137093.26999999999</v>
      </c>
    </row>
    <row r="844" spans="1:50" s="299" customFormat="1">
      <c r="A844" s="338">
        <v>370</v>
      </c>
      <c r="B844" s="337">
        <v>0</v>
      </c>
      <c r="C844" s="345">
        <v>0</v>
      </c>
      <c r="D844" s="337">
        <v>0</v>
      </c>
      <c r="E844" s="337">
        <v>0</v>
      </c>
      <c r="F844" s="337">
        <v>0</v>
      </c>
      <c r="G844" s="391" t="s">
        <v>1417</v>
      </c>
      <c r="H844" s="334"/>
      <c r="I844" s="331"/>
      <c r="J844" s="359"/>
      <c r="K844" s="359">
        <f t="shared" si="92"/>
        <v>0</v>
      </c>
      <c r="L844" s="359"/>
      <c r="M844" s="359"/>
      <c r="N844" s="332"/>
      <c r="O844" s="333"/>
      <c r="P844" s="331">
        <v>0</v>
      </c>
      <c r="Q844" s="332"/>
      <c r="R844" s="334"/>
      <c r="S844" s="331"/>
      <c r="T844" s="331"/>
      <c r="U844" s="331"/>
      <c r="V844" s="331"/>
      <c r="W844" s="331"/>
      <c r="X844" s="331"/>
      <c r="Y844" s="1352">
        <f t="shared" si="93"/>
        <v>0</v>
      </c>
      <c r="Z844" s="1353">
        <f t="shared" si="94"/>
        <v>0</v>
      </c>
      <c r="AA844" s="331">
        <f t="shared" si="95"/>
        <v>0</v>
      </c>
      <c r="AB844" s="331">
        <f t="shared" si="96"/>
        <v>0</v>
      </c>
      <c r="AC844" s="331">
        <f t="shared" si="97"/>
        <v>0</v>
      </c>
      <c r="AD844" s="331">
        <f t="shared" si="98"/>
        <v>0</v>
      </c>
      <c r="AE844" s="331">
        <f t="shared" si="99"/>
        <v>0</v>
      </c>
      <c r="AF844" s="330" t="s">
        <v>1418</v>
      </c>
      <c r="AG844" s="837"/>
      <c r="AH844" s="744">
        <f>SUM(Y844:Y849)</f>
        <v>203.41</v>
      </c>
      <c r="AI844" s="292" t="s">
        <v>2261</v>
      </c>
      <c r="AK844" s="300"/>
      <c r="AS844" s="452">
        <v>-165354</v>
      </c>
      <c r="AX844" s="452">
        <v>1046827</v>
      </c>
    </row>
    <row r="845" spans="1:50" s="299" customFormat="1" ht="27.6">
      <c r="A845" s="318">
        <v>370</v>
      </c>
      <c r="B845" s="316">
        <v>100</v>
      </c>
      <c r="C845" s="316"/>
      <c r="D845" s="316"/>
      <c r="E845" s="316"/>
      <c r="F845" s="316"/>
      <c r="G845" s="315" t="s">
        <v>1419</v>
      </c>
      <c r="H845" s="329"/>
      <c r="I845" s="326"/>
      <c r="J845" s="358"/>
      <c r="K845" s="358">
        <f t="shared" si="92"/>
        <v>0</v>
      </c>
      <c r="L845" s="358"/>
      <c r="M845" s="358"/>
      <c r="N845" s="327"/>
      <c r="O845" s="328"/>
      <c r="P845" s="326">
        <v>0</v>
      </c>
      <c r="Q845" s="327"/>
      <c r="R845" s="329"/>
      <c r="S845" s="326"/>
      <c r="T845" s="326"/>
      <c r="U845" s="326"/>
      <c r="V845" s="326"/>
      <c r="W845" s="326"/>
      <c r="X845" s="326"/>
      <c r="Y845" s="1350">
        <f t="shared" si="93"/>
        <v>0</v>
      </c>
      <c r="Z845" s="1351">
        <f t="shared" si="94"/>
        <v>0</v>
      </c>
      <c r="AA845" s="326">
        <f t="shared" si="95"/>
        <v>0</v>
      </c>
      <c r="AB845" s="326">
        <f t="shared" si="96"/>
        <v>0</v>
      </c>
      <c r="AC845" s="326">
        <f t="shared" si="97"/>
        <v>0</v>
      </c>
      <c r="AD845" s="326">
        <f t="shared" si="98"/>
        <v>0</v>
      </c>
      <c r="AE845" s="326">
        <f t="shared" si="99"/>
        <v>0</v>
      </c>
      <c r="AF845" s="310" t="s">
        <v>1420</v>
      </c>
      <c r="AG845" s="841"/>
      <c r="AH845" s="744"/>
      <c r="AI845" s="292"/>
      <c r="AK845" s="300"/>
      <c r="AQ845" s="1403">
        <f>-Y1168</f>
        <v>-19877.110000059009</v>
      </c>
      <c r="AS845" s="744">
        <f>SUM(AS842:AS844)</f>
        <v>197344.08000000007</v>
      </c>
      <c r="AT845" s="744">
        <f>SUM(AT842:AT844)</f>
        <v>162698</v>
      </c>
      <c r="AU845" s="744">
        <f>SUM(AU842:AU844)</f>
        <v>246805</v>
      </c>
      <c r="AV845" s="744">
        <f>SUM(AV842:AV844)</f>
        <v>0</v>
      </c>
      <c r="AW845" s="744">
        <f>SUM(AW842:AW844)</f>
        <v>0</v>
      </c>
      <c r="AX845" s="1404">
        <f>SUM(AS845:AW845)</f>
        <v>606847.08000000007</v>
      </c>
    </row>
    <row r="846" spans="1:50" s="292" customFormat="1">
      <c r="A846" s="318">
        <v>370</v>
      </c>
      <c r="B846" s="316">
        <v>200</v>
      </c>
      <c r="C846" s="316"/>
      <c r="D846" s="316"/>
      <c r="E846" s="316"/>
      <c r="F846" s="316"/>
      <c r="G846" s="315" t="s">
        <v>1421</v>
      </c>
      <c r="H846" s="329"/>
      <c r="I846" s="326"/>
      <c r="J846" s="358"/>
      <c r="K846" s="358">
        <f t="shared" si="92"/>
        <v>0</v>
      </c>
      <c r="L846" s="358"/>
      <c r="M846" s="358"/>
      <c r="N846" s="327"/>
      <c r="O846" s="328"/>
      <c r="P846" s="326">
        <v>0</v>
      </c>
      <c r="Q846" s="327"/>
      <c r="R846" s="329"/>
      <c r="S846" s="326"/>
      <c r="T846" s="326"/>
      <c r="U846" s="326"/>
      <c r="V846" s="326"/>
      <c r="W846" s="326"/>
      <c r="X846" s="326"/>
      <c r="Y846" s="1350">
        <f t="shared" si="93"/>
        <v>0</v>
      </c>
      <c r="Z846" s="1351">
        <f t="shared" si="94"/>
        <v>0</v>
      </c>
      <c r="AA846" s="326">
        <f t="shared" si="95"/>
        <v>0</v>
      </c>
      <c r="AB846" s="326">
        <f t="shared" si="96"/>
        <v>0</v>
      </c>
      <c r="AC846" s="326">
        <f t="shared" si="97"/>
        <v>0</v>
      </c>
      <c r="AD846" s="326">
        <f t="shared" si="98"/>
        <v>0</v>
      </c>
      <c r="AE846" s="326">
        <f t="shared" si="99"/>
        <v>0</v>
      </c>
      <c r="AF846" s="310" t="s">
        <v>1422</v>
      </c>
      <c r="AG846" s="841"/>
      <c r="AH846" s="744"/>
      <c r="AK846" s="293"/>
      <c r="AS846" s="744"/>
      <c r="AU846" s="1404"/>
    </row>
    <row r="847" spans="1:50" s="299" customFormat="1">
      <c r="A847" s="318">
        <v>370</v>
      </c>
      <c r="B847" s="317">
        <v>300</v>
      </c>
      <c r="C847" s="317"/>
      <c r="D847" s="317"/>
      <c r="E847" s="317"/>
      <c r="F847" s="317"/>
      <c r="G847" s="323" t="s">
        <v>1423</v>
      </c>
      <c r="H847" s="334"/>
      <c r="I847" s="331"/>
      <c r="J847" s="359"/>
      <c r="K847" s="359">
        <f t="shared" si="92"/>
        <v>0</v>
      </c>
      <c r="L847" s="359"/>
      <c r="M847" s="359"/>
      <c r="N847" s="332"/>
      <c r="O847" s="333"/>
      <c r="P847" s="331">
        <v>0</v>
      </c>
      <c r="Q847" s="332"/>
      <c r="R847" s="334"/>
      <c r="S847" s="331"/>
      <c r="T847" s="331"/>
      <c r="U847" s="331"/>
      <c r="V847" s="331"/>
      <c r="W847" s="331"/>
      <c r="X847" s="331"/>
      <c r="Y847" s="1352">
        <f t="shared" si="93"/>
        <v>0</v>
      </c>
      <c r="Z847" s="1353">
        <f t="shared" si="94"/>
        <v>0</v>
      </c>
      <c r="AA847" s="331">
        <f t="shared" si="95"/>
        <v>0</v>
      </c>
      <c r="AB847" s="331">
        <f t="shared" si="96"/>
        <v>0</v>
      </c>
      <c r="AC847" s="331">
        <f t="shared" si="97"/>
        <v>0</v>
      </c>
      <c r="AD847" s="331">
        <f t="shared" si="98"/>
        <v>0</v>
      </c>
      <c r="AE847" s="331">
        <f t="shared" si="99"/>
        <v>0</v>
      </c>
      <c r="AF847" s="310" t="s">
        <v>1424</v>
      </c>
      <c r="AG847" s="841"/>
      <c r="AH847" s="744"/>
      <c r="AI847" s="292"/>
      <c r="AK847" s="300"/>
      <c r="AS847" s="452"/>
    </row>
    <row r="848" spans="1:50" s="299" customFormat="1">
      <c r="A848" s="318">
        <v>370</v>
      </c>
      <c r="B848" s="317">
        <v>300</v>
      </c>
      <c r="C848" s="316">
        <v>100</v>
      </c>
      <c r="D848" s="316"/>
      <c r="E848" s="316"/>
      <c r="F848" s="316"/>
      <c r="G848" s="351" t="s">
        <v>472</v>
      </c>
      <c r="H848" s="399"/>
      <c r="I848" s="397"/>
      <c r="J848" s="400"/>
      <c r="K848" s="400">
        <f t="shared" si="92"/>
        <v>0</v>
      </c>
      <c r="L848" s="400"/>
      <c r="M848" s="400"/>
      <c r="N848" s="398"/>
      <c r="O848" s="801"/>
      <c r="P848" s="397">
        <v>0</v>
      </c>
      <c r="Q848" s="398"/>
      <c r="R848" s="399"/>
      <c r="S848" s="397"/>
      <c r="T848" s="397"/>
      <c r="U848" s="397"/>
      <c r="V848" s="397"/>
      <c r="W848" s="397"/>
      <c r="X848" s="397"/>
      <c r="Y848" s="1363">
        <f t="shared" si="93"/>
        <v>0</v>
      </c>
      <c r="Z848" s="1364">
        <f t="shared" si="94"/>
        <v>0</v>
      </c>
      <c r="AA848" s="397">
        <f t="shared" si="95"/>
        <v>0</v>
      </c>
      <c r="AB848" s="397">
        <f t="shared" si="96"/>
        <v>0</v>
      </c>
      <c r="AC848" s="397">
        <f t="shared" si="97"/>
        <v>0</v>
      </c>
      <c r="AD848" s="397">
        <f t="shared" si="98"/>
        <v>0</v>
      </c>
      <c r="AE848" s="397">
        <f t="shared" si="99"/>
        <v>0</v>
      </c>
      <c r="AF848" s="310"/>
      <c r="AG848" s="841"/>
      <c r="AH848" s="744"/>
      <c r="AI848" s="292"/>
      <c r="AK848" s="300"/>
      <c r="AS848" s="452"/>
      <c r="AW848" s="452"/>
    </row>
    <row r="849" spans="1:45" s="299" customFormat="1">
      <c r="A849" s="318">
        <v>370</v>
      </c>
      <c r="B849" s="317">
        <v>300</v>
      </c>
      <c r="C849" s="316">
        <v>900</v>
      </c>
      <c r="D849" s="316"/>
      <c r="E849" s="316"/>
      <c r="F849" s="316"/>
      <c r="G849" s="351" t="s">
        <v>1423</v>
      </c>
      <c r="H849" s="399"/>
      <c r="I849" s="397"/>
      <c r="J849" s="400"/>
      <c r="K849" s="400">
        <f t="shared" si="92"/>
        <v>0</v>
      </c>
      <c r="L849" s="400"/>
      <c r="M849" s="400"/>
      <c r="N849" s="398"/>
      <c r="O849" s="801"/>
      <c r="P849" s="397">
        <v>0</v>
      </c>
      <c r="Q849" s="398"/>
      <c r="R849" s="399">
        <v>203.41</v>
      </c>
      <c r="S849" s="397"/>
      <c r="T849" s="397"/>
      <c r="U849" s="397">
        <v>203.41</v>
      </c>
      <c r="V849" s="397"/>
      <c r="W849" s="397"/>
      <c r="X849" s="397"/>
      <c r="Y849" s="1363">
        <f t="shared" si="93"/>
        <v>203.41</v>
      </c>
      <c r="Z849" s="1364">
        <f t="shared" si="94"/>
        <v>0</v>
      </c>
      <c r="AA849" s="397">
        <f t="shared" si="95"/>
        <v>0</v>
      </c>
      <c r="AB849" s="397">
        <f t="shared" si="96"/>
        <v>203.41</v>
      </c>
      <c r="AC849" s="397">
        <f t="shared" si="97"/>
        <v>0</v>
      </c>
      <c r="AD849" s="397">
        <f t="shared" si="98"/>
        <v>0</v>
      </c>
      <c r="AE849" s="397">
        <f t="shared" si="99"/>
        <v>0</v>
      </c>
      <c r="AF849" s="310"/>
      <c r="AG849" s="841"/>
      <c r="AH849" s="744"/>
      <c r="AI849" s="292"/>
      <c r="AK849" s="300"/>
      <c r="AS849" s="452"/>
    </row>
    <row r="850" spans="1:45" s="299" customFormat="1">
      <c r="A850" s="338">
        <v>375</v>
      </c>
      <c r="B850" s="337">
        <v>0</v>
      </c>
      <c r="C850" s="337">
        <v>0</v>
      </c>
      <c r="D850" s="337">
        <v>0</v>
      </c>
      <c r="E850" s="337">
        <v>0</v>
      </c>
      <c r="F850" s="337">
        <v>0</v>
      </c>
      <c r="G850" s="391" t="s">
        <v>1425</v>
      </c>
      <c r="H850" s="334"/>
      <c r="I850" s="331"/>
      <c r="J850" s="359"/>
      <c r="K850" s="359">
        <f t="shared" si="92"/>
        <v>0</v>
      </c>
      <c r="L850" s="359"/>
      <c r="M850" s="359"/>
      <c r="N850" s="332"/>
      <c r="O850" s="333"/>
      <c r="P850" s="331">
        <v>0</v>
      </c>
      <c r="Q850" s="332"/>
      <c r="R850" s="334"/>
      <c r="S850" s="331"/>
      <c r="T850" s="331"/>
      <c r="U850" s="331"/>
      <c r="V850" s="331"/>
      <c r="W850" s="331"/>
      <c r="X850" s="331"/>
      <c r="Y850" s="1352">
        <f t="shared" si="93"/>
        <v>0</v>
      </c>
      <c r="Z850" s="1353">
        <f t="shared" si="94"/>
        <v>0</v>
      </c>
      <c r="AA850" s="331">
        <f t="shared" si="95"/>
        <v>0</v>
      </c>
      <c r="AB850" s="331">
        <f t="shared" si="96"/>
        <v>0</v>
      </c>
      <c r="AC850" s="331">
        <f t="shared" si="97"/>
        <v>0</v>
      </c>
      <c r="AD850" s="331">
        <f t="shared" si="98"/>
        <v>0</v>
      </c>
      <c r="AE850" s="331">
        <f t="shared" si="99"/>
        <v>0</v>
      </c>
      <c r="AF850" s="330"/>
      <c r="AG850" s="837"/>
      <c r="AH850" s="744">
        <f>SUM(Y850:Y853)</f>
        <v>0</v>
      </c>
      <c r="AI850" s="292" t="s">
        <v>2260</v>
      </c>
      <c r="AK850" s="300"/>
      <c r="AS850" s="452"/>
    </row>
    <row r="851" spans="1:45" s="299" customFormat="1">
      <c r="A851" s="318">
        <v>375</v>
      </c>
      <c r="B851" s="316">
        <v>100</v>
      </c>
      <c r="C851" s="316"/>
      <c r="D851" s="316"/>
      <c r="E851" s="316"/>
      <c r="F851" s="316"/>
      <c r="G851" s="315" t="s">
        <v>1426</v>
      </c>
      <c r="H851" s="329"/>
      <c r="I851" s="326"/>
      <c r="J851" s="358"/>
      <c r="K851" s="358">
        <f t="shared" si="92"/>
        <v>0</v>
      </c>
      <c r="L851" s="358"/>
      <c r="M851" s="358"/>
      <c r="N851" s="327"/>
      <c r="O851" s="328"/>
      <c r="P851" s="326">
        <v>0</v>
      </c>
      <c r="Q851" s="327"/>
      <c r="R851" s="329"/>
      <c r="S851" s="326"/>
      <c r="T851" s="326"/>
      <c r="U851" s="326"/>
      <c r="V851" s="326"/>
      <c r="W851" s="326"/>
      <c r="X851" s="326"/>
      <c r="Y851" s="1350">
        <f t="shared" si="93"/>
        <v>0</v>
      </c>
      <c r="Z851" s="1351">
        <f t="shared" si="94"/>
        <v>0</v>
      </c>
      <c r="AA851" s="326">
        <f t="shared" si="95"/>
        <v>0</v>
      </c>
      <c r="AB851" s="326">
        <f t="shared" si="96"/>
        <v>0</v>
      </c>
      <c r="AC851" s="326">
        <f t="shared" si="97"/>
        <v>0</v>
      </c>
      <c r="AD851" s="326">
        <f t="shared" si="98"/>
        <v>0</v>
      </c>
      <c r="AE851" s="326">
        <f t="shared" si="99"/>
        <v>0</v>
      </c>
      <c r="AF851" s="310" t="s">
        <v>1427</v>
      </c>
      <c r="AG851" s="841"/>
      <c r="AH851" s="744"/>
      <c r="AI851" s="292"/>
      <c r="AK851" s="300"/>
      <c r="AS851" s="452"/>
    </row>
    <row r="852" spans="1:45" s="292" customFormat="1">
      <c r="A852" s="317">
        <v>375</v>
      </c>
      <c r="B852" s="316">
        <v>200</v>
      </c>
      <c r="C852" s="316"/>
      <c r="D852" s="316"/>
      <c r="E852" s="316"/>
      <c r="F852" s="316"/>
      <c r="G852" s="342" t="s">
        <v>1428</v>
      </c>
      <c r="H852" s="329"/>
      <c r="I852" s="326"/>
      <c r="J852" s="358"/>
      <c r="K852" s="358">
        <f t="shared" si="92"/>
        <v>0</v>
      </c>
      <c r="L852" s="358"/>
      <c r="M852" s="358"/>
      <c r="N852" s="327"/>
      <c r="O852" s="328"/>
      <c r="P852" s="326">
        <v>0</v>
      </c>
      <c r="Q852" s="327"/>
      <c r="R852" s="329"/>
      <c r="S852" s="326"/>
      <c r="T852" s="326"/>
      <c r="U852" s="326"/>
      <c r="V852" s="326"/>
      <c r="W852" s="326"/>
      <c r="X852" s="326"/>
      <c r="Y852" s="1350">
        <f t="shared" si="93"/>
        <v>0</v>
      </c>
      <c r="Z852" s="1351">
        <f t="shared" si="94"/>
        <v>0</v>
      </c>
      <c r="AA852" s="326">
        <f t="shared" si="95"/>
        <v>0</v>
      </c>
      <c r="AB852" s="326">
        <f t="shared" si="96"/>
        <v>0</v>
      </c>
      <c r="AC852" s="326">
        <f t="shared" si="97"/>
        <v>0</v>
      </c>
      <c r="AD852" s="326">
        <f t="shared" si="98"/>
        <v>0</v>
      </c>
      <c r="AE852" s="326">
        <f t="shared" si="99"/>
        <v>0</v>
      </c>
      <c r="AF852" s="310" t="s">
        <v>1429</v>
      </c>
      <c r="AG852" s="841"/>
      <c r="AH852" s="744"/>
      <c r="AK852" s="293"/>
      <c r="AS852" s="744"/>
    </row>
    <row r="853" spans="1:45" s="299" customFormat="1" ht="27.6">
      <c r="A853" s="357">
        <v>380</v>
      </c>
      <c r="B853" s="357">
        <v>0</v>
      </c>
      <c r="C853" s="357">
        <v>0</v>
      </c>
      <c r="D853" s="357">
        <v>0</v>
      </c>
      <c r="E853" s="357">
        <v>0</v>
      </c>
      <c r="F853" s="357">
        <v>0</v>
      </c>
      <c r="G853" s="342" t="s">
        <v>1430</v>
      </c>
      <c r="H853" s="329"/>
      <c r="I853" s="326"/>
      <c r="J853" s="358"/>
      <c r="K853" s="358">
        <f t="shared" si="92"/>
        <v>0</v>
      </c>
      <c r="L853" s="358"/>
      <c r="M853" s="358"/>
      <c r="N853" s="327"/>
      <c r="O853" s="328"/>
      <c r="P853" s="326">
        <v>0</v>
      </c>
      <c r="Q853" s="327"/>
      <c r="R853" s="329"/>
      <c r="S853" s="395"/>
      <c r="T853" s="395"/>
      <c r="U853" s="395"/>
      <c r="V853" s="395"/>
      <c r="W853" s="395"/>
      <c r="X853" s="395"/>
      <c r="Y853" s="1350">
        <f t="shared" si="93"/>
        <v>0</v>
      </c>
      <c r="Z853" s="1355">
        <f t="shared" si="94"/>
        <v>0</v>
      </c>
      <c r="AA853" s="395">
        <f t="shared" si="95"/>
        <v>0</v>
      </c>
      <c r="AB853" s="395">
        <f t="shared" si="96"/>
        <v>0</v>
      </c>
      <c r="AC853" s="395">
        <f t="shared" si="97"/>
        <v>0</v>
      </c>
      <c r="AD853" s="395">
        <f t="shared" si="98"/>
        <v>0</v>
      </c>
      <c r="AE853" s="395">
        <f t="shared" si="99"/>
        <v>0</v>
      </c>
      <c r="AF853" s="339" t="s">
        <v>1431</v>
      </c>
      <c r="AG853" s="837"/>
      <c r="AH853" s="744"/>
      <c r="AI853" s="292"/>
      <c r="AK853" s="300"/>
      <c r="AS853" s="452"/>
    </row>
    <row r="854" spans="1:45" s="299" customFormat="1">
      <c r="A854" s="338">
        <v>390</v>
      </c>
      <c r="B854" s="337">
        <v>0</v>
      </c>
      <c r="C854" s="337">
        <v>0</v>
      </c>
      <c r="D854" s="337">
        <v>0</v>
      </c>
      <c r="E854" s="337">
        <v>0</v>
      </c>
      <c r="F854" s="337">
        <v>0</v>
      </c>
      <c r="G854" s="391" t="s">
        <v>102</v>
      </c>
      <c r="H854" s="334"/>
      <c r="I854" s="331"/>
      <c r="J854" s="359"/>
      <c r="K854" s="359">
        <f t="shared" si="92"/>
        <v>0</v>
      </c>
      <c r="L854" s="359"/>
      <c r="M854" s="359"/>
      <c r="N854" s="332"/>
      <c r="O854" s="333"/>
      <c r="P854" s="331">
        <v>0</v>
      </c>
      <c r="Q854" s="332"/>
      <c r="R854" s="334"/>
      <c r="S854" s="331"/>
      <c r="T854" s="331"/>
      <c r="U854" s="331"/>
      <c r="V854" s="331"/>
      <c r="W854" s="331"/>
      <c r="X854" s="331"/>
      <c r="Y854" s="1352">
        <f t="shared" si="93"/>
        <v>0</v>
      </c>
      <c r="Z854" s="1353">
        <f t="shared" si="94"/>
        <v>0</v>
      </c>
      <c r="AA854" s="331">
        <f t="shared" si="95"/>
        <v>0</v>
      </c>
      <c r="AB854" s="331">
        <f t="shared" si="96"/>
        <v>0</v>
      </c>
      <c r="AC854" s="331">
        <f t="shared" si="97"/>
        <v>0</v>
      </c>
      <c r="AD854" s="331">
        <f t="shared" si="98"/>
        <v>0</v>
      </c>
      <c r="AE854" s="331">
        <f t="shared" si="99"/>
        <v>0</v>
      </c>
      <c r="AF854" s="330" t="s">
        <v>1432</v>
      </c>
      <c r="AG854" s="837"/>
      <c r="AH854" s="744">
        <f>SUM(Y854:Y885)</f>
        <v>331530.54000000004</v>
      </c>
      <c r="AI854" s="292" t="s">
        <v>2259</v>
      </c>
      <c r="AK854" s="300"/>
      <c r="AS854" s="452"/>
    </row>
    <row r="855" spans="1:45" s="292" customFormat="1">
      <c r="A855" s="394">
        <v>390</v>
      </c>
      <c r="B855" s="316">
        <v>100</v>
      </c>
      <c r="C855" s="316"/>
      <c r="D855" s="316"/>
      <c r="E855" s="316"/>
      <c r="F855" s="316"/>
      <c r="G855" s="315" t="s">
        <v>1433</v>
      </c>
      <c r="H855" s="329"/>
      <c r="I855" s="326"/>
      <c r="J855" s="358"/>
      <c r="K855" s="358">
        <f t="shared" si="92"/>
        <v>0</v>
      </c>
      <c r="L855" s="358"/>
      <c r="M855" s="358"/>
      <c r="N855" s="327"/>
      <c r="O855" s="328"/>
      <c r="P855" s="326">
        <v>0</v>
      </c>
      <c r="Q855" s="327"/>
      <c r="R855" s="329"/>
      <c r="S855" s="326"/>
      <c r="T855" s="326"/>
      <c r="U855" s="326"/>
      <c r="V855" s="326"/>
      <c r="W855" s="326"/>
      <c r="X855" s="326"/>
      <c r="Y855" s="1350">
        <f t="shared" si="93"/>
        <v>0</v>
      </c>
      <c r="Z855" s="1351">
        <f t="shared" si="94"/>
        <v>0</v>
      </c>
      <c r="AA855" s="326">
        <f t="shared" si="95"/>
        <v>0</v>
      </c>
      <c r="AB855" s="326">
        <f t="shared" si="96"/>
        <v>0</v>
      </c>
      <c r="AC855" s="326">
        <f t="shared" si="97"/>
        <v>0</v>
      </c>
      <c r="AD855" s="326">
        <f t="shared" si="98"/>
        <v>0</v>
      </c>
      <c r="AE855" s="326">
        <f t="shared" si="99"/>
        <v>0</v>
      </c>
      <c r="AF855" s="310" t="s">
        <v>1434</v>
      </c>
      <c r="AG855" s="841"/>
      <c r="AH855" s="744"/>
      <c r="AK855" s="293"/>
      <c r="AS855" s="744"/>
    </row>
    <row r="856" spans="1:45" s="292" customFormat="1">
      <c r="A856" s="318">
        <v>390</v>
      </c>
      <c r="B856" s="317">
        <v>200</v>
      </c>
      <c r="C856" s="317"/>
      <c r="D856" s="317"/>
      <c r="E856" s="317"/>
      <c r="F856" s="317"/>
      <c r="G856" s="323" t="s">
        <v>1435</v>
      </c>
      <c r="H856" s="334"/>
      <c r="I856" s="331"/>
      <c r="J856" s="359"/>
      <c r="K856" s="359">
        <f t="shared" si="92"/>
        <v>0</v>
      </c>
      <c r="L856" s="359"/>
      <c r="M856" s="359"/>
      <c r="N856" s="332"/>
      <c r="O856" s="333"/>
      <c r="P856" s="331">
        <v>0</v>
      </c>
      <c r="Q856" s="332"/>
      <c r="R856" s="334"/>
      <c r="S856" s="331"/>
      <c r="T856" s="331"/>
      <c r="U856" s="331"/>
      <c r="V856" s="331"/>
      <c r="W856" s="331"/>
      <c r="X856" s="331"/>
      <c r="Y856" s="1352">
        <f t="shared" si="93"/>
        <v>0</v>
      </c>
      <c r="Z856" s="1353">
        <f t="shared" si="94"/>
        <v>0</v>
      </c>
      <c r="AA856" s="331">
        <f t="shared" si="95"/>
        <v>0</v>
      </c>
      <c r="AB856" s="331">
        <f t="shared" si="96"/>
        <v>0</v>
      </c>
      <c r="AC856" s="331">
        <f t="shared" si="97"/>
        <v>0</v>
      </c>
      <c r="AD856" s="331">
        <f t="shared" si="98"/>
        <v>0</v>
      </c>
      <c r="AE856" s="331">
        <f t="shared" si="99"/>
        <v>0</v>
      </c>
      <c r="AF856" s="310" t="s">
        <v>1436</v>
      </c>
      <c r="AG856" s="841"/>
      <c r="AH856" s="744"/>
      <c r="AK856" s="293"/>
      <c r="AS856" s="744"/>
    </row>
    <row r="857" spans="1:45" s="299" customFormat="1" ht="27.6">
      <c r="A857" s="318">
        <v>390</v>
      </c>
      <c r="B857" s="317">
        <v>200</v>
      </c>
      <c r="C857" s="316">
        <v>100</v>
      </c>
      <c r="D857" s="316"/>
      <c r="E857" s="316"/>
      <c r="F857" s="316"/>
      <c r="G857" s="315" t="s">
        <v>1437</v>
      </c>
      <c r="H857" s="329"/>
      <c r="I857" s="326"/>
      <c r="J857" s="358"/>
      <c r="K857" s="358">
        <f t="shared" si="92"/>
        <v>0</v>
      </c>
      <c r="L857" s="358"/>
      <c r="M857" s="358"/>
      <c r="N857" s="327"/>
      <c r="O857" s="328"/>
      <c r="P857" s="326">
        <v>0</v>
      </c>
      <c r="Q857" s="327"/>
      <c r="R857" s="329"/>
      <c r="S857" s="326"/>
      <c r="T857" s="326"/>
      <c r="U857" s="326"/>
      <c r="V857" s="326"/>
      <c r="W857" s="326"/>
      <c r="X857" s="326"/>
      <c r="Y857" s="1350">
        <f t="shared" si="93"/>
        <v>0</v>
      </c>
      <c r="Z857" s="1351">
        <f t="shared" si="94"/>
        <v>0</v>
      </c>
      <c r="AA857" s="326">
        <f t="shared" si="95"/>
        <v>0</v>
      </c>
      <c r="AB857" s="326">
        <f t="shared" si="96"/>
        <v>0</v>
      </c>
      <c r="AC857" s="326">
        <f t="shared" si="97"/>
        <v>0</v>
      </c>
      <c r="AD857" s="326">
        <f t="shared" si="98"/>
        <v>0</v>
      </c>
      <c r="AE857" s="326">
        <f t="shared" si="99"/>
        <v>0</v>
      </c>
      <c r="AF857" s="310" t="s">
        <v>1438</v>
      </c>
      <c r="AG857" s="841"/>
      <c r="AH857" s="744"/>
      <c r="AI857" s="292"/>
      <c r="AK857" s="300"/>
      <c r="AS857" s="452"/>
    </row>
    <row r="858" spans="1:45" s="299" customFormat="1" ht="27.6">
      <c r="A858" s="318">
        <v>390</v>
      </c>
      <c r="B858" s="317">
        <v>200</v>
      </c>
      <c r="C858" s="316">
        <v>200</v>
      </c>
      <c r="D858" s="316"/>
      <c r="E858" s="316"/>
      <c r="F858" s="316"/>
      <c r="G858" s="315" t="s">
        <v>1439</v>
      </c>
      <c r="H858" s="329"/>
      <c r="I858" s="326"/>
      <c r="J858" s="358"/>
      <c r="K858" s="358">
        <f t="shared" si="92"/>
        <v>0</v>
      </c>
      <c r="L858" s="358"/>
      <c r="M858" s="358"/>
      <c r="N858" s="327"/>
      <c r="O858" s="328"/>
      <c r="P858" s="326">
        <v>0</v>
      </c>
      <c r="Q858" s="327"/>
      <c r="R858" s="329"/>
      <c r="S858" s="326"/>
      <c r="T858" s="326"/>
      <c r="U858" s="326"/>
      <c r="V858" s="326"/>
      <c r="W858" s="326"/>
      <c r="X858" s="326"/>
      <c r="Y858" s="1350">
        <f t="shared" si="93"/>
        <v>0</v>
      </c>
      <c r="Z858" s="1351">
        <f t="shared" si="94"/>
        <v>0</v>
      </c>
      <c r="AA858" s="326">
        <f t="shared" si="95"/>
        <v>0</v>
      </c>
      <c r="AB858" s="326">
        <f t="shared" si="96"/>
        <v>0</v>
      </c>
      <c r="AC858" s="326">
        <f t="shared" si="97"/>
        <v>0</v>
      </c>
      <c r="AD858" s="326">
        <f t="shared" si="98"/>
        <v>0</v>
      </c>
      <c r="AE858" s="326">
        <f t="shared" si="99"/>
        <v>0</v>
      </c>
      <c r="AF858" s="310" t="s">
        <v>1440</v>
      </c>
      <c r="AG858" s="841"/>
      <c r="AH858" s="744"/>
      <c r="AI858" s="292"/>
      <c r="AK858" s="300"/>
      <c r="AS858" s="452"/>
    </row>
    <row r="859" spans="1:45" s="299" customFormat="1">
      <c r="A859" s="318">
        <v>390</v>
      </c>
      <c r="B859" s="317">
        <v>200</v>
      </c>
      <c r="C859" s="317">
        <v>300</v>
      </c>
      <c r="D859" s="317"/>
      <c r="E859" s="317"/>
      <c r="F859" s="317"/>
      <c r="G859" s="323" t="s">
        <v>1441</v>
      </c>
      <c r="H859" s="334"/>
      <c r="I859" s="331"/>
      <c r="J859" s="359"/>
      <c r="K859" s="359">
        <f t="shared" si="92"/>
        <v>0</v>
      </c>
      <c r="L859" s="359"/>
      <c r="M859" s="359"/>
      <c r="N859" s="332"/>
      <c r="O859" s="333"/>
      <c r="P859" s="331">
        <v>0</v>
      </c>
      <c r="Q859" s="332"/>
      <c r="R859" s="334"/>
      <c r="S859" s="331"/>
      <c r="T859" s="331"/>
      <c r="U859" s="331"/>
      <c r="V859" s="331"/>
      <c r="W859" s="331"/>
      <c r="X859" s="331"/>
      <c r="Y859" s="1352">
        <f t="shared" si="93"/>
        <v>0</v>
      </c>
      <c r="Z859" s="1353">
        <f t="shared" si="94"/>
        <v>0</v>
      </c>
      <c r="AA859" s="331">
        <f t="shared" si="95"/>
        <v>0</v>
      </c>
      <c r="AB859" s="331">
        <f t="shared" si="96"/>
        <v>0</v>
      </c>
      <c r="AC859" s="331">
        <f t="shared" si="97"/>
        <v>0</v>
      </c>
      <c r="AD859" s="331">
        <f t="shared" si="98"/>
        <v>0</v>
      </c>
      <c r="AE859" s="331">
        <f t="shared" si="99"/>
        <v>0</v>
      </c>
      <c r="AF859" s="310" t="s">
        <v>1442</v>
      </c>
      <c r="AG859" s="841"/>
      <c r="AH859" s="744"/>
      <c r="AI859" s="292"/>
      <c r="AK859" s="300"/>
      <c r="AS859" s="452"/>
    </row>
    <row r="860" spans="1:45" s="299" customFormat="1" ht="27.6">
      <c r="A860" s="318">
        <v>390</v>
      </c>
      <c r="B860" s="317">
        <v>200</v>
      </c>
      <c r="C860" s="317">
        <v>300</v>
      </c>
      <c r="D860" s="317">
        <v>100</v>
      </c>
      <c r="E860" s="317"/>
      <c r="F860" s="317"/>
      <c r="G860" s="323" t="s">
        <v>1443</v>
      </c>
      <c r="H860" s="334"/>
      <c r="I860" s="331"/>
      <c r="J860" s="359"/>
      <c r="K860" s="359">
        <f t="shared" si="92"/>
        <v>0</v>
      </c>
      <c r="L860" s="359"/>
      <c r="M860" s="359"/>
      <c r="N860" s="332"/>
      <c r="O860" s="333"/>
      <c r="P860" s="331">
        <v>0</v>
      </c>
      <c r="Q860" s="332"/>
      <c r="R860" s="334"/>
      <c r="S860" s="331"/>
      <c r="T860" s="331"/>
      <c r="U860" s="331"/>
      <c r="V860" s="331"/>
      <c r="W860" s="331"/>
      <c r="X860" s="331"/>
      <c r="Y860" s="1352">
        <f t="shared" si="93"/>
        <v>0</v>
      </c>
      <c r="Z860" s="1353">
        <f t="shared" si="94"/>
        <v>0</v>
      </c>
      <c r="AA860" s="331">
        <f t="shared" si="95"/>
        <v>0</v>
      </c>
      <c r="AB860" s="331">
        <f t="shared" si="96"/>
        <v>0</v>
      </c>
      <c r="AC860" s="331">
        <f t="shared" si="97"/>
        <v>0</v>
      </c>
      <c r="AD860" s="331">
        <f t="shared" si="98"/>
        <v>0</v>
      </c>
      <c r="AE860" s="331">
        <f t="shared" si="99"/>
        <v>0</v>
      </c>
      <c r="AF860" s="310" t="s">
        <v>1444</v>
      </c>
      <c r="AG860" s="841"/>
      <c r="AH860" s="744"/>
      <c r="AI860" s="292"/>
      <c r="AK860" s="300"/>
      <c r="AS860" s="452"/>
    </row>
    <row r="861" spans="1:45" s="299" customFormat="1" ht="41.4">
      <c r="A861" s="318">
        <v>390</v>
      </c>
      <c r="B861" s="317">
        <v>200</v>
      </c>
      <c r="C861" s="317">
        <v>300</v>
      </c>
      <c r="D861" s="317">
        <v>100</v>
      </c>
      <c r="E861" s="316">
        <v>10</v>
      </c>
      <c r="F861" s="316"/>
      <c r="G861" s="315" t="s">
        <v>1445</v>
      </c>
      <c r="H861" s="329"/>
      <c r="I861" s="326"/>
      <c r="J861" s="358"/>
      <c r="K861" s="358">
        <f t="shared" si="92"/>
        <v>0</v>
      </c>
      <c r="L861" s="358"/>
      <c r="M861" s="358"/>
      <c r="N861" s="327"/>
      <c r="O861" s="328"/>
      <c r="P861" s="326">
        <v>0</v>
      </c>
      <c r="Q861" s="327"/>
      <c r="R861" s="329"/>
      <c r="S861" s="326"/>
      <c r="T861" s="326"/>
      <c r="U861" s="326"/>
      <c r="V861" s="326"/>
      <c r="W861" s="326"/>
      <c r="X861" s="326"/>
      <c r="Y861" s="1350">
        <f t="shared" si="93"/>
        <v>0</v>
      </c>
      <c r="Z861" s="1351">
        <f t="shared" si="94"/>
        <v>0</v>
      </c>
      <c r="AA861" s="326">
        <f t="shared" si="95"/>
        <v>0</v>
      </c>
      <c r="AB861" s="326">
        <f t="shared" si="96"/>
        <v>0</v>
      </c>
      <c r="AC861" s="326">
        <f t="shared" si="97"/>
        <v>0</v>
      </c>
      <c r="AD861" s="326">
        <f t="shared" si="98"/>
        <v>0</v>
      </c>
      <c r="AE861" s="326">
        <f t="shared" si="99"/>
        <v>0</v>
      </c>
      <c r="AF861" s="310" t="s">
        <v>1446</v>
      </c>
      <c r="AG861" s="841"/>
      <c r="AH861" s="744"/>
      <c r="AI861" s="292"/>
      <c r="AK861" s="300"/>
      <c r="AS861" s="452"/>
    </row>
    <row r="862" spans="1:45" s="299" customFormat="1" ht="41.4">
      <c r="A862" s="318">
        <v>390</v>
      </c>
      <c r="B862" s="317">
        <v>200</v>
      </c>
      <c r="C862" s="317">
        <v>300</v>
      </c>
      <c r="D862" s="317">
        <v>100</v>
      </c>
      <c r="E862" s="316">
        <v>20</v>
      </c>
      <c r="F862" s="316"/>
      <c r="G862" s="315" t="s">
        <v>1447</v>
      </c>
      <c r="H862" s="329"/>
      <c r="I862" s="326"/>
      <c r="J862" s="358"/>
      <c r="K862" s="358">
        <f t="shared" si="92"/>
        <v>0</v>
      </c>
      <c r="L862" s="358"/>
      <c r="M862" s="358"/>
      <c r="N862" s="327"/>
      <c r="O862" s="328"/>
      <c r="P862" s="326">
        <v>0</v>
      </c>
      <c r="Q862" s="327"/>
      <c r="R862" s="329">
        <v>139434.03</v>
      </c>
      <c r="S862" s="326"/>
      <c r="T862" s="326"/>
      <c r="U862" s="326">
        <v>139434.03</v>
      </c>
      <c r="V862" s="326"/>
      <c r="W862" s="326"/>
      <c r="X862" s="326"/>
      <c r="Y862" s="1350">
        <f t="shared" si="93"/>
        <v>139434.03</v>
      </c>
      <c r="Z862" s="1351">
        <f t="shared" si="94"/>
        <v>0</v>
      </c>
      <c r="AA862" s="326">
        <f t="shared" si="95"/>
        <v>0</v>
      </c>
      <c r="AB862" s="326">
        <f t="shared" si="96"/>
        <v>139434.03</v>
      </c>
      <c r="AC862" s="326">
        <f t="shared" si="97"/>
        <v>0</v>
      </c>
      <c r="AD862" s="326">
        <f t="shared" si="98"/>
        <v>0</v>
      </c>
      <c r="AE862" s="326">
        <f t="shared" si="99"/>
        <v>0</v>
      </c>
      <c r="AF862" s="310" t="s">
        <v>1448</v>
      </c>
      <c r="AG862" s="841"/>
      <c r="AH862" s="744"/>
      <c r="AI862" s="292"/>
      <c r="AK862" s="300"/>
      <c r="AS862" s="452"/>
    </row>
    <row r="863" spans="1:45" s="299" customFormat="1">
      <c r="A863" s="318">
        <v>390</v>
      </c>
      <c r="B863" s="317">
        <v>200</v>
      </c>
      <c r="C863" s="317">
        <v>300</v>
      </c>
      <c r="D863" s="317">
        <v>200</v>
      </c>
      <c r="E863" s="317"/>
      <c r="F863" s="317"/>
      <c r="G863" s="323" t="s">
        <v>1449</v>
      </c>
      <c r="H863" s="334"/>
      <c r="I863" s="331"/>
      <c r="J863" s="359"/>
      <c r="K863" s="359">
        <f t="shared" si="92"/>
        <v>0</v>
      </c>
      <c r="L863" s="359"/>
      <c r="M863" s="359"/>
      <c r="N863" s="332"/>
      <c r="O863" s="333"/>
      <c r="P863" s="331">
        <v>0</v>
      </c>
      <c r="Q863" s="332"/>
      <c r="R863" s="334"/>
      <c r="S863" s="331"/>
      <c r="T863" s="331"/>
      <c r="U863" s="331"/>
      <c r="V863" s="331"/>
      <c r="W863" s="331"/>
      <c r="X863" s="331"/>
      <c r="Y863" s="1352">
        <f t="shared" si="93"/>
        <v>0</v>
      </c>
      <c r="Z863" s="1353">
        <f t="shared" si="94"/>
        <v>0</v>
      </c>
      <c r="AA863" s="331">
        <f t="shared" si="95"/>
        <v>0</v>
      </c>
      <c r="AB863" s="331">
        <f t="shared" si="96"/>
        <v>0</v>
      </c>
      <c r="AC863" s="331">
        <f t="shared" si="97"/>
        <v>0</v>
      </c>
      <c r="AD863" s="331">
        <f t="shared" si="98"/>
        <v>0</v>
      </c>
      <c r="AE863" s="331">
        <f t="shared" si="99"/>
        <v>0</v>
      </c>
      <c r="AF863" s="310" t="s">
        <v>1450</v>
      </c>
      <c r="AG863" s="841"/>
      <c r="AH863" s="744"/>
      <c r="AI863" s="292"/>
      <c r="AK863" s="300"/>
      <c r="AS863" s="452"/>
    </row>
    <row r="864" spans="1:45" s="299" customFormat="1" ht="27.6">
      <c r="A864" s="318">
        <v>390</v>
      </c>
      <c r="B864" s="317">
        <v>200</v>
      </c>
      <c r="C864" s="317">
        <v>300</v>
      </c>
      <c r="D864" s="317">
        <v>200</v>
      </c>
      <c r="E864" s="316">
        <v>10</v>
      </c>
      <c r="F864" s="316"/>
      <c r="G864" s="315" t="s">
        <v>1451</v>
      </c>
      <c r="H864" s="329"/>
      <c r="I864" s="326"/>
      <c r="J864" s="358"/>
      <c r="K864" s="358">
        <f t="shared" si="92"/>
        <v>0</v>
      </c>
      <c r="L864" s="358"/>
      <c r="M864" s="358"/>
      <c r="N864" s="327"/>
      <c r="O864" s="328"/>
      <c r="P864" s="326">
        <v>0</v>
      </c>
      <c r="Q864" s="327"/>
      <c r="R864" s="329"/>
      <c r="S864" s="326"/>
      <c r="T864" s="326"/>
      <c r="U864" s="326"/>
      <c r="V864" s="326"/>
      <c r="W864" s="326"/>
      <c r="X864" s="326"/>
      <c r="Y864" s="1350">
        <f t="shared" si="93"/>
        <v>0</v>
      </c>
      <c r="Z864" s="1351">
        <f t="shared" si="94"/>
        <v>0</v>
      </c>
      <c r="AA864" s="326">
        <f t="shared" si="95"/>
        <v>0</v>
      </c>
      <c r="AB864" s="326">
        <f t="shared" si="96"/>
        <v>0</v>
      </c>
      <c r="AC864" s="326">
        <f t="shared" si="97"/>
        <v>0</v>
      </c>
      <c r="AD864" s="326">
        <f t="shared" si="98"/>
        <v>0</v>
      </c>
      <c r="AE864" s="326">
        <f t="shared" si="99"/>
        <v>0</v>
      </c>
      <c r="AF864" s="310" t="s">
        <v>1452</v>
      </c>
      <c r="AG864" s="841"/>
      <c r="AH864" s="744"/>
      <c r="AI864" s="292"/>
      <c r="AK864" s="300"/>
      <c r="AS864" s="452"/>
    </row>
    <row r="865" spans="1:45" s="299" customFormat="1" ht="27.6">
      <c r="A865" s="318">
        <v>390</v>
      </c>
      <c r="B865" s="317">
        <v>200</v>
      </c>
      <c r="C865" s="317">
        <v>300</v>
      </c>
      <c r="D865" s="317">
        <v>200</v>
      </c>
      <c r="E865" s="317">
        <v>20</v>
      </c>
      <c r="F865" s="317"/>
      <c r="G865" s="323" t="s">
        <v>1453</v>
      </c>
      <c r="H865" s="334"/>
      <c r="I865" s="331"/>
      <c r="J865" s="359"/>
      <c r="K865" s="359">
        <f t="shared" si="92"/>
        <v>0</v>
      </c>
      <c r="L865" s="359"/>
      <c r="M865" s="359"/>
      <c r="N865" s="332"/>
      <c r="O865" s="333"/>
      <c r="P865" s="331">
        <v>0</v>
      </c>
      <c r="Q865" s="332"/>
      <c r="R865" s="334"/>
      <c r="S865" s="331"/>
      <c r="T865" s="331"/>
      <c r="U865" s="331"/>
      <c r="V865" s="331"/>
      <c r="W865" s="331"/>
      <c r="X865" s="331"/>
      <c r="Y865" s="1352">
        <f t="shared" si="93"/>
        <v>0</v>
      </c>
      <c r="Z865" s="1353">
        <f t="shared" si="94"/>
        <v>0</v>
      </c>
      <c r="AA865" s="331">
        <f t="shared" si="95"/>
        <v>0</v>
      </c>
      <c r="AB865" s="331">
        <f t="shared" si="96"/>
        <v>0</v>
      </c>
      <c r="AC865" s="331">
        <f t="shared" si="97"/>
        <v>0</v>
      </c>
      <c r="AD865" s="331">
        <f t="shared" si="98"/>
        <v>0</v>
      </c>
      <c r="AE865" s="331">
        <f t="shared" si="99"/>
        <v>0</v>
      </c>
      <c r="AF865" s="310" t="s">
        <v>1454</v>
      </c>
      <c r="AG865" s="841"/>
      <c r="AH865" s="744"/>
      <c r="AI865" s="292"/>
      <c r="AK865" s="300"/>
      <c r="AS865" s="452"/>
    </row>
    <row r="866" spans="1:45" s="299" customFormat="1" ht="27.6">
      <c r="A866" s="318">
        <v>390</v>
      </c>
      <c r="B866" s="317">
        <v>200</v>
      </c>
      <c r="C866" s="317">
        <v>300</v>
      </c>
      <c r="D866" s="317">
        <v>200</v>
      </c>
      <c r="E866" s="317">
        <v>20</v>
      </c>
      <c r="F866" s="316">
        <v>5</v>
      </c>
      <c r="G866" s="315" t="s">
        <v>1455</v>
      </c>
      <c r="H866" s="329"/>
      <c r="I866" s="326"/>
      <c r="J866" s="358"/>
      <c r="K866" s="358">
        <f t="shared" si="92"/>
        <v>0</v>
      </c>
      <c r="L866" s="358"/>
      <c r="M866" s="358"/>
      <c r="N866" s="327"/>
      <c r="O866" s="328"/>
      <c r="P866" s="326">
        <v>0</v>
      </c>
      <c r="Q866" s="327"/>
      <c r="R866" s="329">
        <v>91020.71</v>
      </c>
      <c r="S866" s="326"/>
      <c r="T866" s="326"/>
      <c r="U866" s="326">
        <v>67225.919999999998</v>
      </c>
      <c r="V866" s="326"/>
      <c r="W866" s="326"/>
      <c r="X866" s="326"/>
      <c r="Y866" s="1350">
        <f t="shared" si="93"/>
        <v>91020.71</v>
      </c>
      <c r="Z866" s="1351">
        <f t="shared" si="94"/>
        <v>0</v>
      </c>
      <c r="AA866" s="326">
        <f t="shared" si="95"/>
        <v>0</v>
      </c>
      <c r="AB866" s="326">
        <f t="shared" si="96"/>
        <v>67225.919999999998</v>
      </c>
      <c r="AC866" s="326">
        <f t="shared" si="97"/>
        <v>0</v>
      </c>
      <c r="AD866" s="326">
        <f t="shared" si="98"/>
        <v>0</v>
      </c>
      <c r="AE866" s="326">
        <f t="shared" si="99"/>
        <v>0</v>
      </c>
      <c r="AF866" s="310" t="s">
        <v>1456</v>
      </c>
      <c r="AG866" s="841"/>
      <c r="AH866" s="744"/>
      <c r="AI866" s="292"/>
      <c r="AK866" s="300"/>
      <c r="AS866" s="452"/>
    </row>
    <row r="867" spans="1:45" s="299" customFormat="1" ht="27.6">
      <c r="A867" s="318">
        <v>390</v>
      </c>
      <c r="B867" s="317">
        <v>200</v>
      </c>
      <c r="C867" s="317">
        <v>300</v>
      </c>
      <c r="D867" s="317">
        <v>200</v>
      </c>
      <c r="E867" s="317">
        <v>20</v>
      </c>
      <c r="F867" s="316">
        <v>10</v>
      </c>
      <c r="G867" s="315" t="s">
        <v>1457</v>
      </c>
      <c r="H867" s="329"/>
      <c r="I867" s="326"/>
      <c r="J867" s="358"/>
      <c r="K867" s="358">
        <f t="shared" si="92"/>
        <v>0</v>
      </c>
      <c r="L867" s="358"/>
      <c r="M867" s="358"/>
      <c r="N867" s="327"/>
      <c r="O867" s="328"/>
      <c r="P867" s="326">
        <v>0</v>
      </c>
      <c r="Q867" s="327"/>
      <c r="R867" s="329">
        <v>639.14</v>
      </c>
      <c r="S867" s="326"/>
      <c r="T867" s="326"/>
      <c r="U867" s="326">
        <v>540.63</v>
      </c>
      <c r="V867" s="326"/>
      <c r="W867" s="326"/>
      <c r="X867" s="326"/>
      <c r="Y867" s="1350">
        <f t="shared" si="93"/>
        <v>639.14</v>
      </c>
      <c r="Z867" s="1351">
        <f t="shared" si="94"/>
        <v>0</v>
      </c>
      <c r="AA867" s="326">
        <f t="shared" si="95"/>
        <v>0</v>
      </c>
      <c r="AB867" s="326">
        <f t="shared" si="96"/>
        <v>540.63</v>
      </c>
      <c r="AC867" s="326">
        <f t="shared" si="97"/>
        <v>0</v>
      </c>
      <c r="AD867" s="326">
        <f t="shared" si="98"/>
        <v>0</v>
      </c>
      <c r="AE867" s="326">
        <f t="shared" si="99"/>
        <v>0</v>
      </c>
      <c r="AF867" s="310" t="s">
        <v>1458</v>
      </c>
      <c r="AG867" s="841"/>
      <c r="AH867" s="744"/>
      <c r="AI867" s="292"/>
      <c r="AK867" s="300"/>
      <c r="AS867" s="452"/>
    </row>
    <row r="868" spans="1:45" s="299" customFormat="1" ht="27.6">
      <c r="A868" s="318">
        <v>390</v>
      </c>
      <c r="B868" s="317">
        <v>200</v>
      </c>
      <c r="C868" s="317">
        <v>300</v>
      </c>
      <c r="D868" s="317">
        <v>200</v>
      </c>
      <c r="E868" s="317">
        <v>20</v>
      </c>
      <c r="F868" s="316">
        <v>15</v>
      </c>
      <c r="G868" s="315" t="s">
        <v>1459</v>
      </c>
      <c r="H868" s="329"/>
      <c r="I868" s="326"/>
      <c r="J868" s="358"/>
      <c r="K868" s="358">
        <f t="shared" si="92"/>
        <v>0</v>
      </c>
      <c r="L868" s="358"/>
      <c r="M868" s="358"/>
      <c r="N868" s="327"/>
      <c r="O868" s="328"/>
      <c r="P868" s="326">
        <v>0</v>
      </c>
      <c r="Q868" s="327"/>
      <c r="R868" s="329">
        <v>23666.560000000001</v>
      </c>
      <c r="S868" s="326"/>
      <c r="T868" s="326"/>
      <c r="U868" s="326">
        <v>23314.76</v>
      </c>
      <c r="V868" s="326"/>
      <c r="W868" s="326"/>
      <c r="X868" s="326"/>
      <c r="Y868" s="1350">
        <f t="shared" si="93"/>
        <v>23666.560000000001</v>
      </c>
      <c r="Z868" s="1351">
        <f t="shared" si="94"/>
        <v>0</v>
      </c>
      <c r="AA868" s="326">
        <f t="shared" si="95"/>
        <v>0</v>
      </c>
      <c r="AB868" s="326">
        <f t="shared" si="96"/>
        <v>23314.76</v>
      </c>
      <c r="AC868" s="326">
        <f t="shared" si="97"/>
        <v>0</v>
      </c>
      <c r="AD868" s="326">
        <f t="shared" si="98"/>
        <v>0</v>
      </c>
      <c r="AE868" s="326">
        <f t="shared" si="99"/>
        <v>0</v>
      </c>
      <c r="AF868" s="310" t="s">
        <v>1460</v>
      </c>
      <c r="AG868" s="841"/>
      <c r="AH868" s="744"/>
      <c r="AI868" s="292"/>
      <c r="AK868" s="300"/>
      <c r="AS868" s="452"/>
    </row>
    <row r="869" spans="1:45" s="299" customFormat="1" ht="41.4">
      <c r="A869" s="318">
        <v>390</v>
      </c>
      <c r="B869" s="317">
        <v>200</v>
      </c>
      <c r="C869" s="317">
        <v>300</v>
      </c>
      <c r="D869" s="317">
        <v>200</v>
      </c>
      <c r="E869" s="316">
        <v>30</v>
      </c>
      <c r="F869" s="316"/>
      <c r="G869" s="315" t="s">
        <v>1461</v>
      </c>
      <c r="H869" s="329"/>
      <c r="I869" s="326"/>
      <c r="J869" s="358"/>
      <c r="K869" s="358">
        <f t="shared" si="92"/>
        <v>0</v>
      </c>
      <c r="L869" s="358"/>
      <c r="M869" s="358"/>
      <c r="N869" s="327"/>
      <c r="O869" s="328"/>
      <c r="P869" s="326">
        <v>0</v>
      </c>
      <c r="Q869" s="327"/>
      <c r="R869" s="329"/>
      <c r="S869" s="326"/>
      <c r="T869" s="326"/>
      <c r="U869" s="326"/>
      <c r="V869" s="326"/>
      <c r="W869" s="326"/>
      <c r="X869" s="326"/>
      <c r="Y869" s="1350">
        <f t="shared" si="93"/>
        <v>0</v>
      </c>
      <c r="Z869" s="1351">
        <f t="shared" si="94"/>
        <v>0</v>
      </c>
      <c r="AA869" s="326">
        <f t="shared" si="95"/>
        <v>0</v>
      </c>
      <c r="AB869" s="326">
        <f t="shared" si="96"/>
        <v>0</v>
      </c>
      <c r="AC869" s="326">
        <f t="shared" si="97"/>
        <v>0</v>
      </c>
      <c r="AD869" s="326">
        <f t="shared" si="98"/>
        <v>0</v>
      </c>
      <c r="AE869" s="326">
        <f t="shared" si="99"/>
        <v>0</v>
      </c>
      <c r="AF869" s="310" t="s">
        <v>1462</v>
      </c>
      <c r="AG869" s="841"/>
      <c r="AH869" s="744"/>
      <c r="AI869" s="292"/>
      <c r="AK869" s="300"/>
      <c r="AS869" s="452"/>
    </row>
    <row r="870" spans="1:45" s="299" customFormat="1" ht="41.4">
      <c r="A870" s="318">
        <v>390</v>
      </c>
      <c r="B870" s="317">
        <v>200</v>
      </c>
      <c r="C870" s="317">
        <v>300</v>
      </c>
      <c r="D870" s="317">
        <v>200</v>
      </c>
      <c r="E870" s="316">
        <v>40</v>
      </c>
      <c r="F870" s="316"/>
      <c r="G870" s="315" t="s">
        <v>1463</v>
      </c>
      <c r="H870" s="329"/>
      <c r="I870" s="326"/>
      <c r="J870" s="358"/>
      <c r="K870" s="358">
        <f t="shared" si="92"/>
        <v>0</v>
      </c>
      <c r="L870" s="358"/>
      <c r="M870" s="358"/>
      <c r="N870" s="327"/>
      <c r="O870" s="328"/>
      <c r="P870" s="326">
        <v>0</v>
      </c>
      <c r="Q870" s="327"/>
      <c r="R870" s="329"/>
      <c r="S870" s="326"/>
      <c r="T870" s="326"/>
      <c r="U870" s="326"/>
      <c r="V870" s="326"/>
      <c r="W870" s="326"/>
      <c r="X870" s="326"/>
      <c r="Y870" s="1350">
        <f t="shared" si="93"/>
        <v>0</v>
      </c>
      <c r="Z870" s="1351">
        <f t="shared" si="94"/>
        <v>0</v>
      </c>
      <c r="AA870" s="326">
        <f t="shared" si="95"/>
        <v>0</v>
      </c>
      <c r="AB870" s="326">
        <f t="shared" si="96"/>
        <v>0</v>
      </c>
      <c r="AC870" s="326">
        <f t="shared" si="97"/>
        <v>0</v>
      </c>
      <c r="AD870" s="326">
        <f t="shared" si="98"/>
        <v>0</v>
      </c>
      <c r="AE870" s="326">
        <f t="shared" si="99"/>
        <v>0</v>
      </c>
      <c r="AF870" s="310" t="s">
        <v>1464</v>
      </c>
      <c r="AG870" s="841"/>
      <c r="AH870" s="744"/>
      <c r="AI870" s="292"/>
      <c r="AK870" s="300"/>
      <c r="AS870" s="452"/>
    </row>
    <row r="871" spans="1:45" s="299" customFormat="1" ht="41.4">
      <c r="A871" s="318">
        <v>390</v>
      </c>
      <c r="B871" s="317">
        <v>200</v>
      </c>
      <c r="C871" s="317">
        <v>300</v>
      </c>
      <c r="D871" s="317">
        <v>200</v>
      </c>
      <c r="E871" s="316">
        <v>50</v>
      </c>
      <c r="F871" s="316"/>
      <c r="G871" s="315" t="s">
        <v>1465</v>
      </c>
      <c r="H871" s="329"/>
      <c r="I871" s="326"/>
      <c r="J871" s="358"/>
      <c r="K871" s="358">
        <f t="shared" si="92"/>
        <v>0</v>
      </c>
      <c r="L871" s="358"/>
      <c r="M871" s="358"/>
      <c r="N871" s="327"/>
      <c r="O871" s="328"/>
      <c r="P871" s="326">
        <v>0</v>
      </c>
      <c r="Q871" s="327"/>
      <c r="R871" s="329"/>
      <c r="S871" s="326"/>
      <c r="T871" s="326"/>
      <c r="U871" s="326"/>
      <c r="V871" s="326"/>
      <c r="W871" s="326"/>
      <c r="X871" s="326"/>
      <c r="Y871" s="1350">
        <f t="shared" si="93"/>
        <v>0</v>
      </c>
      <c r="Z871" s="1351">
        <f t="shared" si="94"/>
        <v>0</v>
      </c>
      <c r="AA871" s="326">
        <f t="shared" si="95"/>
        <v>0</v>
      </c>
      <c r="AB871" s="326">
        <f t="shared" si="96"/>
        <v>0</v>
      </c>
      <c r="AC871" s="326">
        <f t="shared" si="97"/>
        <v>0</v>
      </c>
      <c r="AD871" s="326">
        <f t="shared" si="98"/>
        <v>0</v>
      </c>
      <c r="AE871" s="326">
        <f t="shared" si="99"/>
        <v>0</v>
      </c>
      <c r="AF871" s="310" t="s">
        <v>1466</v>
      </c>
      <c r="AG871" s="841"/>
      <c r="AH871" s="744"/>
      <c r="AI871" s="292"/>
      <c r="AK871" s="300"/>
      <c r="AS871" s="452"/>
    </row>
    <row r="872" spans="1:45" s="299" customFormat="1" ht="27.6">
      <c r="A872" s="318">
        <v>390</v>
      </c>
      <c r="B872" s="317">
        <v>200</v>
      </c>
      <c r="C872" s="317">
        <v>300</v>
      </c>
      <c r="D872" s="317">
        <v>200</v>
      </c>
      <c r="E872" s="316">
        <v>60</v>
      </c>
      <c r="F872" s="316"/>
      <c r="G872" s="315" t="s">
        <v>1467</v>
      </c>
      <c r="H872" s="329"/>
      <c r="I872" s="326"/>
      <c r="J872" s="358"/>
      <c r="K872" s="358">
        <f t="shared" si="92"/>
        <v>0</v>
      </c>
      <c r="L872" s="358"/>
      <c r="M872" s="358"/>
      <c r="N872" s="327"/>
      <c r="O872" s="328"/>
      <c r="P872" s="326">
        <v>0</v>
      </c>
      <c r="Q872" s="327"/>
      <c r="R872" s="329">
        <v>47650.080000000002</v>
      </c>
      <c r="S872" s="326"/>
      <c r="T872" s="326"/>
      <c r="U872" s="326">
        <v>47654.94</v>
      </c>
      <c r="V872" s="326"/>
      <c r="W872" s="326"/>
      <c r="X872" s="326"/>
      <c r="Y872" s="1350">
        <f t="shared" si="93"/>
        <v>47650.080000000002</v>
      </c>
      <c r="Z872" s="1351">
        <f t="shared" si="94"/>
        <v>0</v>
      </c>
      <c r="AA872" s="326">
        <f t="shared" si="95"/>
        <v>0</v>
      </c>
      <c r="AB872" s="326">
        <f t="shared" si="96"/>
        <v>47654.94</v>
      </c>
      <c r="AC872" s="326">
        <f t="shared" si="97"/>
        <v>0</v>
      </c>
      <c r="AD872" s="326">
        <f t="shared" si="98"/>
        <v>0</v>
      </c>
      <c r="AE872" s="326">
        <f t="shared" si="99"/>
        <v>0</v>
      </c>
      <c r="AF872" s="310" t="s">
        <v>1468</v>
      </c>
      <c r="AG872" s="841"/>
      <c r="AH872" s="744"/>
      <c r="AI872" s="292"/>
      <c r="AK872" s="300"/>
      <c r="AS872" s="452"/>
    </row>
    <row r="873" spans="1:45" s="299" customFormat="1" ht="27.6">
      <c r="A873" s="318">
        <v>390</v>
      </c>
      <c r="B873" s="317">
        <v>200</v>
      </c>
      <c r="C873" s="317">
        <v>300</v>
      </c>
      <c r="D873" s="317">
        <v>200</v>
      </c>
      <c r="E873" s="316">
        <v>90</v>
      </c>
      <c r="F873" s="316"/>
      <c r="G873" s="315" t="s">
        <v>1469</v>
      </c>
      <c r="H873" s="329"/>
      <c r="I873" s="326"/>
      <c r="J873" s="358"/>
      <c r="K873" s="358">
        <f t="shared" si="92"/>
        <v>0</v>
      </c>
      <c r="L873" s="358"/>
      <c r="M873" s="358"/>
      <c r="N873" s="327"/>
      <c r="O873" s="328"/>
      <c r="P873" s="326">
        <v>0</v>
      </c>
      <c r="Q873" s="327"/>
      <c r="R873" s="329">
        <v>22552.25</v>
      </c>
      <c r="S873" s="326"/>
      <c r="T873" s="326"/>
      <c r="U873" s="326">
        <v>30661.9</v>
      </c>
      <c r="V873" s="326"/>
      <c r="W873" s="326"/>
      <c r="X873" s="326"/>
      <c r="Y873" s="1350">
        <f t="shared" si="93"/>
        <v>22552.25</v>
      </c>
      <c r="Z873" s="1351">
        <f t="shared" si="94"/>
        <v>0</v>
      </c>
      <c r="AA873" s="326">
        <f t="shared" si="95"/>
        <v>0</v>
      </c>
      <c r="AB873" s="326">
        <f t="shared" si="96"/>
        <v>30661.9</v>
      </c>
      <c r="AC873" s="326">
        <f t="shared" si="97"/>
        <v>0</v>
      </c>
      <c r="AD873" s="326">
        <f t="shared" si="98"/>
        <v>0</v>
      </c>
      <c r="AE873" s="326">
        <f t="shared" si="99"/>
        <v>0</v>
      </c>
      <c r="AF873" s="310" t="s">
        <v>1470</v>
      </c>
      <c r="AG873" s="841"/>
      <c r="AH873" s="744"/>
      <c r="AI873" s="292"/>
      <c r="AK873" s="300"/>
      <c r="AS873" s="452"/>
    </row>
    <row r="874" spans="1:45" s="299" customFormat="1">
      <c r="A874" s="318">
        <v>390</v>
      </c>
      <c r="B874" s="317">
        <v>200</v>
      </c>
      <c r="C874" s="317">
        <v>400</v>
      </c>
      <c r="D874" s="317"/>
      <c r="E874" s="317"/>
      <c r="F874" s="317"/>
      <c r="G874" s="323" t="s">
        <v>1471</v>
      </c>
      <c r="H874" s="334"/>
      <c r="I874" s="331"/>
      <c r="J874" s="359"/>
      <c r="K874" s="359">
        <f t="shared" si="92"/>
        <v>0</v>
      </c>
      <c r="L874" s="359"/>
      <c r="M874" s="359"/>
      <c r="N874" s="332"/>
      <c r="O874" s="333"/>
      <c r="P874" s="331">
        <v>0</v>
      </c>
      <c r="Q874" s="332"/>
      <c r="R874" s="334"/>
      <c r="S874" s="331"/>
      <c r="T874" s="331"/>
      <c r="U874" s="331"/>
      <c r="V874" s="331"/>
      <c r="W874" s="331"/>
      <c r="X874" s="331"/>
      <c r="Y874" s="1352">
        <f t="shared" si="93"/>
        <v>0</v>
      </c>
      <c r="Z874" s="1353">
        <f t="shared" si="94"/>
        <v>0</v>
      </c>
      <c r="AA874" s="331">
        <f t="shared" si="95"/>
        <v>0</v>
      </c>
      <c r="AB874" s="331">
        <f t="shared" si="96"/>
        <v>0</v>
      </c>
      <c r="AC874" s="331">
        <f t="shared" si="97"/>
        <v>0</v>
      </c>
      <c r="AD874" s="331">
        <f t="shared" si="98"/>
        <v>0</v>
      </c>
      <c r="AE874" s="331">
        <f t="shared" si="99"/>
        <v>0</v>
      </c>
      <c r="AF874" s="310" t="s">
        <v>1472</v>
      </c>
      <c r="AG874" s="841"/>
      <c r="AH874" s="744"/>
      <c r="AI874" s="292"/>
      <c r="AK874" s="300"/>
      <c r="AS874" s="452"/>
    </row>
    <row r="875" spans="1:45" s="299" customFormat="1" ht="27.6">
      <c r="A875" s="318">
        <v>390</v>
      </c>
      <c r="B875" s="317">
        <v>200</v>
      </c>
      <c r="C875" s="317">
        <v>400</v>
      </c>
      <c r="D875" s="316">
        <v>50</v>
      </c>
      <c r="E875" s="317"/>
      <c r="F875" s="317"/>
      <c r="G875" s="315" t="s">
        <v>1473</v>
      </c>
      <c r="H875" s="329"/>
      <c r="I875" s="326"/>
      <c r="J875" s="358"/>
      <c r="K875" s="358">
        <f t="shared" si="92"/>
        <v>0</v>
      </c>
      <c r="L875" s="358"/>
      <c r="M875" s="358"/>
      <c r="N875" s="327"/>
      <c r="O875" s="328"/>
      <c r="P875" s="326">
        <v>0</v>
      </c>
      <c r="Q875" s="327"/>
      <c r="R875" s="329"/>
      <c r="S875" s="326"/>
      <c r="T875" s="326"/>
      <c r="U875" s="326"/>
      <c r="V875" s="326"/>
      <c r="W875" s="326"/>
      <c r="X875" s="326"/>
      <c r="Y875" s="1350">
        <f t="shared" si="93"/>
        <v>0</v>
      </c>
      <c r="Z875" s="1351">
        <f t="shared" si="94"/>
        <v>0</v>
      </c>
      <c r="AA875" s="326">
        <f t="shared" si="95"/>
        <v>0</v>
      </c>
      <c r="AB875" s="326">
        <f t="shared" si="96"/>
        <v>0</v>
      </c>
      <c r="AC875" s="326">
        <f t="shared" si="97"/>
        <v>0</v>
      </c>
      <c r="AD875" s="326">
        <f t="shared" si="98"/>
        <v>0</v>
      </c>
      <c r="AE875" s="326">
        <f t="shared" si="99"/>
        <v>0</v>
      </c>
      <c r="AF875" s="310" t="s">
        <v>1474</v>
      </c>
      <c r="AG875" s="841"/>
      <c r="AH875" s="744"/>
      <c r="AI875" s="292"/>
      <c r="AK875" s="300"/>
      <c r="AS875" s="452"/>
    </row>
    <row r="876" spans="1:45" s="299" customFormat="1" ht="27.6">
      <c r="A876" s="318">
        <v>390</v>
      </c>
      <c r="B876" s="317">
        <v>200</v>
      </c>
      <c r="C876" s="317">
        <v>400</v>
      </c>
      <c r="D876" s="316">
        <v>100</v>
      </c>
      <c r="E876" s="316"/>
      <c r="F876" s="316"/>
      <c r="G876" s="315" t="s">
        <v>1475</v>
      </c>
      <c r="H876" s="329"/>
      <c r="I876" s="326"/>
      <c r="J876" s="358"/>
      <c r="K876" s="358">
        <f t="shared" si="92"/>
        <v>0</v>
      </c>
      <c r="L876" s="358"/>
      <c r="M876" s="358"/>
      <c r="N876" s="327"/>
      <c r="O876" s="328"/>
      <c r="P876" s="326">
        <v>0</v>
      </c>
      <c r="Q876" s="327"/>
      <c r="R876" s="329"/>
      <c r="S876" s="326"/>
      <c r="T876" s="326"/>
      <c r="U876" s="326"/>
      <c r="V876" s="326"/>
      <c r="W876" s="326"/>
      <c r="X876" s="326"/>
      <c r="Y876" s="1350">
        <f t="shared" si="93"/>
        <v>0</v>
      </c>
      <c r="Z876" s="1351">
        <f t="shared" si="94"/>
        <v>0</v>
      </c>
      <c r="AA876" s="326">
        <f t="shared" si="95"/>
        <v>0</v>
      </c>
      <c r="AB876" s="326">
        <f t="shared" si="96"/>
        <v>0</v>
      </c>
      <c r="AC876" s="326">
        <f t="shared" si="97"/>
        <v>0</v>
      </c>
      <c r="AD876" s="326">
        <f t="shared" si="98"/>
        <v>0</v>
      </c>
      <c r="AE876" s="326">
        <f t="shared" si="99"/>
        <v>0</v>
      </c>
      <c r="AF876" s="310" t="s">
        <v>1476</v>
      </c>
      <c r="AG876" s="841"/>
      <c r="AH876" s="744"/>
      <c r="AI876" s="292"/>
      <c r="AK876" s="300"/>
      <c r="AS876" s="452"/>
    </row>
    <row r="877" spans="1:45" s="299" customFormat="1">
      <c r="A877" s="318">
        <v>390</v>
      </c>
      <c r="B877" s="317">
        <v>200</v>
      </c>
      <c r="C877" s="317">
        <v>400</v>
      </c>
      <c r="D877" s="317">
        <v>200</v>
      </c>
      <c r="E877" s="317"/>
      <c r="F877" s="317"/>
      <c r="G877" s="323" t="s">
        <v>1477</v>
      </c>
      <c r="H877" s="334"/>
      <c r="I877" s="331"/>
      <c r="J877" s="359"/>
      <c r="K877" s="359">
        <f t="shared" si="92"/>
        <v>0</v>
      </c>
      <c r="L877" s="359"/>
      <c r="M877" s="359"/>
      <c r="N877" s="332"/>
      <c r="O877" s="333"/>
      <c r="P877" s="331">
        <v>0</v>
      </c>
      <c r="Q877" s="332"/>
      <c r="R877" s="334"/>
      <c r="S877" s="331"/>
      <c r="T877" s="331"/>
      <c r="U877" s="331"/>
      <c r="V877" s="331"/>
      <c r="W877" s="331"/>
      <c r="X877" s="331"/>
      <c r="Y877" s="1352">
        <f t="shared" si="93"/>
        <v>0</v>
      </c>
      <c r="Z877" s="1353">
        <f t="shared" si="94"/>
        <v>0</v>
      </c>
      <c r="AA877" s="331">
        <f t="shared" si="95"/>
        <v>0</v>
      </c>
      <c r="AB877" s="331">
        <f t="shared" si="96"/>
        <v>0</v>
      </c>
      <c r="AC877" s="331">
        <f t="shared" si="97"/>
        <v>0</v>
      </c>
      <c r="AD877" s="331">
        <f t="shared" si="98"/>
        <v>0</v>
      </c>
      <c r="AE877" s="331">
        <f t="shared" si="99"/>
        <v>0</v>
      </c>
      <c r="AF877" s="310" t="s">
        <v>1478</v>
      </c>
      <c r="AG877" s="841"/>
      <c r="AH877" s="744"/>
      <c r="AI877" s="292"/>
      <c r="AK877" s="300"/>
      <c r="AS877" s="452"/>
    </row>
    <row r="878" spans="1:45" s="299" customFormat="1" ht="27.6">
      <c r="A878" s="318">
        <v>390</v>
      </c>
      <c r="B878" s="317">
        <v>200</v>
      </c>
      <c r="C878" s="317">
        <v>400</v>
      </c>
      <c r="D878" s="317">
        <v>200</v>
      </c>
      <c r="E878" s="316">
        <v>10</v>
      </c>
      <c r="F878" s="316"/>
      <c r="G878" s="315" t="s">
        <v>1479</v>
      </c>
      <c r="H878" s="329"/>
      <c r="I878" s="326"/>
      <c r="J878" s="358"/>
      <c r="K878" s="358">
        <f t="shared" si="92"/>
        <v>0</v>
      </c>
      <c r="L878" s="358"/>
      <c r="M878" s="358"/>
      <c r="N878" s="327"/>
      <c r="O878" s="328"/>
      <c r="P878" s="326">
        <v>0</v>
      </c>
      <c r="Q878" s="327"/>
      <c r="R878" s="329"/>
      <c r="S878" s="326"/>
      <c r="T878" s="326"/>
      <c r="U878" s="326"/>
      <c r="V878" s="326"/>
      <c r="W878" s="326"/>
      <c r="X878" s="326"/>
      <c r="Y878" s="1350">
        <f t="shared" si="93"/>
        <v>0</v>
      </c>
      <c r="Z878" s="1351">
        <f t="shared" si="94"/>
        <v>0</v>
      </c>
      <c r="AA878" s="326">
        <f t="shared" si="95"/>
        <v>0</v>
      </c>
      <c r="AB878" s="326">
        <f t="shared" si="96"/>
        <v>0</v>
      </c>
      <c r="AC878" s="326">
        <f t="shared" si="97"/>
        <v>0</v>
      </c>
      <c r="AD878" s="326">
        <f t="shared" si="98"/>
        <v>0</v>
      </c>
      <c r="AE878" s="326">
        <f t="shared" si="99"/>
        <v>0</v>
      </c>
      <c r="AF878" s="310" t="s">
        <v>1480</v>
      </c>
      <c r="AG878" s="841"/>
      <c r="AH878" s="744"/>
      <c r="AI878" s="292"/>
      <c r="AK878" s="300"/>
      <c r="AS878" s="452"/>
    </row>
    <row r="879" spans="1:45" s="299" customFormat="1" ht="27.6">
      <c r="A879" s="318">
        <v>390</v>
      </c>
      <c r="B879" s="317">
        <v>200</v>
      </c>
      <c r="C879" s="317">
        <v>400</v>
      </c>
      <c r="D879" s="317">
        <v>200</v>
      </c>
      <c r="E879" s="316">
        <v>20</v>
      </c>
      <c r="F879" s="316"/>
      <c r="G879" s="315" t="s">
        <v>1481</v>
      </c>
      <c r="H879" s="329"/>
      <c r="I879" s="326"/>
      <c r="J879" s="358"/>
      <c r="K879" s="358">
        <f t="shared" si="92"/>
        <v>0</v>
      </c>
      <c r="L879" s="358"/>
      <c r="M879" s="358"/>
      <c r="N879" s="327"/>
      <c r="O879" s="328"/>
      <c r="P879" s="326">
        <v>0</v>
      </c>
      <c r="Q879" s="327"/>
      <c r="R879" s="329"/>
      <c r="S879" s="326"/>
      <c r="T879" s="326"/>
      <c r="U879" s="326"/>
      <c r="V879" s="326"/>
      <c r="W879" s="326"/>
      <c r="X879" s="326"/>
      <c r="Y879" s="1350">
        <f t="shared" si="93"/>
        <v>0</v>
      </c>
      <c r="Z879" s="1351">
        <f t="shared" si="94"/>
        <v>0</v>
      </c>
      <c r="AA879" s="326">
        <f t="shared" si="95"/>
        <v>0</v>
      </c>
      <c r="AB879" s="326">
        <f t="shared" si="96"/>
        <v>0</v>
      </c>
      <c r="AC879" s="326">
        <f t="shared" si="97"/>
        <v>0</v>
      </c>
      <c r="AD879" s="326">
        <f t="shared" si="98"/>
        <v>0</v>
      </c>
      <c r="AE879" s="326">
        <f t="shared" si="99"/>
        <v>0</v>
      </c>
      <c r="AF879" s="310" t="s">
        <v>1482</v>
      </c>
      <c r="AG879" s="841"/>
      <c r="AH879" s="744"/>
      <c r="AI879" s="292"/>
      <c r="AK879" s="300"/>
      <c r="AS879" s="452"/>
    </row>
    <row r="880" spans="1:45" s="299" customFormat="1" ht="41.4">
      <c r="A880" s="318">
        <v>390</v>
      </c>
      <c r="B880" s="317">
        <v>200</v>
      </c>
      <c r="C880" s="317">
        <v>400</v>
      </c>
      <c r="D880" s="317">
        <v>200</v>
      </c>
      <c r="E880" s="316">
        <v>30</v>
      </c>
      <c r="F880" s="316"/>
      <c r="G880" s="315" t="s">
        <v>1483</v>
      </c>
      <c r="H880" s="329"/>
      <c r="I880" s="326"/>
      <c r="J880" s="358"/>
      <c r="K880" s="358">
        <f t="shared" si="92"/>
        <v>0</v>
      </c>
      <c r="L880" s="358"/>
      <c r="M880" s="358"/>
      <c r="N880" s="327"/>
      <c r="O880" s="328"/>
      <c r="P880" s="326">
        <v>0</v>
      </c>
      <c r="Q880" s="327"/>
      <c r="R880" s="329"/>
      <c r="S880" s="326"/>
      <c r="T880" s="326"/>
      <c r="U880" s="326"/>
      <c r="V880" s="326"/>
      <c r="W880" s="326"/>
      <c r="X880" s="326"/>
      <c r="Y880" s="1350">
        <f t="shared" si="93"/>
        <v>0</v>
      </c>
      <c r="Z880" s="1351">
        <f t="shared" si="94"/>
        <v>0</v>
      </c>
      <c r="AA880" s="326">
        <f t="shared" si="95"/>
        <v>0</v>
      </c>
      <c r="AB880" s="326">
        <f t="shared" si="96"/>
        <v>0</v>
      </c>
      <c r="AC880" s="326">
        <f t="shared" si="97"/>
        <v>0</v>
      </c>
      <c r="AD880" s="326">
        <f t="shared" si="98"/>
        <v>0</v>
      </c>
      <c r="AE880" s="326">
        <f t="shared" si="99"/>
        <v>0</v>
      </c>
      <c r="AF880" s="310" t="s">
        <v>1484</v>
      </c>
      <c r="AG880" s="841"/>
      <c r="AH880" s="744"/>
      <c r="AI880" s="292"/>
      <c r="AK880" s="300"/>
      <c r="AS880" s="452"/>
    </row>
    <row r="881" spans="1:45" s="299" customFormat="1" ht="41.4">
      <c r="A881" s="318">
        <v>390</v>
      </c>
      <c r="B881" s="317">
        <v>200</v>
      </c>
      <c r="C881" s="317">
        <v>400</v>
      </c>
      <c r="D881" s="317">
        <v>200</v>
      </c>
      <c r="E881" s="316">
        <v>40</v>
      </c>
      <c r="F881" s="316"/>
      <c r="G881" s="315" t="s">
        <v>1485</v>
      </c>
      <c r="H881" s="329"/>
      <c r="I881" s="326"/>
      <c r="J881" s="358"/>
      <c r="K881" s="358">
        <f t="shared" si="92"/>
        <v>0</v>
      </c>
      <c r="L881" s="358"/>
      <c r="M881" s="358"/>
      <c r="N881" s="327"/>
      <c r="O881" s="328"/>
      <c r="P881" s="326">
        <v>0</v>
      </c>
      <c r="Q881" s="327"/>
      <c r="R881" s="329"/>
      <c r="S881" s="326"/>
      <c r="T881" s="326"/>
      <c r="U881" s="326"/>
      <c r="V881" s="326"/>
      <c r="W881" s="326"/>
      <c r="X881" s="326"/>
      <c r="Y881" s="1350">
        <f t="shared" si="93"/>
        <v>0</v>
      </c>
      <c r="Z881" s="1351">
        <f t="shared" si="94"/>
        <v>0</v>
      </c>
      <c r="AA881" s="326">
        <f t="shared" si="95"/>
        <v>0</v>
      </c>
      <c r="AB881" s="326">
        <f t="shared" si="96"/>
        <v>0</v>
      </c>
      <c r="AC881" s="326">
        <f t="shared" si="97"/>
        <v>0</v>
      </c>
      <c r="AD881" s="326">
        <f t="shared" si="98"/>
        <v>0</v>
      </c>
      <c r="AE881" s="326">
        <f t="shared" si="99"/>
        <v>0</v>
      </c>
      <c r="AF881" s="310" t="s">
        <v>1486</v>
      </c>
      <c r="AG881" s="841"/>
      <c r="AH881" s="744"/>
      <c r="AI881" s="292"/>
      <c r="AK881" s="300"/>
      <c r="AS881" s="452"/>
    </row>
    <row r="882" spans="1:45" s="299" customFormat="1" ht="41.4">
      <c r="A882" s="318">
        <v>390</v>
      </c>
      <c r="B882" s="317">
        <v>200</v>
      </c>
      <c r="C882" s="317">
        <v>400</v>
      </c>
      <c r="D882" s="317">
        <v>200</v>
      </c>
      <c r="E882" s="316">
        <v>50</v>
      </c>
      <c r="F882" s="316"/>
      <c r="G882" s="315" t="s">
        <v>1487</v>
      </c>
      <c r="H882" s="329"/>
      <c r="I882" s="326"/>
      <c r="J882" s="358"/>
      <c r="K882" s="358">
        <f t="shared" si="92"/>
        <v>0</v>
      </c>
      <c r="L882" s="358"/>
      <c r="M882" s="358"/>
      <c r="N882" s="327"/>
      <c r="O882" s="328"/>
      <c r="P882" s="326">
        <v>0</v>
      </c>
      <c r="Q882" s="327"/>
      <c r="R882" s="329"/>
      <c r="S882" s="326"/>
      <c r="T882" s="326"/>
      <c r="U882" s="326"/>
      <c r="V882" s="326"/>
      <c r="W882" s="326"/>
      <c r="X882" s="326"/>
      <c r="Y882" s="1350">
        <f t="shared" si="93"/>
        <v>0</v>
      </c>
      <c r="Z882" s="1351">
        <f t="shared" si="94"/>
        <v>0</v>
      </c>
      <c r="AA882" s="326">
        <f t="shared" si="95"/>
        <v>0</v>
      </c>
      <c r="AB882" s="326">
        <f t="shared" si="96"/>
        <v>0</v>
      </c>
      <c r="AC882" s="326">
        <f t="shared" si="97"/>
        <v>0</v>
      </c>
      <c r="AD882" s="326">
        <f t="shared" si="98"/>
        <v>0</v>
      </c>
      <c r="AE882" s="326">
        <f t="shared" si="99"/>
        <v>0</v>
      </c>
      <c r="AF882" s="310" t="s">
        <v>1488</v>
      </c>
      <c r="AG882" s="841"/>
      <c r="AH882" s="744"/>
      <c r="AI882" s="292"/>
      <c r="AK882" s="300"/>
      <c r="AS882" s="452"/>
    </row>
    <row r="883" spans="1:45" s="299" customFormat="1" ht="27.6">
      <c r="A883" s="318">
        <v>390</v>
      </c>
      <c r="B883" s="317">
        <v>200</v>
      </c>
      <c r="C883" s="317">
        <v>400</v>
      </c>
      <c r="D883" s="317">
        <v>200</v>
      </c>
      <c r="E883" s="316">
        <v>60</v>
      </c>
      <c r="F883" s="316"/>
      <c r="G883" s="315" t="s">
        <v>1489</v>
      </c>
      <c r="H883" s="329"/>
      <c r="I883" s="326"/>
      <c r="J883" s="358"/>
      <c r="K883" s="358">
        <f t="shared" si="92"/>
        <v>0</v>
      </c>
      <c r="L883" s="358"/>
      <c r="M883" s="358"/>
      <c r="N883" s="327"/>
      <c r="O883" s="328"/>
      <c r="P883" s="326">
        <v>0</v>
      </c>
      <c r="Q883" s="327"/>
      <c r="R883" s="329"/>
      <c r="S883" s="326"/>
      <c r="T883" s="326"/>
      <c r="U883" s="326"/>
      <c r="V883" s="326"/>
      <c r="W883" s="326"/>
      <c r="X883" s="326"/>
      <c r="Y883" s="1350">
        <f t="shared" si="93"/>
        <v>0</v>
      </c>
      <c r="Z883" s="1351">
        <f t="shared" si="94"/>
        <v>0</v>
      </c>
      <c r="AA883" s="326">
        <f t="shared" si="95"/>
        <v>0</v>
      </c>
      <c r="AB883" s="326">
        <f t="shared" si="96"/>
        <v>0</v>
      </c>
      <c r="AC883" s="326">
        <f t="shared" si="97"/>
        <v>0</v>
      </c>
      <c r="AD883" s="326">
        <f t="shared" si="98"/>
        <v>0</v>
      </c>
      <c r="AE883" s="326">
        <f t="shared" si="99"/>
        <v>0</v>
      </c>
      <c r="AF883" s="310" t="s">
        <v>1490</v>
      </c>
      <c r="AG883" s="841"/>
      <c r="AH883" s="744"/>
      <c r="AI883" s="292"/>
      <c r="AK883" s="300"/>
      <c r="AS883" s="452"/>
    </row>
    <row r="884" spans="1:45" s="299" customFormat="1">
      <c r="A884" s="318">
        <v>390</v>
      </c>
      <c r="B884" s="317">
        <v>200</v>
      </c>
      <c r="C884" s="317">
        <v>400</v>
      </c>
      <c r="D884" s="317">
        <v>200</v>
      </c>
      <c r="E884" s="316">
        <v>70</v>
      </c>
      <c r="F884" s="316"/>
      <c r="G884" s="315" t="s">
        <v>1491</v>
      </c>
      <c r="H884" s="329"/>
      <c r="I884" s="326"/>
      <c r="J884" s="358"/>
      <c r="K884" s="358">
        <f t="shared" si="92"/>
        <v>0</v>
      </c>
      <c r="L884" s="358"/>
      <c r="M884" s="358"/>
      <c r="N884" s="327"/>
      <c r="O884" s="328"/>
      <c r="P884" s="326">
        <v>0</v>
      </c>
      <c r="Q884" s="327"/>
      <c r="R884" s="329">
        <v>6383.46</v>
      </c>
      <c r="S884" s="326"/>
      <c r="T884" s="326"/>
      <c r="U884" s="326">
        <v>6666.84</v>
      </c>
      <c r="V884" s="326"/>
      <c r="W884" s="326"/>
      <c r="X884" s="326"/>
      <c r="Y884" s="1350">
        <f t="shared" si="93"/>
        <v>6383.46</v>
      </c>
      <c r="Z884" s="1351">
        <f t="shared" si="94"/>
        <v>0</v>
      </c>
      <c r="AA884" s="326">
        <f t="shared" si="95"/>
        <v>0</v>
      </c>
      <c r="AB884" s="326">
        <f t="shared" si="96"/>
        <v>6666.84</v>
      </c>
      <c r="AC884" s="326">
        <f t="shared" si="97"/>
        <v>0</v>
      </c>
      <c r="AD884" s="326">
        <f t="shared" si="98"/>
        <v>0</v>
      </c>
      <c r="AE884" s="326">
        <f t="shared" si="99"/>
        <v>0</v>
      </c>
      <c r="AF884" s="310" t="s">
        <v>1492</v>
      </c>
      <c r="AG884" s="841"/>
      <c r="AH884" s="744"/>
      <c r="AI884" s="292"/>
      <c r="AK884" s="300"/>
      <c r="AS884" s="452"/>
    </row>
    <row r="885" spans="1:45" s="299" customFormat="1">
      <c r="A885" s="318">
        <v>390</v>
      </c>
      <c r="B885" s="317">
        <v>200</v>
      </c>
      <c r="C885" s="316">
        <v>500</v>
      </c>
      <c r="D885" s="316"/>
      <c r="E885" s="316"/>
      <c r="F885" s="316"/>
      <c r="G885" s="315" t="s">
        <v>1435</v>
      </c>
      <c r="H885" s="329"/>
      <c r="I885" s="326"/>
      <c r="J885" s="358"/>
      <c r="K885" s="358">
        <f t="shared" si="92"/>
        <v>0</v>
      </c>
      <c r="L885" s="358"/>
      <c r="M885" s="358"/>
      <c r="N885" s="327"/>
      <c r="O885" s="328"/>
      <c r="P885" s="326">
        <v>0</v>
      </c>
      <c r="Q885" s="327"/>
      <c r="R885" s="329">
        <v>184.31</v>
      </c>
      <c r="S885" s="326"/>
      <c r="T885" s="326"/>
      <c r="U885" s="326">
        <v>19654.810000000001</v>
      </c>
      <c r="V885" s="326"/>
      <c r="W885" s="326"/>
      <c r="X885" s="326"/>
      <c r="Y885" s="1350">
        <f t="shared" si="93"/>
        <v>184.31</v>
      </c>
      <c r="Z885" s="1351">
        <f t="shared" si="94"/>
        <v>0</v>
      </c>
      <c r="AA885" s="326">
        <f t="shared" si="95"/>
        <v>0</v>
      </c>
      <c r="AB885" s="326">
        <f t="shared" si="96"/>
        <v>19654.810000000001</v>
      </c>
      <c r="AC885" s="326">
        <f t="shared" si="97"/>
        <v>0</v>
      </c>
      <c r="AD885" s="326">
        <f t="shared" si="98"/>
        <v>0</v>
      </c>
      <c r="AE885" s="326">
        <f t="shared" si="99"/>
        <v>0</v>
      </c>
      <c r="AF885" s="310" t="s">
        <v>1493</v>
      </c>
      <c r="AG885" s="841"/>
      <c r="AH885" s="744"/>
      <c r="AI885" s="292"/>
      <c r="AK885" s="300"/>
      <c r="AS885" s="452"/>
    </row>
    <row r="886" spans="1:45" s="299" customFormat="1">
      <c r="A886" s="338">
        <v>400</v>
      </c>
      <c r="B886" s="337">
        <v>0</v>
      </c>
      <c r="C886" s="337">
        <v>0</v>
      </c>
      <c r="D886" s="337">
        <v>0</v>
      </c>
      <c r="E886" s="337">
        <v>0</v>
      </c>
      <c r="F886" s="337">
        <v>0</v>
      </c>
      <c r="G886" s="391" t="s">
        <v>110</v>
      </c>
      <c r="H886" s="334"/>
      <c r="I886" s="331"/>
      <c r="J886" s="359"/>
      <c r="K886" s="359">
        <f t="shared" ref="K886:K893" si="100">+I886+J886</f>
        <v>0</v>
      </c>
      <c r="L886" s="359"/>
      <c r="M886" s="359"/>
      <c r="N886" s="332"/>
      <c r="O886" s="333"/>
      <c r="P886" s="331">
        <v>0</v>
      </c>
      <c r="Q886" s="332"/>
      <c r="R886" s="334"/>
      <c r="S886" s="331"/>
      <c r="T886" s="331"/>
      <c r="U886" s="331"/>
      <c r="V886" s="331"/>
      <c r="W886" s="331"/>
      <c r="X886" s="331"/>
      <c r="Y886" s="1352">
        <f t="shared" si="93"/>
        <v>0</v>
      </c>
      <c r="Z886" s="1353">
        <f t="shared" si="94"/>
        <v>0</v>
      </c>
      <c r="AA886" s="331">
        <f t="shared" si="95"/>
        <v>0</v>
      </c>
      <c r="AB886" s="331">
        <f t="shared" si="96"/>
        <v>0</v>
      </c>
      <c r="AC886" s="331">
        <f t="shared" si="97"/>
        <v>0</v>
      </c>
      <c r="AD886" s="331">
        <f t="shared" si="98"/>
        <v>0</v>
      </c>
      <c r="AE886" s="331">
        <f t="shared" si="99"/>
        <v>0</v>
      </c>
      <c r="AF886" s="330" t="s">
        <v>1494</v>
      </c>
      <c r="AG886" s="837"/>
      <c r="AH886" s="744">
        <f>SUM(Y886:Y890)</f>
        <v>2811532.77</v>
      </c>
      <c r="AI886" s="292" t="s">
        <v>2258</v>
      </c>
      <c r="AK886" s="300"/>
      <c r="AS886" s="452"/>
    </row>
    <row r="887" spans="1:45" s="299" customFormat="1" ht="27.6">
      <c r="A887" s="318">
        <v>400</v>
      </c>
      <c r="B887" s="316">
        <v>100</v>
      </c>
      <c r="C887" s="316"/>
      <c r="D887" s="316"/>
      <c r="E887" s="316"/>
      <c r="F887" s="316"/>
      <c r="G887" s="315" t="s">
        <v>1495</v>
      </c>
      <c r="H887" s="329"/>
      <c r="I887" s="326"/>
      <c r="J887" s="358"/>
      <c r="K887" s="358">
        <f t="shared" si="100"/>
        <v>0</v>
      </c>
      <c r="L887" s="358"/>
      <c r="M887" s="358"/>
      <c r="N887" s="363"/>
      <c r="O887" s="803"/>
      <c r="P887" s="393">
        <v>58588.17</v>
      </c>
      <c r="Q887" s="392">
        <v>103086</v>
      </c>
      <c r="R887" s="314">
        <v>2635175.88</v>
      </c>
      <c r="S887" s="326">
        <f>70576.54+10336.29</f>
        <v>80912.829999999987</v>
      </c>
      <c r="T887" s="326"/>
      <c r="U887" s="326">
        <f>2516057.18-P887</f>
        <v>2457469.0100000002</v>
      </c>
      <c r="V887" s="326">
        <v>74146.22</v>
      </c>
      <c r="W887" s="326">
        <v>18884.32</v>
      </c>
      <c r="X887" s="326">
        <v>2343641</v>
      </c>
      <c r="Y887" s="1350">
        <f t="shared" si="93"/>
        <v>2635175.88</v>
      </c>
      <c r="Z887" s="1351">
        <f t="shared" si="94"/>
        <v>80912.829999999987</v>
      </c>
      <c r="AA887" s="326">
        <f t="shared" si="95"/>
        <v>0</v>
      </c>
      <c r="AB887" s="326">
        <f t="shared" si="96"/>
        <v>2516057.1800000002</v>
      </c>
      <c r="AC887" s="326">
        <f t="shared" si="97"/>
        <v>74146.22</v>
      </c>
      <c r="AD887" s="326">
        <f t="shared" si="98"/>
        <v>18884.32</v>
      </c>
      <c r="AE887" s="326">
        <f t="shared" si="99"/>
        <v>2446727</v>
      </c>
      <c r="AF887" s="310" t="s">
        <v>1496</v>
      </c>
      <c r="AG887" s="841"/>
      <c r="AH887" s="744"/>
      <c r="AI887" s="292"/>
      <c r="AK887" s="300"/>
      <c r="AS887" s="452"/>
    </row>
    <row r="888" spans="1:45" s="292" customFormat="1" ht="41.4">
      <c r="A888" s="318">
        <v>400</v>
      </c>
      <c r="B888" s="316">
        <v>200</v>
      </c>
      <c r="C888" s="316"/>
      <c r="D888" s="316"/>
      <c r="E888" s="316"/>
      <c r="F888" s="316"/>
      <c r="G888" s="315" t="s">
        <v>1497</v>
      </c>
      <c r="H888" s="329"/>
      <c r="I888" s="326"/>
      <c r="J888" s="358"/>
      <c r="K888" s="358">
        <f t="shared" si="100"/>
        <v>0</v>
      </c>
      <c r="L888" s="358"/>
      <c r="M888" s="358"/>
      <c r="N888" s="327"/>
      <c r="O888" s="328"/>
      <c r="P888" s="326">
        <v>137019.5716</v>
      </c>
      <c r="Q888" s="327">
        <v>130628</v>
      </c>
      <c r="R888" s="329">
        <v>135141.93</v>
      </c>
      <c r="S888" s="326">
        <v>6216.48</v>
      </c>
      <c r="T888" s="326"/>
      <c r="U888" s="326"/>
      <c r="V888" s="326">
        <v>6273.71</v>
      </c>
      <c r="W888" s="326"/>
      <c r="X888" s="326"/>
      <c r="Y888" s="1350">
        <f t="shared" si="93"/>
        <v>135141.93</v>
      </c>
      <c r="Z888" s="1351">
        <f t="shared" si="94"/>
        <v>6216.48</v>
      </c>
      <c r="AA888" s="326">
        <f t="shared" si="95"/>
        <v>0</v>
      </c>
      <c r="AB888" s="326">
        <f t="shared" si="96"/>
        <v>137019.5716</v>
      </c>
      <c r="AC888" s="326">
        <f t="shared" si="97"/>
        <v>6273.71</v>
      </c>
      <c r="AD888" s="326">
        <f t="shared" si="98"/>
        <v>0</v>
      </c>
      <c r="AE888" s="326">
        <f t="shared" si="99"/>
        <v>130628</v>
      </c>
      <c r="AF888" s="310" t="s">
        <v>1498</v>
      </c>
      <c r="AG888" s="841"/>
      <c r="AH888" s="744"/>
      <c r="AK888" s="293"/>
      <c r="AS888" s="744"/>
    </row>
    <row r="889" spans="1:45" s="299" customFormat="1" ht="27.6">
      <c r="A889" s="318">
        <v>400</v>
      </c>
      <c r="B889" s="316">
        <v>300</v>
      </c>
      <c r="C889" s="316"/>
      <c r="D889" s="316"/>
      <c r="E889" s="316"/>
      <c r="F889" s="316"/>
      <c r="G889" s="315" t="s">
        <v>1499</v>
      </c>
      <c r="H889" s="329"/>
      <c r="I889" s="326"/>
      <c r="J889" s="358"/>
      <c r="K889" s="358">
        <f t="shared" si="100"/>
        <v>0</v>
      </c>
      <c r="L889" s="358"/>
      <c r="M889" s="358"/>
      <c r="N889" s="327"/>
      <c r="O889" s="328"/>
      <c r="P889" s="326">
        <v>0</v>
      </c>
      <c r="Q889" s="327"/>
      <c r="R889" s="328">
        <v>41214.959999999999</v>
      </c>
      <c r="S889" s="326"/>
      <c r="T889" s="326"/>
      <c r="U889" s="326">
        <v>48304</v>
      </c>
      <c r="V889" s="326"/>
      <c r="W889" s="326"/>
      <c r="X889" s="326">
        <v>48304</v>
      </c>
      <c r="Y889" s="1350">
        <f t="shared" si="93"/>
        <v>41214.959999999999</v>
      </c>
      <c r="Z889" s="1351">
        <f t="shared" si="94"/>
        <v>0</v>
      </c>
      <c r="AA889" s="326">
        <f t="shared" si="95"/>
        <v>0</v>
      </c>
      <c r="AB889" s="326">
        <f t="shared" si="96"/>
        <v>48304</v>
      </c>
      <c r="AC889" s="326">
        <f t="shared" si="97"/>
        <v>0</v>
      </c>
      <c r="AD889" s="326">
        <f t="shared" si="98"/>
        <v>0</v>
      </c>
      <c r="AE889" s="326">
        <f t="shared" si="99"/>
        <v>48304</v>
      </c>
      <c r="AF889" s="310" t="s">
        <v>1500</v>
      </c>
      <c r="AG889" s="841"/>
      <c r="AH889" s="744"/>
      <c r="AI889" s="292"/>
      <c r="AK889" s="300"/>
      <c r="AS889" s="452"/>
    </row>
    <row r="890" spans="1:45" s="299" customFormat="1" ht="27.6">
      <c r="A890" s="318">
        <v>400</v>
      </c>
      <c r="B890" s="316">
        <v>400</v>
      </c>
      <c r="C890" s="316"/>
      <c r="D890" s="316"/>
      <c r="E890" s="316"/>
      <c r="F890" s="316"/>
      <c r="G890" s="315" t="s">
        <v>1501</v>
      </c>
      <c r="H890" s="329"/>
      <c r="I890" s="326"/>
      <c r="J890" s="358"/>
      <c r="K890" s="358">
        <f t="shared" si="100"/>
        <v>0</v>
      </c>
      <c r="L890" s="358"/>
      <c r="M890" s="358"/>
      <c r="N890" s="327"/>
      <c r="O890" s="328"/>
      <c r="P890" s="326">
        <v>0</v>
      </c>
      <c r="Q890" s="327"/>
      <c r="R890" s="329"/>
      <c r="S890" s="326"/>
      <c r="T890" s="326"/>
      <c r="U890" s="326"/>
      <c r="V890" s="326"/>
      <c r="W890" s="326"/>
      <c r="X890" s="326"/>
      <c r="Y890" s="1350">
        <f t="shared" si="93"/>
        <v>0</v>
      </c>
      <c r="Z890" s="1351">
        <f t="shared" si="94"/>
        <v>0</v>
      </c>
      <c r="AA890" s="326">
        <f t="shared" si="95"/>
        <v>0</v>
      </c>
      <c r="AB890" s="326">
        <f t="shared" si="96"/>
        <v>0</v>
      </c>
      <c r="AC890" s="326">
        <f t="shared" si="97"/>
        <v>0</v>
      </c>
      <c r="AD890" s="326">
        <f t="shared" si="98"/>
        <v>0</v>
      </c>
      <c r="AE890" s="326">
        <f t="shared" si="99"/>
        <v>0</v>
      </c>
      <c r="AF890" s="310" t="s">
        <v>1502</v>
      </c>
      <c r="AG890" s="841"/>
      <c r="AH890" s="744"/>
      <c r="AI890" s="292"/>
      <c r="AK890" s="300"/>
      <c r="AS890" s="452"/>
    </row>
    <row r="891" spans="1:45" s="299" customFormat="1">
      <c r="A891" s="338">
        <v>405</v>
      </c>
      <c r="B891" s="337">
        <v>0</v>
      </c>
      <c r="C891" s="337">
        <v>0</v>
      </c>
      <c r="D891" s="337">
        <v>0</v>
      </c>
      <c r="E891" s="337">
        <v>0</v>
      </c>
      <c r="F891" s="337">
        <v>0</v>
      </c>
      <c r="G891" s="391" t="s">
        <v>115</v>
      </c>
      <c r="H891" s="334"/>
      <c r="I891" s="331"/>
      <c r="J891" s="359"/>
      <c r="K891" s="359">
        <f t="shared" si="100"/>
        <v>0</v>
      </c>
      <c r="L891" s="359"/>
      <c r="M891" s="359"/>
      <c r="N891" s="332"/>
      <c r="O891" s="333"/>
      <c r="P891" s="331">
        <v>0</v>
      </c>
      <c r="Q891" s="332"/>
      <c r="R891" s="334"/>
      <c r="S891" s="331"/>
      <c r="T891" s="331"/>
      <c r="U891" s="331"/>
      <c r="V891" s="331"/>
      <c r="W891" s="331"/>
      <c r="X891" s="331"/>
      <c r="Y891" s="1352">
        <f t="shared" si="93"/>
        <v>0</v>
      </c>
      <c r="Z891" s="1353">
        <f t="shared" si="94"/>
        <v>0</v>
      </c>
      <c r="AA891" s="331">
        <f t="shared" si="95"/>
        <v>0</v>
      </c>
      <c r="AB891" s="331">
        <f t="shared" si="96"/>
        <v>0</v>
      </c>
      <c r="AC891" s="331">
        <f t="shared" si="97"/>
        <v>0</v>
      </c>
      <c r="AD891" s="331">
        <f t="shared" si="98"/>
        <v>0</v>
      </c>
      <c r="AE891" s="331">
        <f t="shared" si="99"/>
        <v>0</v>
      </c>
      <c r="AF891" s="330" t="s">
        <v>1503</v>
      </c>
      <c r="AG891" s="837"/>
      <c r="AH891" s="744">
        <f>SUM(Y891:Y894)</f>
        <v>15847</v>
      </c>
      <c r="AI891" s="292" t="s">
        <v>2257</v>
      </c>
      <c r="AK891" s="300"/>
      <c r="AS891" s="452"/>
    </row>
    <row r="892" spans="1:45" s="299" customFormat="1">
      <c r="A892" s="318">
        <v>405</v>
      </c>
      <c r="B892" s="316">
        <v>100</v>
      </c>
      <c r="C892" s="316"/>
      <c r="D892" s="316"/>
      <c r="E892" s="316"/>
      <c r="F892" s="316"/>
      <c r="G892" s="315" t="s">
        <v>1504</v>
      </c>
      <c r="H892" s="329"/>
      <c r="I892" s="326"/>
      <c r="J892" s="358"/>
      <c r="K892" s="358">
        <f t="shared" si="100"/>
        <v>0</v>
      </c>
      <c r="L892" s="358"/>
      <c r="M892" s="358"/>
      <c r="N892" s="327"/>
      <c r="O892" s="328"/>
      <c r="P892" s="326">
        <v>0</v>
      </c>
      <c r="Q892" s="327"/>
      <c r="R892" s="615">
        <v>15847</v>
      </c>
      <c r="S892" s="390"/>
      <c r="T892" s="390"/>
      <c r="U892" s="390">
        <v>25000</v>
      </c>
      <c r="V892" s="390"/>
      <c r="W892" s="390"/>
      <c r="X892" s="390">
        <v>25000</v>
      </c>
      <c r="Y892" s="1350">
        <f t="shared" si="93"/>
        <v>15847</v>
      </c>
      <c r="Z892" s="1351">
        <f t="shared" si="94"/>
        <v>0</v>
      </c>
      <c r="AA892" s="326">
        <f t="shared" si="95"/>
        <v>0</v>
      </c>
      <c r="AB892" s="326">
        <f t="shared" si="96"/>
        <v>25000</v>
      </c>
      <c r="AC892" s="326">
        <f t="shared" si="97"/>
        <v>0</v>
      </c>
      <c r="AD892" s="326">
        <f t="shared" si="98"/>
        <v>0</v>
      </c>
      <c r="AE892" s="326">
        <f t="shared" si="99"/>
        <v>25000</v>
      </c>
      <c r="AF892" s="310" t="s">
        <v>1505</v>
      </c>
      <c r="AG892" s="841"/>
      <c r="AH892" s="744"/>
      <c r="AI892" s="292"/>
      <c r="AK892" s="300"/>
      <c r="AS892" s="452"/>
    </row>
    <row r="893" spans="1:45" s="292" customFormat="1">
      <c r="A893" s="318">
        <v>405</v>
      </c>
      <c r="B893" s="316">
        <v>200</v>
      </c>
      <c r="C893" s="316"/>
      <c r="D893" s="316"/>
      <c r="E893" s="316"/>
      <c r="F893" s="316"/>
      <c r="G893" s="315" t="s">
        <v>1506</v>
      </c>
      <c r="H893" s="329"/>
      <c r="I893" s="326"/>
      <c r="J893" s="358"/>
      <c r="K893" s="358">
        <f t="shared" si="100"/>
        <v>0</v>
      </c>
      <c r="L893" s="358"/>
      <c r="M893" s="358"/>
      <c r="N893" s="327"/>
      <c r="O893" s="328"/>
      <c r="P893" s="326">
        <v>0</v>
      </c>
      <c r="Q893" s="327"/>
      <c r="R893" s="329"/>
      <c r="S893" s="326"/>
      <c r="T893" s="326"/>
      <c r="U893" s="326"/>
      <c r="V893" s="326"/>
      <c r="W893" s="326"/>
      <c r="X893" s="326"/>
      <c r="Y893" s="1350">
        <f t="shared" si="93"/>
        <v>0</v>
      </c>
      <c r="Z893" s="1351">
        <f t="shared" si="94"/>
        <v>0</v>
      </c>
      <c r="AA893" s="326">
        <f t="shared" si="95"/>
        <v>0</v>
      </c>
      <c r="AB893" s="326">
        <f t="shared" si="96"/>
        <v>0</v>
      </c>
      <c r="AC893" s="326">
        <f t="shared" si="97"/>
        <v>0</v>
      </c>
      <c r="AD893" s="326">
        <f t="shared" si="98"/>
        <v>0</v>
      </c>
      <c r="AE893" s="326">
        <f t="shared" si="99"/>
        <v>0</v>
      </c>
      <c r="AF893" s="310" t="s">
        <v>1507</v>
      </c>
      <c r="AG893" s="841"/>
      <c r="AH893" s="744"/>
      <c r="AK893" s="293"/>
      <c r="AS893" s="744"/>
    </row>
    <row r="894" spans="1:45" s="299" customFormat="1" ht="28.2" thickBot="1">
      <c r="A894" s="389">
        <v>410</v>
      </c>
      <c r="B894" s="388">
        <v>0</v>
      </c>
      <c r="C894" s="388">
        <v>0</v>
      </c>
      <c r="D894" s="388">
        <v>0</v>
      </c>
      <c r="E894" s="388">
        <v>0</v>
      </c>
      <c r="F894" s="388">
        <v>0</v>
      </c>
      <c r="G894" s="387" t="s">
        <v>1508</v>
      </c>
      <c r="H894" s="385"/>
      <c r="I894" s="383"/>
      <c r="J894" s="386"/>
      <c r="K894" s="386"/>
      <c r="L894" s="386"/>
      <c r="M894" s="386"/>
      <c r="N894" s="384"/>
      <c r="O894" s="814"/>
      <c r="P894" s="383">
        <v>0</v>
      </c>
      <c r="Q894" s="384"/>
      <c r="R894" s="385"/>
      <c r="S894" s="383"/>
      <c r="T894" s="383"/>
      <c r="U894" s="383"/>
      <c r="V894" s="383"/>
      <c r="W894" s="383"/>
      <c r="X894" s="383"/>
      <c r="Y894" s="1379">
        <f t="shared" si="93"/>
        <v>0</v>
      </c>
      <c r="Z894" s="1380">
        <f t="shared" si="94"/>
        <v>0</v>
      </c>
      <c r="AA894" s="383">
        <f t="shared" si="95"/>
        <v>0</v>
      </c>
      <c r="AB894" s="383">
        <f t="shared" si="96"/>
        <v>0</v>
      </c>
      <c r="AC894" s="383">
        <f t="shared" si="97"/>
        <v>0</v>
      </c>
      <c r="AD894" s="383">
        <f t="shared" si="98"/>
        <v>0</v>
      </c>
      <c r="AE894" s="383">
        <f t="shared" si="99"/>
        <v>0</v>
      </c>
      <c r="AF894" s="382" t="s">
        <v>1509</v>
      </c>
      <c r="AG894" s="837"/>
      <c r="AH894" s="744"/>
      <c r="AI894" s="292"/>
      <c r="AK894" s="300"/>
      <c r="AS894" s="452"/>
    </row>
    <row r="895" spans="1:45" s="711" customFormat="1" ht="14.4" thickBot="1">
      <c r="S895" s="828"/>
      <c r="T895" s="733"/>
      <c r="U895" s="733"/>
      <c r="V895" s="733"/>
      <c r="W895" s="733"/>
      <c r="X895" s="733"/>
      <c r="Y895" s="1381"/>
      <c r="Z895" s="1382"/>
      <c r="AA895" s="733"/>
      <c r="AB895" s="733"/>
      <c r="AC895" s="733"/>
      <c r="AD895" s="733"/>
      <c r="AE895" s="733"/>
      <c r="AG895" s="842"/>
      <c r="AH895" s="746"/>
      <c r="AI895" s="734"/>
      <c r="AK895" s="735"/>
      <c r="AS895" s="288"/>
    </row>
    <row r="896" spans="1:45" s="292" customFormat="1">
      <c r="A896" s="381">
        <v>600</v>
      </c>
      <c r="B896" s="380">
        <v>0</v>
      </c>
      <c r="C896" s="380">
        <v>0</v>
      </c>
      <c r="D896" s="380">
        <v>0</v>
      </c>
      <c r="E896" s="380">
        <v>0</v>
      </c>
      <c r="F896" s="380">
        <v>0</v>
      </c>
      <c r="G896" s="379" t="s">
        <v>129</v>
      </c>
      <c r="H896" s="378"/>
      <c r="I896" s="376"/>
      <c r="J896" s="376"/>
      <c r="K896" s="376"/>
      <c r="L896" s="376"/>
      <c r="M896" s="376"/>
      <c r="N896" s="377"/>
      <c r="O896" s="378"/>
      <c r="P896" s="376">
        <v>0</v>
      </c>
      <c r="Q896" s="377"/>
      <c r="R896" s="378"/>
      <c r="S896" s="376"/>
      <c r="T896" s="376"/>
      <c r="U896" s="376"/>
      <c r="V896" s="376"/>
      <c r="W896" s="376"/>
      <c r="X896" s="376"/>
      <c r="Y896" s="1383">
        <f t="shared" si="93"/>
        <v>0</v>
      </c>
      <c r="Z896" s="1384">
        <f t="shared" si="94"/>
        <v>0</v>
      </c>
      <c r="AA896" s="376">
        <f t="shared" si="95"/>
        <v>0</v>
      </c>
      <c r="AB896" s="376">
        <f t="shared" si="96"/>
        <v>0</v>
      </c>
      <c r="AC896" s="376">
        <f t="shared" si="97"/>
        <v>0</v>
      </c>
      <c r="AD896" s="376">
        <f t="shared" si="98"/>
        <v>0</v>
      </c>
      <c r="AE896" s="376">
        <f t="shared" si="99"/>
        <v>0</v>
      </c>
      <c r="AF896" s="375" t="s">
        <v>1528</v>
      </c>
      <c r="AG896" s="837"/>
      <c r="AH896" s="744"/>
      <c r="AK896" s="293"/>
      <c r="AS896" s="744"/>
    </row>
    <row r="897" spans="1:45" s="299" customFormat="1" ht="27.6">
      <c r="A897" s="353">
        <v>600</v>
      </c>
      <c r="B897" s="352">
        <v>100</v>
      </c>
      <c r="C897" s="352"/>
      <c r="D897" s="352"/>
      <c r="E897" s="352"/>
      <c r="F897" s="352"/>
      <c r="G897" s="323" t="s">
        <v>130</v>
      </c>
      <c r="H897" s="374"/>
      <c r="I897" s="372"/>
      <c r="J897" s="372"/>
      <c r="K897" s="372"/>
      <c r="L897" s="372"/>
      <c r="M897" s="372"/>
      <c r="N897" s="373"/>
      <c r="O897" s="374"/>
      <c r="P897" s="372">
        <v>0</v>
      </c>
      <c r="Q897" s="373"/>
      <c r="R897" s="374"/>
      <c r="S897" s="372"/>
      <c r="T897" s="372"/>
      <c r="U897" s="372"/>
      <c r="V897" s="372"/>
      <c r="W897" s="372"/>
      <c r="X897" s="372"/>
      <c r="Y897" s="1385">
        <f t="shared" si="93"/>
        <v>0</v>
      </c>
      <c r="Z897" s="1386">
        <f t="shared" si="94"/>
        <v>0</v>
      </c>
      <c r="AA897" s="372">
        <f t="shared" si="95"/>
        <v>0</v>
      </c>
      <c r="AB897" s="372">
        <f t="shared" si="96"/>
        <v>0</v>
      </c>
      <c r="AC897" s="372">
        <f t="shared" si="97"/>
        <v>0</v>
      </c>
      <c r="AD897" s="372">
        <f t="shared" si="98"/>
        <v>0</v>
      </c>
      <c r="AE897" s="372">
        <f t="shared" si="99"/>
        <v>0</v>
      </c>
      <c r="AF897" s="355" t="s">
        <v>1530</v>
      </c>
      <c r="AG897" s="838"/>
      <c r="AH897" s="744">
        <f>SUM(Y897:Y943)</f>
        <v>44123034.479999997</v>
      </c>
      <c r="AI897" s="292" t="s">
        <v>2256</v>
      </c>
      <c r="AK897" s="300">
        <v>162698</v>
      </c>
      <c r="AS897" s="452"/>
    </row>
    <row r="898" spans="1:45" s="299" customFormat="1" ht="27.6">
      <c r="A898" s="353">
        <v>600</v>
      </c>
      <c r="B898" s="352">
        <v>100</v>
      </c>
      <c r="C898" s="352">
        <v>100</v>
      </c>
      <c r="D898" s="352"/>
      <c r="E898" s="352"/>
      <c r="F898" s="352"/>
      <c r="G898" s="323" t="s">
        <v>131</v>
      </c>
      <c r="H898" s="374"/>
      <c r="I898" s="372"/>
      <c r="J898" s="372"/>
      <c r="K898" s="372"/>
      <c r="L898" s="372"/>
      <c r="M898" s="372"/>
      <c r="N898" s="373"/>
      <c r="O898" s="374"/>
      <c r="P898" s="372">
        <v>0</v>
      </c>
      <c r="Q898" s="373"/>
      <c r="R898" s="374"/>
      <c r="S898" s="372"/>
      <c r="T898" s="372"/>
      <c r="U898" s="372"/>
      <c r="V898" s="372"/>
      <c r="W898" s="372"/>
      <c r="X898" s="372"/>
      <c r="Y898" s="1385">
        <f t="shared" si="93"/>
        <v>0</v>
      </c>
      <c r="Z898" s="1386">
        <f t="shared" si="94"/>
        <v>0</v>
      </c>
      <c r="AA898" s="372">
        <f t="shared" si="95"/>
        <v>0</v>
      </c>
      <c r="AB898" s="372">
        <f t="shared" si="96"/>
        <v>0</v>
      </c>
      <c r="AC898" s="372">
        <f t="shared" si="97"/>
        <v>0</v>
      </c>
      <c r="AD898" s="372">
        <f t="shared" si="98"/>
        <v>0</v>
      </c>
      <c r="AE898" s="372">
        <f t="shared" si="99"/>
        <v>0</v>
      </c>
      <c r="AF898" s="355" t="s">
        <v>132</v>
      </c>
      <c r="AG898" s="838"/>
      <c r="AH898" s="744"/>
      <c r="AI898" s="292"/>
      <c r="AK898" s="452">
        <v>1062166.1100000001</v>
      </c>
      <c r="AS898" s="452"/>
    </row>
    <row r="899" spans="1:45" s="299" customFormat="1">
      <c r="A899" s="353">
        <v>600</v>
      </c>
      <c r="B899" s="352">
        <v>100</v>
      </c>
      <c r="C899" s="352">
        <v>100</v>
      </c>
      <c r="D899" s="316">
        <v>100</v>
      </c>
      <c r="E899" s="316"/>
      <c r="F899" s="316"/>
      <c r="G899" s="315" t="s">
        <v>2119</v>
      </c>
      <c r="H899" s="314"/>
      <c r="I899" s="311"/>
      <c r="J899" s="311"/>
      <c r="K899" s="311"/>
      <c r="L899" s="311"/>
      <c r="M899" s="311"/>
      <c r="N899" s="312"/>
      <c r="O899" s="314"/>
      <c r="P899" s="311">
        <v>0</v>
      </c>
      <c r="Q899" s="312"/>
      <c r="R899" s="821">
        <v>11008013</v>
      </c>
      <c r="S899" s="370"/>
      <c r="T899" s="370"/>
      <c r="U899" s="370">
        <v>11008013</v>
      </c>
      <c r="V899" s="370"/>
      <c r="W899" s="370"/>
      <c r="X899" s="1412">
        <v>10337650</v>
      </c>
      <c r="Y899" s="1407">
        <f t="shared" si="93"/>
        <v>11008013</v>
      </c>
      <c r="Z899" s="1387">
        <f t="shared" si="94"/>
        <v>0</v>
      </c>
      <c r="AA899" s="370">
        <f t="shared" si="95"/>
        <v>0</v>
      </c>
      <c r="AB899" s="370">
        <f t="shared" si="96"/>
        <v>11008013</v>
      </c>
      <c r="AC899" s="370">
        <f t="shared" si="97"/>
        <v>0</v>
      </c>
      <c r="AD899" s="370">
        <f t="shared" si="98"/>
        <v>0</v>
      </c>
      <c r="AE899" s="370">
        <f t="shared" si="99"/>
        <v>10337650</v>
      </c>
      <c r="AF899" s="355" t="s">
        <v>133</v>
      </c>
      <c r="AG899" s="838"/>
      <c r="AH899" s="367"/>
      <c r="AI899" s="292"/>
      <c r="AK899" s="452">
        <v>180157.67</v>
      </c>
      <c r="AS899" s="452"/>
    </row>
    <row r="900" spans="1:45" s="299" customFormat="1" ht="27.6">
      <c r="A900" s="353">
        <v>600</v>
      </c>
      <c r="B900" s="352">
        <v>100</v>
      </c>
      <c r="C900" s="352">
        <v>100</v>
      </c>
      <c r="D900" s="316">
        <v>200</v>
      </c>
      <c r="E900" s="316"/>
      <c r="F900" s="316"/>
      <c r="G900" s="315" t="s">
        <v>134</v>
      </c>
      <c r="H900" s="314"/>
      <c r="I900" s="311"/>
      <c r="J900" s="311"/>
      <c r="K900" s="311"/>
      <c r="L900" s="311"/>
      <c r="M900" s="311"/>
      <c r="N900" s="312"/>
      <c r="O900" s="314"/>
      <c r="P900" s="311">
        <v>0</v>
      </c>
      <c r="Q900" s="312"/>
      <c r="R900" s="1418">
        <f>16620811.19-69902</f>
        <v>16550909.189999999</v>
      </c>
      <c r="S900" s="1419">
        <f>1546273.64+935155.02+1819029</f>
        <v>4300457.66</v>
      </c>
      <c r="T900" s="369"/>
      <c r="U900" s="369">
        <v>16717358.053975001</v>
      </c>
      <c r="V900" s="369">
        <v>4466906.4000000004</v>
      </c>
      <c r="W900" s="369"/>
      <c r="X900" s="1413">
        <v>11604889</v>
      </c>
      <c r="Y900" s="1408">
        <f t="shared" si="93"/>
        <v>16550909.189999999</v>
      </c>
      <c r="Z900" s="1388">
        <f t="shared" si="94"/>
        <v>4300457.66</v>
      </c>
      <c r="AA900" s="369">
        <f t="shared" si="95"/>
        <v>0</v>
      </c>
      <c r="AB900" s="369">
        <f t="shared" si="96"/>
        <v>16717358.053975001</v>
      </c>
      <c r="AC900" s="369">
        <f t="shared" si="97"/>
        <v>4466906.4000000004</v>
      </c>
      <c r="AD900" s="369">
        <f t="shared" si="98"/>
        <v>0</v>
      </c>
      <c r="AE900" s="369">
        <f t="shared" si="99"/>
        <v>11604889</v>
      </c>
      <c r="AF900" s="355" t="s">
        <v>135</v>
      </c>
      <c r="AG900" s="838"/>
      <c r="AH900" s="367"/>
      <c r="AI900" s="292"/>
      <c r="AK900" s="452">
        <v>137093.26999999999</v>
      </c>
      <c r="AS900" s="452"/>
    </row>
    <row r="901" spans="1:45" s="299" customFormat="1">
      <c r="A901" s="353">
        <v>600</v>
      </c>
      <c r="B901" s="352">
        <v>100</v>
      </c>
      <c r="C901" s="352">
        <v>100</v>
      </c>
      <c r="D901" s="316">
        <v>300</v>
      </c>
      <c r="E901" s="316"/>
      <c r="F901" s="316"/>
      <c r="G901" s="315" t="s">
        <v>2120</v>
      </c>
      <c r="H901" s="322"/>
      <c r="I901" s="320"/>
      <c r="J901" s="320"/>
      <c r="K901" s="320"/>
      <c r="L901" s="320"/>
      <c r="M901" s="320"/>
      <c r="N901" s="321"/>
      <c r="O901" s="322"/>
      <c r="P901" s="320">
        <v>0</v>
      </c>
      <c r="Q901" s="321"/>
      <c r="R901" s="530"/>
      <c r="S901" s="320"/>
      <c r="T901" s="320"/>
      <c r="U901" s="320">
        <v>0</v>
      </c>
      <c r="V901" s="320"/>
      <c r="W901" s="320"/>
      <c r="X901" s="1414"/>
      <c r="Y901" s="1409">
        <f t="shared" si="93"/>
        <v>0</v>
      </c>
      <c r="Z901" s="1389">
        <f t="shared" si="94"/>
        <v>0</v>
      </c>
      <c r="AA901" s="320">
        <f t="shared" si="95"/>
        <v>0</v>
      </c>
      <c r="AB901" s="320">
        <f t="shared" si="96"/>
        <v>0</v>
      </c>
      <c r="AC901" s="320">
        <f t="shared" si="97"/>
        <v>0</v>
      </c>
      <c r="AD901" s="320">
        <f t="shared" si="98"/>
        <v>0</v>
      </c>
      <c r="AE901" s="320">
        <f t="shared" si="99"/>
        <v>0</v>
      </c>
      <c r="AF901" s="355" t="s">
        <v>136</v>
      </c>
      <c r="AG901" s="838"/>
      <c r="AH901" s="367"/>
      <c r="AI901" s="292"/>
      <c r="AK901" s="452">
        <v>276913</v>
      </c>
      <c r="AS901" s="452"/>
    </row>
    <row r="902" spans="1:45" s="299" customFormat="1">
      <c r="A902" s="353">
        <v>600</v>
      </c>
      <c r="B902" s="352">
        <v>100</v>
      </c>
      <c r="C902" s="352">
        <v>100</v>
      </c>
      <c r="D902" s="316">
        <v>300</v>
      </c>
      <c r="E902" s="316">
        <v>10</v>
      </c>
      <c r="F902" s="316"/>
      <c r="G902" s="315" t="s">
        <v>137</v>
      </c>
      <c r="H902" s="314"/>
      <c r="I902" s="311"/>
      <c r="J902" s="311"/>
      <c r="K902" s="311"/>
      <c r="L902" s="311"/>
      <c r="M902" s="311"/>
      <c r="N902" s="312"/>
      <c r="O902" s="314"/>
      <c r="P902" s="311">
        <v>0</v>
      </c>
      <c r="Q902" s="312"/>
      <c r="R902" s="817">
        <v>2328685</v>
      </c>
      <c r="S902" s="368"/>
      <c r="T902" s="368"/>
      <c r="U902" s="368">
        <v>2328685</v>
      </c>
      <c r="V902" s="368"/>
      <c r="W902" s="368"/>
      <c r="X902" s="1415">
        <v>2328685</v>
      </c>
      <c r="Y902" s="1410">
        <f t="shared" si="93"/>
        <v>2328685</v>
      </c>
      <c r="Z902" s="1390">
        <f t="shared" si="94"/>
        <v>0</v>
      </c>
      <c r="AA902" s="368">
        <f t="shared" si="95"/>
        <v>0</v>
      </c>
      <c r="AB902" s="368">
        <f t="shared" si="96"/>
        <v>2328685</v>
      </c>
      <c r="AC902" s="368">
        <f t="shared" si="97"/>
        <v>0</v>
      </c>
      <c r="AD902" s="368">
        <f t="shared" si="98"/>
        <v>0</v>
      </c>
      <c r="AE902" s="368">
        <f t="shared" si="99"/>
        <v>2328685</v>
      </c>
      <c r="AF902" s="355" t="s">
        <v>138</v>
      </c>
      <c r="AG902" s="838"/>
      <c r="AH902" s="367"/>
      <c r="AI902" s="292"/>
      <c r="AK902" s="452">
        <f>SUM(AK897:AK901)</f>
        <v>1819028.05</v>
      </c>
      <c r="AS902" s="452"/>
    </row>
    <row r="903" spans="1:45" s="299" customFormat="1">
      <c r="A903" s="353">
        <v>600</v>
      </c>
      <c r="B903" s="352">
        <v>100</v>
      </c>
      <c r="C903" s="352">
        <v>100</v>
      </c>
      <c r="D903" s="316">
        <v>300</v>
      </c>
      <c r="E903" s="316">
        <v>20</v>
      </c>
      <c r="F903" s="316"/>
      <c r="G903" s="315" t="s">
        <v>139</v>
      </c>
      <c r="H903" s="314"/>
      <c r="I903" s="311"/>
      <c r="J903" s="311"/>
      <c r="K903" s="311"/>
      <c r="L903" s="311"/>
      <c r="M903" s="311"/>
      <c r="N903" s="312"/>
      <c r="O903" s="314"/>
      <c r="P903" s="311">
        <v>0</v>
      </c>
      <c r="Q903" s="312"/>
      <c r="R903" s="818">
        <v>5100973</v>
      </c>
      <c r="S903" s="366"/>
      <c r="T903" s="366"/>
      <c r="U903" s="366">
        <v>5100973</v>
      </c>
      <c r="V903" s="366"/>
      <c r="W903" s="366"/>
      <c r="X903" s="1416">
        <v>5100973</v>
      </c>
      <c r="Y903" s="1411">
        <f t="shared" ref="Y903:Y966" si="101">+H903+O903+R903</f>
        <v>5100973</v>
      </c>
      <c r="Z903" s="1391">
        <f t="shared" ref="Z903:Z966" si="102">+I903+S903</f>
        <v>0</v>
      </c>
      <c r="AA903" s="366">
        <f t="shared" ref="AA903:AA966" si="103">+J903+T903</f>
        <v>0</v>
      </c>
      <c r="AB903" s="366">
        <f t="shared" ref="AB903:AB966" si="104">+K903+P903+U903</f>
        <v>5100973</v>
      </c>
      <c r="AC903" s="366">
        <f t="shared" ref="AC903:AC966" si="105">+L903+V903</f>
        <v>0</v>
      </c>
      <c r="AD903" s="366">
        <f t="shared" ref="AD903:AD966" si="106">+M903+W903</f>
        <v>0</v>
      </c>
      <c r="AE903" s="366">
        <f t="shared" ref="AE903:AE966" si="107">+N903+X903+Q903</f>
        <v>5100973</v>
      </c>
      <c r="AF903" s="355" t="s">
        <v>140</v>
      </c>
      <c r="AG903" s="838"/>
      <c r="AH903" s="744"/>
      <c r="AI903" s="292"/>
      <c r="AK903" s="300"/>
      <c r="AS903" s="452"/>
    </row>
    <row r="904" spans="1:45" s="299" customFormat="1" ht="41.4">
      <c r="A904" s="353">
        <v>600</v>
      </c>
      <c r="B904" s="352">
        <v>100</v>
      </c>
      <c r="C904" s="352">
        <v>100</v>
      </c>
      <c r="D904" s="316">
        <v>400</v>
      </c>
      <c r="E904" s="316"/>
      <c r="F904" s="316"/>
      <c r="G904" s="315" t="s">
        <v>141</v>
      </c>
      <c r="H904" s="314"/>
      <c r="I904" s="311"/>
      <c r="J904" s="311"/>
      <c r="K904" s="311"/>
      <c r="L904" s="311"/>
      <c r="M904" s="311"/>
      <c r="N904" s="312"/>
      <c r="O904" s="314"/>
      <c r="P904" s="311">
        <v>0</v>
      </c>
      <c r="Q904" s="312"/>
      <c r="R904" s="314"/>
      <c r="S904" s="311"/>
      <c r="T904" s="311"/>
      <c r="U904" s="311"/>
      <c r="V904" s="311"/>
      <c r="W904" s="311"/>
      <c r="X904" s="311"/>
      <c r="Y904" s="1356">
        <f t="shared" si="101"/>
        <v>0</v>
      </c>
      <c r="Z904" s="1357">
        <f t="shared" si="102"/>
        <v>0</v>
      </c>
      <c r="AA904" s="311">
        <f t="shared" si="103"/>
        <v>0</v>
      </c>
      <c r="AB904" s="311">
        <f t="shared" si="104"/>
        <v>0</v>
      </c>
      <c r="AC904" s="311">
        <f t="shared" si="105"/>
        <v>0</v>
      </c>
      <c r="AD904" s="311">
        <f t="shared" si="106"/>
        <v>0</v>
      </c>
      <c r="AE904" s="311">
        <f t="shared" si="107"/>
        <v>0</v>
      </c>
      <c r="AF904" s="355" t="s">
        <v>142</v>
      </c>
      <c r="AG904" s="838"/>
      <c r="AH904" s="744"/>
      <c r="AI904" s="292"/>
      <c r="AK904" s="300">
        <v>1819028</v>
      </c>
      <c r="AS904" s="452"/>
    </row>
    <row r="905" spans="1:45" s="299" customFormat="1" ht="27.6">
      <c r="A905" s="353">
        <v>600</v>
      </c>
      <c r="B905" s="352">
        <v>100</v>
      </c>
      <c r="C905" s="352">
        <v>200</v>
      </c>
      <c r="D905" s="352"/>
      <c r="E905" s="352"/>
      <c r="F905" s="352"/>
      <c r="G905" s="323" t="s">
        <v>143</v>
      </c>
      <c r="H905" s="322"/>
      <c r="I905" s="320"/>
      <c r="J905" s="320"/>
      <c r="K905" s="320"/>
      <c r="L905" s="320"/>
      <c r="M905" s="320"/>
      <c r="N905" s="321"/>
      <c r="O905" s="322"/>
      <c r="P905" s="320">
        <v>0</v>
      </c>
      <c r="Q905" s="321"/>
      <c r="R905" s="322"/>
      <c r="S905" s="320"/>
      <c r="T905" s="320"/>
      <c r="U905" s="320"/>
      <c r="V905" s="320"/>
      <c r="W905" s="320"/>
      <c r="X905" s="320"/>
      <c r="Y905" s="1392">
        <f t="shared" si="101"/>
        <v>0</v>
      </c>
      <c r="Z905" s="1389">
        <f t="shared" si="102"/>
        <v>0</v>
      </c>
      <c r="AA905" s="320">
        <f t="shared" si="103"/>
        <v>0</v>
      </c>
      <c r="AB905" s="320">
        <f t="shared" si="104"/>
        <v>0</v>
      </c>
      <c r="AC905" s="320">
        <f t="shared" si="105"/>
        <v>0</v>
      </c>
      <c r="AD905" s="320">
        <f t="shared" si="106"/>
        <v>0</v>
      </c>
      <c r="AE905" s="320">
        <f t="shared" si="107"/>
        <v>0</v>
      </c>
      <c r="AF905" s="355" t="s">
        <v>144</v>
      </c>
      <c r="AG905" s="838"/>
      <c r="AH905" s="744"/>
      <c r="AI905" s="292"/>
      <c r="AK905" s="300">
        <f>+AK904-AK902</f>
        <v>-5.0000000046566129E-2</v>
      </c>
      <c r="AS905" s="452"/>
    </row>
    <row r="906" spans="1:45" s="299" customFormat="1">
      <c r="A906" s="353">
        <v>600</v>
      </c>
      <c r="B906" s="352">
        <v>100</v>
      </c>
      <c r="C906" s="352">
        <v>200</v>
      </c>
      <c r="D906" s="316">
        <v>100</v>
      </c>
      <c r="E906" s="316"/>
      <c r="F906" s="316"/>
      <c r="G906" s="315" t="s">
        <v>145</v>
      </c>
      <c r="H906" s="314"/>
      <c r="I906" s="311"/>
      <c r="J906" s="311"/>
      <c r="K906" s="311"/>
      <c r="L906" s="311"/>
      <c r="M906" s="311"/>
      <c r="N906" s="312"/>
      <c r="O906" s="314"/>
      <c r="P906" s="311">
        <v>0</v>
      </c>
      <c r="Q906" s="312"/>
      <c r="R906" s="314"/>
      <c r="S906" s="311"/>
      <c r="T906" s="311"/>
      <c r="U906" s="311"/>
      <c r="V906" s="311"/>
      <c r="W906" s="311"/>
      <c r="X906" s="311"/>
      <c r="Y906" s="1356">
        <f t="shared" si="101"/>
        <v>0</v>
      </c>
      <c r="Z906" s="1357">
        <f t="shared" si="102"/>
        <v>0</v>
      </c>
      <c r="AA906" s="311">
        <f t="shared" si="103"/>
        <v>0</v>
      </c>
      <c r="AB906" s="311">
        <f t="shared" si="104"/>
        <v>0</v>
      </c>
      <c r="AC906" s="311">
        <f t="shared" si="105"/>
        <v>0</v>
      </c>
      <c r="AD906" s="311">
        <f t="shared" si="106"/>
        <v>0</v>
      </c>
      <c r="AE906" s="311">
        <f t="shared" si="107"/>
        <v>0</v>
      </c>
      <c r="AF906" s="310"/>
      <c r="AG906" s="841"/>
      <c r="AH906" s="744"/>
      <c r="AI906" s="292"/>
      <c r="AK906" s="300"/>
      <c r="AS906" s="452"/>
    </row>
    <row r="907" spans="1:45" s="299" customFormat="1" ht="27.6">
      <c r="A907" s="353">
        <v>600</v>
      </c>
      <c r="B907" s="352">
        <v>100</v>
      </c>
      <c r="C907" s="352">
        <v>200</v>
      </c>
      <c r="D907" s="316">
        <v>200</v>
      </c>
      <c r="E907" s="316"/>
      <c r="F907" s="316"/>
      <c r="G907" s="315" t="s">
        <v>146</v>
      </c>
      <c r="H907" s="314"/>
      <c r="I907" s="311"/>
      <c r="J907" s="311"/>
      <c r="K907" s="311"/>
      <c r="L907" s="311"/>
      <c r="M907" s="311"/>
      <c r="N907" s="312"/>
      <c r="O907" s="314"/>
      <c r="P907" s="311">
        <v>0</v>
      </c>
      <c r="Q907" s="312"/>
      <c r="R907" s="314"/>
      <c r="S907" s="311"/>
      <c r="T907" s="311"/>
      <c r="U907" s="311"/>
      <c r="V907" s="311"/>
      <c r="W907" s="311"/>
      <c r="X907" s="311"/>
      <c r="Y907" s="1356">
        <f t="shared" si="101"/>
        <v>0</v>
      </c>
      <c r="Z907" s="1357">
        <f t="shared" si="102"/>
        <v>0</v>
      </c>
      <c r="AA907" s="311">
        <f t="shared" si="103"/>
        <v>0</v>
      </c>
      <c r="AB907" s="311">
        <f t="shared" si="104"/>
        <v>0</v>
      </c>
      <c r="AC907" s="311">
        <f t="shared" si="105"/>
        <v>0</v>
      </c>
      <c r="AD907" s="311">
        <f t="shared" si="106"/>
        <v>0</v>
      </c>
      <c r="AE907" s="311">
        <f t="shared" si="107"/>
        <v>0</v>
      </c>
      <c r="AF907" s="365"/>
      <c r="AG907" s="843"/>
      <c r="AH907" s="744"/>
      <c r="AI907" s="292"/>
      <c r="AK907" s="300"/>
      <c r="AS907" s="452"/>
    </row>
    <row r="908" spans="1:45" s="299" customFormat="1" ht="27.6">
      <c r="A908" s="353">
        <v>600</v>
      </c>
      <c r="B908" s="352">
        <v>100</v>
      </c>
      <c r="C908" s="352">
        <v>200</v>
      </c>
      <c r="D908" s="316">
        <v>300</v>
      </c>
      <c r="E908" s="316"/>
      <c r="F908" s="316"/>
      <c r="G908" s="315" t="s">
        <v>147</v>
      </c>
      <c r="H908" s="314"/>
      <c r="I908" s="311"/>
      <c r="J908" s="311"/>
      <c r="K908" s="311"/>
      <c r="L908" s="311"/>
      <c r="M908" s="311"/>
      <c r="N908" s="312"/>
      <c r="O908" s="314"/>
      <c r="P908" s="311">
        <v>0</v>
      </c>
      <c r="Q908" s="312"/>
      <c r="R908" s="314"/>
      <c r="S908" s="311"/>
      <c r="T908" s="311"/>
      <c r="U908" s="311"/>
      <c r="V908" s="311"/>
      <c r="W908" s="311"/>
      <c r="X908" s="311"/>
      <c r="Y908" s="1356">
        <f t="shared" si="101"/>
        <v>0</v>
      </c>
      <c r="Z908" s="1357">
        <f t="shared" si="102"/>
        <v>0</v>
      </c>
      <c r="AA908" s="311">
        <f t="shared" si="103"/>
        <v>0</v>
      </c>
      <c r="AB908" s="311">
        <f t="shared" si="104"/>
        <v>0</v>
      </c>
      <c r="AC908" s="311">
        <f t="shared" si="105"/>
        <v>0</v>
      </c>
      <c r="AD908" s="311">
        <f t="shared" si="106"/>
        <v>0</v>
      </c>
      <c r="AE908" s="311">
        <f t="shared" si="107"/>
        <v>0</v>
      </c>
      <c r="AF908" s="310"/>
      <c r="AG908" s="841"/>
      <c r="AH908" s="744"/>
      <c r="AI908" s="292"/>
      <c r="AK908" s="300"/>
      <c r="AS908" s="452"/>
    </row>
    <row r="909" spans="1:45" s="299" customFormat="1">
      <c r="A909" s="353">
        <v>600</v>
      </c>
      <c r="B909" s="352">
        <v>200</v>
      </c>
      <c r="C909" s="352"/>
      <c r="D909" s="352"/>
      <c r="E909" s="352"/>
      <c r="F909" s="352"/>
      <c r="G909" s="323" t="s">
        <v>148</v>
      </c>
      <c r="H909" s="322"/>
      <c r="I909" s="320"/>
      <c r="J909" s="320"/>
      <c r="K909" s="320"/>
      <c r="L909" s="320"/>
      <c r="M909" s="320"/>
      <c r="N909" s="321"/>
      <c r="O909" s="322"/>
      <c r="P909" s="320">
        <v>0</v>
      </c>
      <c r="Q909" s="321"/>
      <c r="R909" s="322"/>
      <c r="S909" s="320"/>
      <c r="T909" s="320"/>
      <c r="U909" s="320"/>
      <c r="V909" s="320"/>
      <c r="W909" s="320"/>
      <c r="X909" s="320"/>
      <c r="Y909" s="1392">
        <f t="shared" si="101"/>
        <v>0</v>
      </c>
      <c r="Z909" s="1389">
        <f t="shared" si="102"/>
        <v>0</v>
      </c>
      <c r="AA909" s="320">
        <f t="shared" si="103"/>
        <v>0</v>
      </c>
      <c r="AB909" s="320">
        <f t="shared" si="104"/>
        <v>0</v>
      </c>
      <c r="AC909" s="320">
        <f t="shared" si="105"/>
        <v>0</v>
      </c>
      <c r="AD909" s="320">
        <f t="shared" si="106"/>
        <v>0</v>
      </c>
      <c r="AE909" s="320">
        <f t="shared" si="107"/>
        <v>0</v>
      </c>
      <c r="AF909" s="355" t="s">
        <v>149</v>
      </c>
      <c r="AG909" s="838"/>
      <c r="AH909" s="744"/>
      <c r="AI909" s="292"/>
      <c r="AK909" s="300"/>
      <c r="AS909" s="452"/>
    </row>
    <row r="910" spans="1:45" s="299" customFormat="1" ht="27.6">
      <c r="A910" s="353">
        <v>600</v>
      </c>
      <c r="B910" s="352">
        <v>200</v>
      </c>
      <c r="C910" s="352">
        <v>100</v>
      </c>
      <c r="D910" s="352"/>
      <c r="E910" s="352"/>
      <c r="F910" s="352"/>
      <c r="G910" s="323" t="s">
        <v>150</v>
      </c>
      <c r="H910" s="322"/>
      <c r="I910" s="320"/>
      <c r="J910" s="320"/>
      <c r="K910" s="320"/>
      <c r="L910" s="320"/>
      <c r="M910" s="320"/>
      <c r="N910" s="321"/>
      <c r="O910" s="322"/>
      <c r="P910" s="320">
        <v>0</v>
      </c>
      <c r="Q910" s="321"/>
      <c r="R910" s="322"/>
      <c r="S910" s="320"/>
      <c r="T910" s="320"/>
      <c r="U910" s="320"/>
      <c r="V910" s="320"/>
      <c r="W910" s="320"/>
      <c r="X910" s="320"/>
      <c r="Y910" s="1392">
        <f t="shared" si="101"/>
        <v>0</v>
      </c>
      <c r="Z910" s="1389">
        <f t="shared" si="102"/>
        <v>0</v>
      </c>
      <c r="AA910" s="320">
        <f t="shared" si="103"/>
        <v>0</v>
      </c>
      <c r="AB910" s="320">
        <f t="shared" si="104"/>
        <v>0</v>
      </c>
      <c r="AC910" s="320">
        <f t="shared" si="105"/>
        <v>0</v>
      </c>
      <c r="AD910" s="320">
        <f t="shared" si="106"/>
        <v>0</v>
      </c>
      <c r="AE910" s="320">
        <f t="shared" si="107"/>
        <v>0</v>
      </c>
      <c r="AF910" s="355" t="s">
        <v>151</v>
      </c>
      <c r="AG910" s="838"/>
      <c r="AH910" s="744"/>
      <c r="AI910" s="292"/>
      <c r="AK910" s="300"/>
      <c r="AS910" s="452"/>
    </row>
    <row r="911" spans="1:45" s="299" customFormat="1" ht="27.6">
      <c r="A911" s="353">
        <v>600</v>
      </c>
      <c r="B911" s="352">
        <v>200</v>
      </c>
      <c r="C911" s="352">
        <v>100</v>
      </c>
      <c r="D911" s="352">
        <v>100</v>
      </c>
      <c r="E911" s="352"/>
      <c r="F911" s="352"/>
      <c r="G911" s="323" t="s">
        <v>152</v>
      </c>
      <c r="H911" s="322"/>
      <c r="I911" s="320"/>
      <c r="J911" s="320"/>
      <c r="K911" s="320"/>
      <c r="L911" s="320"/>
      <c r="M911" s="320"/>
      <c r="N911" s="321"/>
      <c r="O911" s="322"/>
      <c r="P911" s="320">
        <v>0</v>
      </c>
      <c r="Q911" s="321"/>
      <c r="R911" s="322"/>
      <c r="S911" s="320"/>
      <c r="T911" s="320"/>
      <c r="U911" s="320"/>
      <c r="V911" s="320"/>
      <c r="W911" s="320"/>
      <c r="X911" s="320"/>
      <c r="Y911" s="1392">
        <f t="shared" si="101"/>
        <v>0</v>
      </c>
      <c r="Z911" s="1389">
        <f t="shared" si="102"/>
        <v>0</v>
      </c>
      <c r="AA911" s="320">
        <f t="shared" si="103"/>
        <v>0</v>
      </c>
      <c r="AB911" s="320">
        <f t="shared" si="104"/>
        <v>0</v>
      </c>
      <c r="AC911" s="320">
        <f t="shared" si="105"/>
        <v>0</v>
      </c>
      <c r="AD911" s="320">
        <f t="shared" si="106"/>
        <v>0</v>
      </c>
      <c r="AE911" s="320">
        <f t="shared" si="107"/>
        <v>0</v>
      </c>
      <c r="AF911" s="355" t="s">
        <v>153</v>
      </c>
      <c r="AG911" s="838"/>
      <c r="AH911" s="744"/>
      <c r="AI911" s="292"/>
      <c r="AK911" s="300"/>
      <c r="AS911" s="452"/>
    </row>
    <row r="912" spans="1:45" s="299" customFormat="1" ht="27.6">
      <c r="A912" s="353">
        <v>600</v>
      </c>
      <c r="B912" s="352">
        <v>200</v>
      </c>
      <c r="C912" s="352">
        <v>100</v>
      </c>
      <c r="D912" s="352">
        <v>100</v>
      </c>
      <c r="E912" s="316">
        <v>10</v>
      </c>
      <c r="F912" s="316"/>
      <c r="G912" s="315" t="s">
        <v>154</v>
      </c>
      <c r="H912" s="314"/>
      <c r="I912" s="311"/>
      <c r="J912" s="311"/>
      <c r="K912" s="311"/>
      <c r="L912" s="311"/>
      <c r="M912" s="311"/>
      <c r="N912" s="312"/>
      <c r="O912" s="314"/>
      <c r="P912" s="311">
        <v>0</v>
      </c>
      <c r="Q912" s="312"/>
      <c r="R912" s="314"/>
      <c r="S912" s="311"/>
      <c r="T912" s="311"/>
      <c r="U912" s="311"/>
      <c r="V912" s="311"/>
      <c r="W912" s="311"/>
      <c r="X912" s="311"/>
      <c r="Y912" s="1356">
        <f t="shared" si="101"/>
        <v>0</v>
      </c>
      <c r="Z912" s="1357">
        <f t="shared" si="102"/>
        <v>0</v>
      </c>
      <c r="AA912" s="311">
        <f t="shared" si="103"/>
        <v>0</v>
      </c>
      <c r="AB912" s="311">
        <f t="shared" si="104"/>
        <v>0</v>
      </c>
      <c r="AC912" s="311">
        <f t="shared" si="105"/>
        <v>0</v>
      </c>
      <c r="AD912" s="311">
        <f t="shared" si="106"/>
        <v>0</v>
      </c>
      <c r="AE912" s="311">
        <f t="shared" si="107"/>
        <v>0</v>
      </c>
      <c r="AF912" s="310"/>
      <c r="AG912" s="841"/>
      <c r="AH912" s="744"/>
      <c r="AI912" s="292"/>
      <c r="AK912" s="300"/>
      <c r="AS912" s="452"/>
    </row>
    <row r="913" spans="1:45" s="299" customFormat="1" ht="27.6">
      <c r="A913" s="353">
        <v>600</v>
      </c>
      <c r="B913" s="352">
        <v>200</v>
      </c>
      <c r="C913" s="352">
        <v>100</v>
      </c>
      <c r="D913" s="352">
        <v>100</v>
      </c>
      <c r="E913" s="316">
        <v>20</v>
      </c>
      <c r="F913" s="316"/>
      <c r="G913" s="315" t="s">
        <v>155</v>
      </c>
      <c r="H913" s="314"/>
      <c r="I913" s="311"/>
      <c r="J913" s="311"/>
      <c r="K913" s="311"/>
      <c r="L913" s="311"/>
      <c r="M913" s="311"/>
      <c r="N913" s="312"/>
      <c r="O913" s="314"/>
      <c r="P913" s="311">
        <v>0</v>
      </c>
      <c r="Q913" s="312"/>
      <c r="R913" s="314"/>
      <c r="S913" s="311"/>
      <c r="T913" s="311"/>
      <c r="U913" s="311"/>
      <c r="V913" s="311"/>
      <c r="W913" s="311"/>
      <c r="X913" s="311"/>
      <c r="Y913" s="1356">
        <f t="shared" si="101"/>
        <v>0</v>
      </c>
      <c r="Z913" s="1357">
        <f t="shared" si="102"/>
        <v>0</v>
      </c>
      <c r="AA913" s="311">
        <f t="shared" si="103"/>
        <v>0</v>
      </c>
      <c r="AB913" s="311">
        <f t="shared" si="104"/>
        <v>0</v>
      </c>
      <c r="AC913" s="311">
        <f t="shared" si="105"/>
        <v>0</v>
      </c>
      <c r="AD913" s="311">
        <f t="shared" si="106"/>
        <v>0</v>
      </c>
      <c r="AE913" s="311">
        <f t="shared" si="107"/>
        <v>0</v>
      </c>
      <c r="AF913" s="310"/>
      <c r="AG913" s="841"/>
      <c r="AH913" s="744"/>
      <c r="AI913" s="292"/>
      <c r="AK913" s="300"/>
      <c r="AS913" s="452"/>
    </row>
    <row r="914" spans="1:45" s="299" customFormat="1" ht="41.4">
      <c r="A914" s="353">
        <v>600</v>
      </c>
      <c r="B914" s="352">
        <v>200</v>
      </c>
      <c r="C914" s="352">
        <v>100</v>
      </c>
      <c r="D914" s="352">
        <v>100</v>
      </c>
      <c r="E914" s="316">
        <v>30</v>
      </c>
      <c r="F914" s="316"/>
      <c r="G914" s="315" t="s">
        <v>156</v>
      </c>
      <c r="H914" s="314"/>
      <c r="I914" s="311"/>
      <c r="J914" s="311"/>
      <c r="K914" s="311"/>
      <c r="L914" s="311"/>
      <c r="M914" s="311"/>
      <c r="N914" s="312"/>
      <c r="O914" s="314"/>
      <c r="P914" s="311">
        <v>0</v>
      </c>
      <c r="Q914" s="312"/>
      <c r="R914" s="314"/>
      <c r="S914" s="311"/>
      <c r="T914" s="311"/>
      <c r="U914" s="311"/>
      <c r="V914" s="311"/>
      <c r="W914" s="311"/>
      <c r="X914" s="311"/>
      <c r="Y914" s="1356">
        <f t="shared" si="101"/>
        <v>0</v>
      </c>
      <c r="Z914" s="1357">
        <f t="shared" si="102"/>
        <v>0</v>
      </c>
      <c r="AA914" s="311">
        <f t="shared" si="103"/>
        <v>0</v>
      </c>
      <c r="AB914" s="311">
        <f t="shared" si="104"/>
        <v>0</v>
      </c>
      <c r="AC914" s="311">
        <f t="shared" si="105"/>
        <v>0</v>
      </c>
      <c r="AD914" s="311">
        <f t="shared" si="106"/>
        <v>0</v>
      </c>
      <c r="AE914" s="311">
        <f t="shared" si="107"/>
        <v>0</v>
      </c>
      <c r="AF914" s="310"/>
      <c r="AG914" s="841"/>
      <c r="AH914" s="744"/>
      <c r="AI914" s="292"/>
      <c r="AK914" s="300"/>
      <c r="AS914" s="452"/>
    </row>
    <row r="915" spans="1:45" s="299" customFormat="1" ht="41.4">
      <c r="A915" s="353">
        <v>600</v>
      </c>
      <c r="B915" s="352">
        <v>200</v>
      </c>
      <c r="C915" s="352">
        <v>100</v>
      </c>
      <c r="D915" s="352">
        <v>100</v>
      </c>
      <c r="E915" s="316">
        <v>40</v>
      </c>
      <c r="F915" s="316"/>
      <c r="G915" s="315" t="s">
        <v>157</v>
      </c>
      <c r="H915" s="314"/>
      <c r="I915" s="311"/>
      <c r="J915" s="311"/>
      <c r="K915" s="311"/>
      <c r="L915" s="311"/>
      <c r="M915" s="311"/>
      <c r="N915" s="312"/>
      <c r="O915" s="314"/>
      <c r="P915" s="311">
        <v>0</v>
      </c>
      <c r="Q915" s="312"/>
      <c r="R915" s="314"/>
      <c r="S915" s="311"/>
      <c r="T915" s="311"/>
      <c r="U915" s="311"/>
      <c r="V915" s="311"/>
      <c r="W915" s="311"/>
      <c r="X915" s="311"/>
      <c r="Y915" s="1356">
        <f t="shared" si="101"/>
        <v>0</v>
      </c>
      <c r="Z915" s="1357">
        <f t="shared" si="102"/>
        <v>0</v>
      </c>
      <c r="AA915" s="311">
        <f t="shared" si="103"/>
        <v>0</v>
      </c>
      <c r="AB915" s="311">
        <f t="shared" si="104"/>
        <v>0</v>
      </c>
      <c r="AC915" s="311">
        <f t="shared" si="105"/>
        <v>0</v>
      </c>
      <c r="AD915" s="311">
        <f t="shared" si="106"/>
        <v>0</v>
      </c>
      <c r="AE915" s="311">
        <f t="shared" si="107"/>
        <v>0</v>
      </c>
      <c r="AF915" s="310"/>
      <c r="AG915" s="841"/>
      <c r="AH915" s="744"/>
      <c r="AI915" s="292"/>
      <c r="AK915" s="300"/>
      <c r="AS915" s="452"/>
    </row>
    <row r="916" spans="1:45" s="299" customFormat="1" ht="27.6">
      <c r="A916" s="353">
        <v>600</v>
      </c>
      <c r="B916" s="352">
        <v>200</v>
      </c>
      <c r="C916" s="352">
        <v>100</v>
      </c>
      <c r="D916" s="352">
        <v>100</v>
      </c>
      <c r="E916" s="316">
        <v>80</v>
      </c>
      <c r="F916" s="316"/>
      <c r="G916" s="315" t="s">
        <v>158</v>
      </c>
      <c r="H916" s="314"/>
      <c r="I916" s="311"/>
      <c r="J916" s="311"/>
      <c r="K916" s="311"/>
      <c r="L916" s="311"/>
      <c r="M916" s="311"/>
      <c r="N916" s="312"/>
      <c r="O916" s="314"/>
      <c r="P916" s="311">
        <v>0</v>
      </c>
      <c r="Q916" s="312"/>
      <c r="R916" s="1418">
        <f>104000+69902</f>
        <v>173902</v>
      </c>
      <c r="S916" s="1419">
        <v>69902.320000000007</v>
      </c>
      <c r="T916" s="311"/>
      <c r="U916" s="311">
        <v>104000</v>
      </c>
      <c r="V916" s="311"/>
      <c r="W916" s="311"/>
      <c r="X916" s="311">
        <v>104000</v>
      </c>
      <c r="Y916" s="1356">
        <f t="shared" si="101"/>
        <v>173902</v>
      </c>
      <c r="Z916" s="1357">
        <f t="shared" si="102"/>
        <v>69902.320000000007</v>
      </c>
      <c r="AA916" s="311">
        <f t="shared" si="103"/>
        <v>0</v>
      </c>
      <c r="AB916" s="311">
        <f t="shared" si="104"/>
        <v>104000</v>
      </c>
      <c r="AC916" s="311">
        <f t="shared" si="105"/>
        <v>0</v>
      </c>
      <c r="AD916" s="311">
        <f t="shared" si="106"/>
        <v>0</v>
      </c>
      <c r="AE916" s="311">
        <f t="shared" si="107"/>
        <v>104000</v>
      </c>
      <c r="AF916" s="310"/>
      <c r="AG916" s="841"/>
      <c r="AH916" s="744"/>
      <c r="AI916" s="292"/>
      <c r="AK916" s="300"/>
      <c r="AS916" s="452"/>
    </row>
    <row r="917" spans="1:45" s="299" customFormat="1" ht="27.6">
      <c r="A917" s="353">
        <v>600</v>
      </c>
      <c r="B917" s="352">
        <v>200</v>
      </c>
      <c r="C917" s="352">
        <v>100</v>
      </c>
      <c r="D917" s="352">
        <v>100</v>
      </c>
      <c r="E917" s="316">
        <v>90</v>
      </c>
      <c r="F917" s="316"/>
      <c r="G917" s="315" t="s">
        <v>159</v>
      </c>
      <c r="H917" s="314"/>
      <c r="I917" s="311"/>
      <c r="J917" s="311"/>
      <c r="K917" s="311"/>
      <c r="L917" s="311"/>
      <c r="M917" s="311"/>
      <c r="N917" s="312"/>
      <c r="O917" s="314"/>
      <c r="P917" s="311">
        <v>0</v>
      </c>
      <c r="Q917" s="312"/>
      <c r="R917" s="314">
        <v>6712.36</v>
      </c>
      <c r="S917" s="311"/>
      <c r="T917" s="311"/>
      <c r="U917" s="311">
        <v>6712.36</v>
      </c>
      <c r="V917" s="311"/>
      <c r="W917" s="311"/>
      <c r="X917" s="311"/>
      <c r="Y917" s="1356">
        <f t="shared" si="101"/>
        <v>6712.36</v>
      </c>
      <c r="Z917" s="1357">
        <f t="shared" si="102"/>
        <v>0</v>
      </c>
      <c r="AA917" s="311">
        <f t="shared" si="103"/>
        <v>0</v>
      </c>
      <c r="AB917" s="311">
        <f t="shared" si="104"/>
        <v>6712.36</v>
      </c>
      <c r="AC917" s="311">
        <f t="shared" si="105"/>
        <v>0</v>
      </c>
      <c r="AD917" s="311">
        <f t="shared" si="106"/>
        <v>0</v>
      </c>
      <c r="AE917" s="311">
        <f t="shared" si="107"/>
        <v>0</v>
      </c>
      <c r="AF917" s="310"/>
      <c r="AG917" s="841"/>
      <c r="AH917" s="744"/>
      <c r="AI917" s="292"/>
      <c r="AK917" s="300"/>
      <c r="AS917" s="452"/>
    </row>
    <row r="918" spans="1:45" s="299" customFormat="1" ht="55.2">
      <c r="A918" s="353">
        <v>600</v>
      </c>
      <c r="B918" s="352">
        <v>200</v>
      </c>
      <c r="C918" s="352">
        <v>100</v>
      </c>
      <c r="D918" s="357">
        <v>200</v>
      </c>
      <c r="E918" s="357"/>
      <c r="F918" s="357"/>
      <c r="G918" s="315" t="s">
        <v>2139</v>
      </c>
      <c r="H918" s="314"/>
      <c r="I918" s="311"/>
      <c r="J918" s="311"/>
      <c r="K918" s="311"/>
      <c r="L918" s="311"/>
      <c r="M918" s="311"/>
      <c r="N918" s="312"/>
      <c r="O918" s="314"/>
      <c r="P918" s="311">
        <v>0</v>
      </c>
      <c r="Q918" s="312"/>
      <c r="R918" s="314"/>
      <c r="S918" s="311"/>
      <c r="T918" s="311"/>
      <c r="U918" s="311"/>
      <c r="V918" s="311"/>
      <c r="W918" s="311"/>
      <c r="X918" s="311"/>
      <c r="Y918" s="1356">
        <f t="shared" si="101"/>
        <v>0</v>
      </c>
      <c r="Z918" s="1357">
        <f t="shared" si="102"/>
        <v>0</v>
      </c>
      <c r="AA918" s="311">
        <f t="shared" si="103"/>
        <v>0</v>
      </c>
      <c r="AB918" s="311">
        <f t="shared" si="104"/>
        <v>0</v>
      </c>
      <c r="AC918" s="311">
        <f t="shared" si="105"/>
        <v>0</v>
      </c>
      <c r="AD918" s="311">
        <f t="shared" si="106"/>
        <v>0</v>
      </c>
      <c r="AE918" s="311">
        <f t="shared" si="107"/>
        <v>0</v>
      </c>
      <c r="AF918" s="355" t="s">
        <v>160</v>
      </c>
      <c r="AG918" s="838"/>
      <c r="AH918" s="744"/>
      <c r="AI918" s="292"/>
      <c r="AK918" s="300"/>
      <c r="AS918" s="452"/>
    </row>
    <row r="919" spans="1:45" s="299" customFormat="1" ht="55.2">
      <c r="A919" s="353">
        <v>600</v>
      </c>
      <c r="B919" s="352">
        <v>200</v>
      </c>
      <c r="C919" s="352">
        <v>100</v>
      </c>
      <c r="D919" s="357">
        <v>300</v>
      </c>
      <c r="E919" s="357"/>
      <c r="F919" s="357"/>
      <c r="G919" s="315" t="s">
        <v>2140</v>
      </c>
      <c r="H919" s="314"/>
      <c r="I919" s="311"/>
      <c r="J919" s="311"/>
      <c r="K919" s="311"/>
      <c r="L919" s="311"/>
      <c r="M919" s="311"/>
      <c r="N919" s="312"/>
      <c r="O919" s="314"/>
      <c r="P919" s="311">
        <v>0</v>
      </c>
      <c r="Q919" s="312"/>
      <c r="R919" s="314"/>
      <c r="S919" s="311"/>
      <c r="T919" s="311"/>
      <c r="U919" s="311"/>
      <c r="V919" s="311"/>
      <c r="W919" s="311"/>
      <c r="X919" s="311"/>
      <c r="Y919" s="1356">
        <f t="shared" si="101"/>
        <v>0</v>
      </c>
      <c r="Z919" s="1357">
        <f t="shared" si="102"/>
        <v>0</v>
      </c>
      <c r="AA919" s="311">
        <f t="shared" si="103"/>
        <v>0</v>
      </c>
      <c r="AB919" s="311">
        <f t="shared" si="104"/>
        <v>0</v>
      </c>
      <c r="AC919" s="311">
        <f t="shared" si="105"/>
        <v>0</v>
      </c>
      <c r="AD919" s="311">
        <f t="shared" si="106"/>
        <v>0</v>
      </c>
      <c r="AE919" s="311">
        <f t="shared" si="107"/>
        <v>0</v>
      </c>
      <c r="AF919" s="355" t="s">
        <v>161</v>
      </c>
      <c r="AG919" s="838"/>
      <c r="AH919" s="744"/>
      <c r="AI919" s="292"/>
      <c r="AK919" s="300"/>
      <c r="AS919" s="452"/>
    </row>
    <row r="920" spans="1:45" s="299" customFormat="1" ht="27.6">
      <c r="A920" s="353">
        <v>600</v>
      </c>
      <c r="B920" s="352">
        <v>200</v>
      </c>
      <c r="C920" s="352">
        <v>100</v>
      </c>
      <c r="D920" s="357">
        <v>400</v>
      </c>
      <c r="E920" s="357"/>
      <c r="F920" s="357"/>
      <c r="G920" s="315" t="s">
        <v>162</v>
      </c>
      <c r="H920" s="314"/>
      <c r="I920" s="311"/>
      <c r="J920" s="311"/>
      <c r="K920" s="311"/>
      <c r="L920" s="311"/>
      <c r="M920" s="311"/>
      <c r="N920" s="312"/>
      <c r="O920" s="314"/>
      <c r="P920" s="311">
        <v>0</v>
      </c>
      <c r="Q920" s="312"/>
      <c r="R920" s="314"/>
      <c r="S920" s="311"/>
      <c r="T920" s="311"/>
      <c r="U920" s="311"/>
      <c r="V920" s="311"/>
      <c r="W920" s="311"/>
      <c r="X920" s="311"/>
      <c r="Y920" s="1356">
        <f t="shared" si="101"/>
        <v>0</v>
      </c>
      <c r="Z920" s="1357">
        <f t="shared" si="102"/>
        <v>0</v>
      </c>
      <c r="AA920" s="311">
        <f t="shared" si="103"/>
        <v>0</v>
      </c>
      <c r="AB920" s="311">
        <f t="shared" si="104"/>
        <v>0</v>
      </c>
      <c r="AC920" s="311">
        <f t="shared" si="105"/>
        <v>0</v>
      </c>
      <c r="AD920" s="311">
        <f t="shared" si="106"/>
        <v>0</v>
      </c>
      <c r="AE920" s="311">
        <f t="shared" si="107"/>
        <v>0</v>
      </c>
      <c r="AF920" s="355" t="s">
        <v>163</v>
      </c>
      <c r="AG920" s="838"/>
      <c r="AH920" s="744"/>
      <c r="AI920" s="292"/>
      <c r="AK920" s="300"/>
      <c r="AS920" s="452"/>
    </row>
    <row r="921" spans="1:45" s="299" customFormat="1" ht="41.4">
      <c r="A921" s="353">
        <v>600</v>
      </c>
      <c r="B921" s="352">
        <v>200</v>
      </c>
      <c r="C921" s="352">
        <v>200</v>
      </c>
      <c r="D921" s="352"/>
      <c r="E921" s="352"/>
      <c r="F921" s="352"/>
      <c r="G921" s="323" t="s">
        <v>164</v>
      </c>
      <c r="H921" s="322"/>
      <c r="I921" s="320"/>
      <c r="J921" s="320"/>
      <c r="K921" s="320"/>
      <c r="L921" s="320"/>
      <c r="M921" s="320"/>
      <c r="N921" s="321"/>
      <c r="O921" s="322"/>
      <c r="P921" s="320">
        <v>0</v>
      </c>
      <c r="Q921" s="321"/>
      <c r="R921" s="322"/>
      <c r="S921" s="320"/>
      <c r="T921" s="320"/>
      <c r="U921" s="320"/>
      <c r="V921" s="320"/>
      <c r="W921" s="320"/>
      <c r="X921" s="320"/>
      <c r="Y921" s="1392">
        <f t="shared" si="101"/>
        <v>0</v>
      </c>
      <c r="Z921" s="1389">
        <f t="shared" si="102"/>
        <v>0</v>
      </c>
      <c r="AA921" s="320">
        <f t="shared" si="103"/>
        <v>0</v>
      </c>
      <c r="AB921" s="320">
        <f t="shared" si="104"/>
        <v>0</v>
      </c>
      <c r="AC921" s="320">
        <f t="shared" si="105"/>
        <v>0</v>
      </c>
      <c r="AD921" s="320">
        <f t="shared" si="106"/>
        <v>0</v>
      </c>
      <c r="AE921" s="320">
        <f t="shared" si="107"/>
        <v>0</v>
      </c>
      <c r="AF921" s="355" t="s">
        <v>165</v>
      </c>
      <c r="AG921" s="838"/>
      <c r="AH921" s="744"/>
      <c r="AI921" s="292"/>
      <c r="AK921" s="300"/>
      <c r="AS921" s="452"/>
    </row>
    <row r="922" spans="1:45" s="299" customFormat="1" ht="41.4">
      <c r="A922" s="353">
        <v>600</v>
      </c>
      <c r="B922" s="352">
        <v>200</v>
      </c>
      <c r="C922" s="352">
        <v>200</v>
      </c>
      <c r="D922" s="357">
        <v>100</v>
      </c>
      <c r="E922" s="357"/>
      <c r="F922" s="357"/>
      <c r="G922" s="315" t="s">
        <v>166</v>
      </c>
      <c r="H922" s="314"/>
      <c r="I922" s="311"/>
      <c r="J922" s="311"/>
      <c r="K922" s="311"/>
      <c r="L922" s="311"/>
      <c r="M922" s="311"/>
      <c r="N922" s="312"/>
      <c r="O922" s="314"/>
      <c r="P922" s="311">
        <v>0</v>
      </c>
      <c r="Q922" s="312"/>
      <c r="R922" s="314"/>
      <c r="S922" s="311"/>
      <c r="T922" s="311"/>
      <c r="U922" s="311"/>
      <c r="V922" s="311"/>
      <c r="W922" s="311"/>
      <c r="X922" s="311"/>
      <c r="Y922" s="1356">
        <f t="shared" si="101"/>
        <v>0</v>
      </c>
      <c r="Z922" s="1357">
        <f t="shared" si="102"/>
        <v>0</v>
      </c>
      <c r="AA922" s="311">
        <f t="shared" si="103"/>
        <v>0</v>
      </c>
      <c r="AB922" s="311">
        <f t="shared" si="104"/>
        <v>0</v>
      </c>
      <c r="AC922" s="311">
        <f t="shared" si="105"/>
        <v>0</v>
      </c>
      <c r="AD922" s="311">
        <f t="shared" si="106"/>
        <v>0</v>
      </c>
      <c r="AE922" s="311">
        <f t="shared" si="107"/>
        <v>0</v>
      </c>
      <c r="AF922" s="355" t="s">
        <v>167</v>
      </c>
      <c r="AG922" s="838"/>
      <c r="AH922" s="744"/>
      <c r="AI922" s="292"/>
      <c r="AK922" s="300"/>
      <c r="AS922" s="452"/>
    </row>
    <row r="923" spans="1:45" s="299" customFormat="1" ht="41.4">
      <c r="A923" s="353">
        <v>600</v>
      </c>
      <c r="B923" s="352">
        <v>200</v>
      </c>
      <c r="C923" s="352">
        <v>200</v>
      </c>
      <c r="D923" s="357">
        <v>200</v>
      </c>
      <c r="E923" s="357"/>
      <c r="F923" s="357"/>
      <c r="G923" s="315" t="s">
        <v>168</v>
      </c>
      <c r="H923" s="314"/>
      <c r="I923" s="311"/>
      <c r="J923" s="311"/>
      <c r="K923" s="311"/>
      <c r="L923" s="311"/>
      <c r="M923" s="311"/>
      <c r="N923" s="312"/>
      <c r="O923" s="314"/>
      <c r="P923" s="311">
        <v>0</v>
      </c>
      <c r="Q923" s="312"/>
      <c r="R923" s="314"/>
      <c r="S923" s="311"/>
      <c r="T923" s="311"/>
      <c r="U923" s="311"/>
      <c r="V923" s="311"/>
      <c r="W923" s="311"/>
      <c r="X923" s="311"/>
      <c r="Y923" s="1356">
        <f t="shared" si="101"/>
        <v>0</v>
      </c>
      <c r="Z923" s="1357">
        <f t="shared" si="102"/>
        <v>0</v>
      </c>
      <c r="AA923" s="311">
        <f t="shared" si="103"/>
        <v>0</v>
      </c>
      <c r="AB923" s="311">
        <f t="shared" si="104"/>
        <v>0</v>
      </c>
      <c r="AC923" s="311">
        <f t="shared" si="105"/>
        <v>0</v>
      </c>
      <c r="AD923" s="311">
        <f t="shared" si="106"/>
        <v>0</v>
      </c>
      <c r="AE923" s="311">
        <f t="shared" si="107"/>
        <v>0</v>
      </c>
      <c r="AF923" s="355" t="s">
        <v>169</v>
      </c>
      <c r="AG923" s="838"/>
      <c r="AH923" s="744"/>
      <c r="AI923" s="292"/>
      <c r="AK923" s="300"/>
      <c r="AS923" s="452"/>
    </row>
    <row r="924" spans="1:45" s="299" customFormat="1" ht="41.4">
      <c r="A924" s="353">
        <v>600</v>
      </c>
      <c r="B924" s="352">
        <v>200</v>
      </c>
      <c r="C924" s="352">
        <v>300</v>
      </c>
      <c r="D924" s="352"/>
      <c r="E924" s="352"/>
      <c r="F924" s="352"/>
      <c r="G924" s="323" t="s">
        <v>170</v>
      </c>
      <c r="H924" s="322"/>
      <c r="I924" s="320"/>
      <c r="J924" s="320"/>
      <c r="K924" s="320"/>
      <c r="L924" s="320"/>
      <c r="M924" s="320"/>
      <c r="N924" s="321"/>
      <c r="O924" s="322"/>
      <c r="P924" s="320">
        <v>0</v>
      </c>
      <c r="Q924" s="321"/>
      <c r="R924" s="322"/>
      <c r="S924" s="320"/>
      <c r="T924" s="320"/>
      <c r="U924" s="320"/>
      <c r="V924" s="320"/>
      <c r="W924" s="320"/>
      <c r="X924" s="320"/>
      <c r="Y924" s="1392">
        <f t="shared" si="101"/>
        <v>0</v>
      </c>
      <c r="Z924" s="1389">
        <f t="shared" si="102"/>
        <v>0</v>
      </c>
      <c r="AA924" s="320">
        <f t="shared" si="103"/>
        <v>0</v>
      </c>
      <c r="AB924" s="320">
        <f t="shared" si="104"/>
        <v>0</v>
      </c>
      <c r="AC924" s="320">
        <f t="shared" si="105"/>
        <v>0</v>
      </c>
      <c r="AD924" s="320">
        <f t="shared" si="106"/>
        <v>0</v>
      </c>
      <c r="AE924" s="320">
        <f t="shared" si="107"/>
        <v>0</v>
      </c>
      <c r="AF924" s="355" t="s">
        <v>171</v>
      </c>
      <c r="AG924" s="838"/>
      <c r="AH924" s="744"/>
      <c r="AI924" s="292"/>
      <c r="AK924" s="300"/>
      <c r="AS924" s="452"/>
    </row>
    <row r="925" spans="1:45" s="299" customFormat="1" ht="27.6">
      <c r="A925" s="353">
        <v>600</v>
      </c>
      <c r="B925" s="352">
        <v>200</v>
      </c>
      <c r="C925" s="352">
        <v>300</v>
      </c>
      <c r="D925" s="352">
        <v>50</v>
      </c>
      <c r="E925" s="352"/>
      <c r="F925" s="352"/>
      <c r="G925" s="315" t="s">
        <v>172</v>
      </c>
      <c r="H925" s="364"/>
      <c r="I925" s="362"/>
      <c r="J925" s="362"/>
      <c r="K925" s="362"/>
      <c r="L925" s="362"/>
      <c r="M925" s="362"/>
      <c r="N925" s="363"/>
      <c r="O925" s="364"/>
      <c r="P925" s="362">
        <v>0</v>
      </c>
      <c r="Q925" s="363"/>
      <c r="R925" s="364"/>
      <c r="S925" s="362"/>
      <c r="T925" s="362"/>
      <c r="U925" s="362"/>
      <c r="V925" s="362"/>
      <c r="W925" s="362"/>
      <c r="X925" s="362"/>
      <c r="Y925" s="1393">
        <f t="shared" si="101"/>
        <v>0</v>
      </c>
      <c r="Z925" s="1394">
        <f t="shared" si="102"/>
        <v>0</v>
      </c>
      <c r="AA925" s="362">
        <f t="shared" si="103"/>
        <v>0</v>
      </c>
      <c r="AB925" s="362">
        <f t="shared" si="104"/>
        <v>0</v>
      </c>
      <c r="AC925" s="362">
        <f t="shared" si="105"/>
        <v>0</v>
      </c>
      <c r="AD925" s="362">
        <f t="shared" si="106"/>
        <v>0</v>
      </c>
      <c r="AE925" s="362">
        <f t="shared" si="107"/>
        <v>0</v>
      </c>
      <c r="AF925" s="361" t="s">
        <v>173</v>
      </c>
      <c r="AG925" s="837"/>
      <c r="AH925" s="744"/>
      <c r="AI925" s="292"/>
      <c r="AK925" s="300"/>
      <c r="AS925" s="452"/>
    </row>
    <row r="926" spans="1:45" s="299" customFormat="1" ht="27.6">
      <c r="A926" s="353">
        <v>600</v>
      </c>
      <c r="B926" s="352">
        <v>200</v>
      </c>
      <c r="C926" s="352">
        <v>300</v>
      </c>
      <c r="D926" s="352">
        <v>100</v>
      </c>
      <c r="E926" s="352"/>
      <c r="F926" s="352"/>
      <c r="G926" s="323" t="s">
        <v>174</v>
      </c>
      <c r="H926" s="322"/>
      <c r="I926" s="320"/>
      <c r="J926" s="320"/>
      <c r="K926" s="320"/>
      <c r="L926" s="320"/>
      <c r="M926" s="320"/>
      <c r="N926" s="321"/>
      <c r="O926" s="322"/>
      <c r="P926" s="320">
        <v>0</v>
      </c>
      <c r="Q926" s="321"/>
      <c r="R926" s="322"/>
      <c r="S926" s="320"/>
      <c r="T926" s="320"/>
      <c r="U926" s="320"/>
      <c r="V926" s="320"/>
      <c r="W926" s="320"/>
      <c r="X926" s="320"/>
      <c r="Y926" s="1392">
        <f t="shared" si="101"/>
        <v>0</v>
      </c>
      <c r="Z926" s="1389">
        <f t="shared" si="102"/>
        <v>0</v>
      </c>
      <c r="AA926" s="320">
        <f t="shared" si="103"/>
        <v>0</v>
      </c>
      <c r="AB926" s="320">
        <f t="shared" si="104"/>
        <v>0</v>
      </c>
      <c r="AC926" s="320">
        <f t="shared" si="105"/>
        <v>0</v>
      </c>
      <c r="AD926" s="320">
        <f t="shared" si="106"/>
        <v>0</v>
      </c>
      <c r="AE926" s="320">
        <f t="shared" si="107"/>
        <v>0</v>
      </c>
      <c r="AF926" s="355" t="s">
        <v>175</v>
      </c>
      <c r="AG926" s="838"/>
      <c r="AH926" s="744"/>
      <c r="AI926" s="292"/>
      <c r="AK926" s="300"/>
      <c r="AS926" s="452"/>
    </row>
    <row r="927" spans="1:45" s="299" customFormat="1">
      <c r="A927" s="353">
        <v>600</v>
      </c>
      <c r="B927" s="352">
        <v>200</v>
      </c>
      <c r="C927" s="352">
        <v>300</v>
      </c>
      <c r="D927" s="352">
        <v>100</v>
      </c>
      <c r="E927" s="316">
        <v>10</v>
      </c>
      <c r="F927" s="316"/>
      <c r="G927" s="315" t="s">
        <v>176</v>
      </c>
      <c r="H927" s="314"/>
      <c r="I927" s="311"/>
      <c r="J927" s="311"/>
      <c r="K927" s="311"/>
      <c r="L927" s="311"/>
      <c r="M927" s="311"/>
      <c r="N927" s="312"/>
      <c r="O927" s="314"/>
      <c r="P927" s="311">
        <v>0</v>
      </c>
      <c r="Q927" s="312"/>
      <c r="R927" s="314"/>
      <c r="S927" s="311"/>
      <c r="T927" s="311"/>
      <c r="U927" s="311"/>
      <c r="V927" s="311"/>
      <c r="W927" s="311"/>
      <c r="X927" s="311"/>
      <c r="Y927" s="1356">
        <f t="shared" si="101"/>
        <v>0</v>
      </c>
      <c r="Z927" s="1357">
        <f t="shared" si="102"/>
        <v>0</v>
      </c>
      <c r="AA927" s="311">
        <f t="shared" si="103"/>
        <v>0</v>
      </c>
      <c r="AB927" s="311">
        <f t="shared" si="104"/>
        <v>0</v>
      </c>
      <c r="AC927" s="311">
        <f t="shared" si="105"/>
        <v>0</v>
      </c>
      <c r="AD927" s="311">
        <f t="shared" si="106"/>
        <v>0</v>
      </c>
      <c r="AE927" s="311">
        <f t="shared" si="107"/>
        <v>0</v>
      </c>
      <c r="AF927" s="310"/>
      <c r="AG927" s="841"/>
      <c r="AH927" s="744"/>
      <c r="AI927" s="292"/>
      <c r="AK927" s="300"/>
      <c r="AS927" s="452"/>
    </row>
    <row r="928" spans="1:45" s="299" customFormat="1">
      <c r="A928" s="353">
        <v>600</v>
      </c>
      <c r="B928" s="352">
        <v>200</v>
      </c>
      <c r="C928" s="352">
        <v>300</v>
      </c>
      <c r="D928" s="352">
        <v>100</v>
      </c>
      <c r="E928" s="316">
        <v>20</v>
      </c>
      <c r="F928" s="316"/>
      <c r="G928" s="315" t="s">
        <v>177</v>
      </c>
      <c r="H928" s="314"/>
      <c r="I928" s="311"/>
      <c r="J928" s="311"/>
      <c r="K928" s="311"/>
      <c r="L928" s="311"/>
      <c r="M928" s="311"/>
      <c r="N928" s="312"/>
      <c r="O928" s="314"/>
      <c r="P928" s="311">
        <v>0</v>
      </c>
      <c r="Q928" s="312"/>
      <c r="R928" s="314"/>
      <c r="S928" s="311"/>
      <c r="T928" s="311"/>
      <c r="U928" s="311"/>
      <c r="V928" s="311"/>
      <c r="W928" s="311"/>
      <c r="X928" s="311"/>
      <c r="Y928" s="1356">
        <f t="shared" si="101"/>
        <v>0</v>
      </c>
      <c r="Z928" s="1357">
        <f t="shared" si="102"/>
        <v>0</v>
      </c>
      <c r="AA928" s="311">
        <f t="shared" si="103"/>
        <v>0</v>
      </c>
      <c r="AB928" s="311">
        <f t="shared" si="104"/>
        <v>0</v>
      </c>
      <c r="AC928" s="311">
        <f t="shared" si="105"/>
        <v>0</v>
      </c>
      <c r="AD928" s="311">
        <f t="shared" si="106"/>
        <v>0</v>
      </c>
      <c r="AE928" s="311">
        <f t="shared" si="107"/>
        <v>0</v>
      </c>
      <c r="AF928" s="310"/>
      <c r="AG928" s="841"/>
      <c r="AH928" s="744"/>
      <c r="AI928" s="292"/>
      <c r="AK928" s="300"/>
      <c r="AS928" s="452"/>
    </row>
    <row r="929" spans="1:45" s="299" customFormat="1" ht="27.6">
      <c r="A929" s="353">
        <v>600</v>
      </c>
      <c r="B929" s="352">
        <v>200</v>
      </c>
      <c r="C929" s="352">
        <v>300</v>
      </c>
      <c r="D929" s="352">
        <v>100</v>
      </c>
      <c r="E929" s="316">
        <v>30</v>
      </c>
      <c r="F929" s="316"/>
      <c r="G929" s="315" t="s">
        <v>178</v>
      </c>
      <c r="H929" s="314"/>
      <c r="I929" s="311"/>
      <c r="J929" s="311"/>
      <c r="K929" s="311"/>
      <c r="L929" s="311"/>
      <c r="M929" s="311"/>
      <c r="N929" s="312"/>
      <c r="O929" s="314"/>
      <c r="P929" s="311">
        <v>0</v>
      </c>
      <c r="Q929" s="312"/>
      <c r="R929" s="314"/>
      <c r="S929" s="311"/>
      <c r="T929" s="311"/>
      <c r="U929" s="311"/>
      <c r="V929" s="311"/>
      <c r="W929" s="311"/>
      <c r="X929" s="311"/>
      <c r="Y929" s="1356">
        <f t="shared" si="101"/>
        <v>0</v>
      </c>
      <c r="Z929" s="1357">
        <f t="shared" si="102"/>
        <v>0</v>
      </c>
      <c r="AA929" s="311">
        <f t="shared" si="103"/>
        <v>0</v>
      </c>
      <c r="AB929" s="311">
        <f t="shared" si="104"/>
        <v>0</v>
      </c>
      <c r="AC929" s="311">
        <f t="shared" si="105"/>
        <v>0</v>
      </c>
      <c r="AD929" s="311">
        <f t="shared" si="106"/>
        <v>0</v>
      </c>
      <c r="AE929" s="311">
        <f t="shared" si="107"/>
        <v>0</v>
      </c>
      <c r="AF929" s="310"/>
      <c r="AG929" s="841"/>
      <c r="AH929" s="744"/>
      <c r="AI929" s="292"/>
      <c r="AK929" s="300"/>
      <c r="AS929" s="452"/>
    </row>
    <row r="930" spans="1:45" s="299" customFormat="1">
      <c r="A930" s="353">
        <v>600</v>
      </c>
      <c r="B930" s="352">
        <v>200</v>
      </c>
      <c r="C930" s="352">
        <v>300</v>
      </c>
      <c r="D930" s="352">
        <v>100</v>
      </c>
      <c r="E930" s="316">
        <v>40</v>
      </c>
      <c r="F930" s="316"/>
      <c r="G930" s="315" t="s">
        <v>179</v>
      </c>
      <c r="H930" s="314"/>
      <c r="I930" s="311"/>
      <c r="J930" s="311"/>
      <c r="K930" s="311"/>
      <c r="L930" s="311"/>
      <c r="M930" s="311"/>
      <c r="N930" s="312"/>
      <c r="O930" s="314"/>
      <c r="P930" s="311">
        <v>0</v>
      </c>
      <c r="Q930" s="312"/>
      <c r="R930" s="314"/>
      <c r="S930" s="311"/>
      <c r="T930" s="311"/>
      <c r="U930" s="311"/>
      <c r="V930" s="311"/>
      <c r="W930" s="311"/>
      <c r="X930" s="311"/>
      <c r="Y930" s="1356">
        <f t="shared" si="101"/>
        <v>0</v>
      </c>
      <c r="Z930" s="1357">
        <f t="shared" si="102"/>
        <v>0</v>
      </c>
      <c r="AA930" s="311">
        <f t="shared" si="103"/>
        <v>0</v>
      </c>
      <c r="AB930" s="311">
        <f t="shared" si="104"/>
        <v>0</v>
      </c>
      <c r="AC930" s="311">
        <f t="shared" si="105"/>
        <v>0</v>
      </c>
      <c r="AD930" s="311">
        <f t="shared" si="106"/>
        <v>0</v>
      </c>
      <c r="AE930" s="311">
        <f t="shared" si="107"/>
        <v>0</v>
      </c>
      <c r="AF930" s="310"/>
      <c r="AG930" s="841"/>
      <c r="AH930" s="744"/>
      <c r="AI930" s="292"/>
      <c r="AK930" s="300"/>
      <c r="AS930" s="452"/>
    </row>
    <row r="931" spans="1:45" s="299" customFormat="1" ht="41.4">
      <c r="A931" s="353">
        <v>600</v>
      </c>
      <c r="B931" s="352">
        <v>200</v>
      </c>
      <c r="C931" s="352">
        <v>300</v>
      </c>
      <c r="D931" s="352">
        <v>100</v>
      </c>
      <c r="E931" s="316">
        <v>80</v>
      </c>
      <c r="F931" s="325"/>
      <c r="G931" s="315" t="s">
        <v>180</v>
      </c>
      <c r="H931" s="314"/>
      <c r="I931" s="311"/>
      <c r="J931" s="311"/>
      <c r="K931" s="311"/>
      <c r="L931" s="311"/>
      <c r="M931" s="311"/>
      <c r="N931" s="312"/>
      <c r="O931" s="314"/>
      <c r="P931" s="311">
        <v>0</v>
      </c>
      <c r="Q931" s="312"/>
      <c r="R931" s="314"/>
      <c r="S931" s="311"/>
      <c r="T931" s="311"/>
      <c r="U931" s="311"/>
      <c r="V931" s="311"/>
      <c r="W931" s="311"/>
      <c r="X931" s="311"/>
      <c r="Y931" s="1356">
        <f t="shared" si="101"/>
        <v>0</v>
      </c>
      <c r="Z931" s="1357">
        <f t="shared" si="102"/>
        <v>0</v>
      </c>
      <c r="AA931" s="311">
        <f t="shared" si="103"/>
        <v>0</v>
      </c>
      <c r="AB931" s="311">
        <f t="shared" si="104"/>
        <v>0</v>
      </c>
      <c r="AC931" s="311">
        <f t="shared" si="105"/>
        <v>0</v>
      </c>
      <c r="AD931" s="311">
        <f t="shared" si="106"/>
        <v>0</v>
      </c>
      <c r="AE931" s="311">
        <f t="shared" si="107"/>
        <v>0</v>
      </c>
      <c r="AF931" s="310"/>
      <c r="AG931" s="841"/>
      <c r="AH931" s="744"/>
      <c r="AI931" s="292"/>
      <c r="AK931" s="300"/>
      <c r="AS931" s="452"/>
    </row>
    <row r="932" spans="1:45" s="299" customFormat="1" ht="55.2">
      <c r="A932" s="353">
        <v>600</v>
      </c>
      <c r="B932" s="352">
        <v>200</v>
      </c>
      <c r="C932" s="352">
        <v>300</v>
      </c>
      <c r="D932" s="352">
        <v>100</v>
      </c>
      <c r="E932" s="316">
        <v>90</v>
      </c>
      <c r="F932" s="316"/>
      <c r="G932" s="315" t="s">
        <v>181</v>
      </c>
      <c r="H932" s="314"/>
      <c r="I932" s="311"/>
      <c r="J932" s="311"/>
      <c r="K932" s="311"/>
      <c r="L932" s="311"/>
      <c r="M932" s="311"/>
      <c r="N932" s="312"/>
      <c r="O932" s="314"/>
      <c r="P932" s="311">
        <v>0</v>
      </c>
      <c r="Q932" s="312"/>
      <c r="R932" s="314"/>
      <c r="S932" s="311"/>
      <c r="T932" s="311"/>
      <c r="U932" s="311"/>
      <c r="V932" s="311"/>
      <c r="W932" s="311"/>
      <c r="X932" s="311"/>
      <c r="Y932" s="1356">
        <f t="shared" si="101"/>
        <v>0</v>
      </c>
      <c r="Z932" s="1357">
        <f t="shared" si="102"/>
        <v>0</v>
      </c>
      <c r="AA932" s="311">
        <f t="shared" si="103"/>
        <v>0</v>
      </c>
      <c r="AB932" s="311">
        <f t="shared" si="104"/>
        <v>0</v>
      </c>
      <c r="AC932" s="311">
        <f t="shared" si="105"/>
        <v>0</v>
      </c>
      <c r="AD932" s="311">
        <f t="shared" si="106"/>
        <v>0</v>
      </c>
      <c r="AE932" s="311">
        <f t="shared" si="107"/>
        <v>0</v>
      </c>
      <c r="AF932" s="310"/>
      <c r="AG932" s="841"/>
      <c r="AH932" s="744"/>
      <c r="AI932" s="292"/>
      <c r="AK932" s="300"/>
      <c r="AS932" s="452"/>
    </row>
    <row r="933" spans="1:45" s="299" customFormat="1" ht="27.6">
      <c r="A933" s="353">
        <v>600</v>
      </c>
      <c r="B933" s="352">
        <v>200</v>
      </c>
      <c r="C933" s="352">
        <v>300</v>
      </c>
      <c r="D933" s="352">
        <v>200</v>
      </c>
      <c r="E933" s="357"/>
      <c r="F933" s="357"/>
      <c r="G933" s="315" t="s">
        <v>182</v>
      </c>
      <c r="H933" s="314"/>
      <c r="I933" s="311"/>
      <c r="J933" s="311"/>
      <c r="K933" s="311"/>
      <c r="L933" s="311"/>
      <c r="M933" s="311"/>
      <c r="N933" s="312"/>
      <c r="O933" s="314"/>
      <c r="P933" s="311">
        <v>0</v>
      </c>
      <c r="Q933" s="312"/>
      <c r="R933" s="314"/>
      <c r="S933" s="311"/>
      <c r="T933" s="311"/>
      <c r="U933" s="311"/>
      <c r="V933" s="311"/>
      <c r="W933" s="311"/>
      <c r="X933" s="311"/>
      <c r="Y933" s="1356">
        <f t="shared" si="101"/>
        <v>0</v>
      </c>
      <c r="Z933" s="1357">
        <f t="shared" si="102"/>
        <v>0</v>
      </c>
      <c r="AA933" s="311">
        <f t="shared" si="103"/>
        <v>0</v>
      </c>
      <c r="AB933" s="311">
        <f t="shared" si="104"/>
        <v>0</v>
      </c>
      <c r="AC933" s="311">
        <f t="shared" si="105"/>
        <v>0</v>
      </c>
      <c r="AD933" s="311">
        <f t="shared" si="106"/>
        <v>0</v>
      </c>
      <c r="AE933" s="311">
        <f t="shared" si="107"/>
        <v>0</v>
      </c>
      <c r="AF933" s="355" t="s">
        <v>183</v>
      </c>
      <c r="AG933" s="838"/>
      <c r="AH933" s="744"/>
      <c r="AI933" s="292"/>
      <c r="AK933" s="300"/>
      <c r="AS933" s="452"/>
    </row>
    <row r="934" spans="1:45" s="299" customFormat="1" ht="27.6">
      <c r="A934" s="353">
        <v>600</v>
      </c>
      <c r="B934" s="352">
        <v>200</v>
      </c>
      <c r="C934" s="352">
        <v>300</v>
      </c>
      <c r="D934" s="352">
        <v>300</v>
      </c>
      <c r="E934" s="357"/>
      <c r="F934" s="357"/>
      <c r="G934" s="315" t="s">
        <v>184</v>
      </c>
      <c r="H934" s="314"/>
      <c r="I934" s="311"/>
      <c r="J934" s="311"/>
      <c r="K934" s="311"/>
      <c r="L934" s="311"/>
      <c r="M934" s="311"/>
      <c r="N934" s="312"/>
      <c r="O934" s="314"/>
      <c r="P934" s="311">
        <v>0</v>
      </c>
      <c r="Q934" s="312"/>
      <c r="R934" s="314"/>
      <c r="S934" s="311"/>
      <c r="T934" s="311"/>
      <c r="U934" s="311"/>
      <c r="V934" s="311"/>
      <c r="W934" s="311"/>
      <c r="X934" s="311"/>
      <c r="Y934" s="1356">
        <f t="shared" si="101"/>
        <v>0</v>
      </c>
      <c r="Z934" s="1357">
        <f t="shared" si="102"/>
        <v>0</v>
      </c>
      <c r="AA934" s="311">
        <f t="shared" si="103"/>
        <v>0</v>
      </c>
      <c r="AB934" s="311">
        <f t="shared" si="104"/>
        <v>0</v>
      </c>
      <c r="AC934" s="311">
        <f t="shared" si="105"/>
        <v>0</v>
      </c>
      <c r="AD934" s="311">
        <f t="shared" si="106"/>
        <v>0</v>
      </c>
      <c r="AE934" s="311">
        <f t="shared" si="107"/>
        <v>0</v>
      </c>
      <c r="AF934" s="355" t="s">
        <v>185</v>
      </c>
      <c r="AG934" s="838"/>
      <c r="AH934" s="744"/>
      <c r="AI934" s="292"/>
      <c r="AK934" s="300"/>
      <c r="AS934" s="452"/>
    </row>
    <row r="935" spans="1:45" s="299" customFormat="1" ht="82.8">
      <c r="A935" s="353">
        <v>600</v>
      </c>
      <c r="B935" s="352">
        <v>200</v>
      </c>
      <c r="C935" s="352">
        <v>300</v>
      </c>
      <c r="D935" s="357">
        <v>400</v>
      </c>
      <c r="E935" s="357"/>
      <c r="F935" s="357"/>
      <c r="G935" s="315" t="s">
        <v>186</v>
      </c>
      <c r="H935" s="314"/>
      <c r="I935" s="311"/>
      <c r="J935" s="311"/>
      <c r="K935" s="311"/>
      <c r="L935" s="311"/>
      <c r="M935" s="311"/>
      <c r="N935" s="312"/>
      <c r="O935" s="314"/>
      <c r="P935" s="311">
        <v>0</v>
      </c>
      <c r="Q935" s="312"/>
      <c r="R935" s="314"/>
      <c r="S935" s="311"/>
      <c r="T935" s="311"/>
      <c r="U935" s="311"/>
      <c r="V935" s="311"/>
      <c r="W935" s="311"/>
      <c r="X935" s="311"/>
      <c r="Y935" s="1356">
        <f t="shared" si="101"/>
        <v>0</v>
      </c>
      <c r="Z935" s="1357">
        <f t="shared" si="102"/>
        <v>0</v>
      </c>
      <c r="AA935" s="311">
        <f t="shared" si="103"/>
        <v>0</v>
      </c>
      <c r="AB935" s="311">
        <f t="shared" si="104"/>
        <v>0</v>
      </c>
      <c r="AC935" s="311">
        <f t="shared" si="105"/>
        <v>0</v>
      </c>
      <c r="AD935" s="311">
        <f t="shared" si="106"/>
        <v>0</v>
      </c>
      <c r="AE935" s="311">
        <f t="shared" si="107"/>
        <v>0</v>
      </c>
      <c r="AF935" s="355" t="s">
        <v>187</v>
      </c>
      <c r="AG935" s="838"/>
      <c r="AH935" s="744"/>
      <c r="AI935" s="292"/>
      <c r="AK935" s="300"/>
      <c r="AS935" s="452"/>
    </row>
    <row r="936" spans="1:45" s="299" customFormat="1">
      <c r="A936" s="353">
        <v>600</v>
      </c>
      <c r="B936" s="352">
        <v>300</v>
      </c>
      <c r="C936" s="352"/>
      <c r="D936" s="352"/>
      <c r="E936" s="352"/>
      <c r="F936" s="352"/>
      <c r="G936" s="323" t="s">
        <v>188</v>
      </c>
      <c r="H936" s="322"/>
      <c r="I936" s="320"/>
      <c r="J936" s="320"/>
      <c r="K936" s="320"/>
      <c r="L936" s="320"/>
      <c r="M936" s="320"/>
      <c r="N936" s="360"/>
      <c r="O936" s="322"/>
      <c r="P936" s="320">
        <v>0</v>
      </c>
      <c r="Q936" s="360"/>
      <c r="R936" s="322"/>
      <c r="S936" s="320"/>
      <c r="T936" s="320"/>
      <c r="U936" s="320"/>
      <c r="V936" s="320"/>
      <c r="W936" s="320"/>
      <c r="X936" s="320"/>
      <c r="Y936" s="1392">
        <f t="shared" si="101"/>
        <v>0</v>
      </c>
      <c r="Z936" s="1389">
        <f t="shared" si="102"/>
        <v>0</v>
      </c>
      <c r="AA936" s="320">
        <f t="shared" si="103"/>
        <v>0</v>
      </c>
      <c r="AB936" s="320">
        <f t="shared" si="104"/>
        <v>0</v>
      </c>
      <c r="AC936" s="320">
        <f t="shared" si="105"/>
        <v>0</v>
      </c>
      <c r="AD936" s="320">
        <f t="shared" si="106"/>
        <v>0</v>
      </c>
      <c r="AE936" s="320">
        <f t="shared" si="107"/>
        <v>0</v>
      </c>
      <c r="AF936" s="355" t="s">
        <v>189</v>
      </c>
      <c r="AG936" s="838"/>
      <c r="AH936" s="744"/>
      <c r="AI936" s="292"/>
      <c r="AK936" s="300"/>
      <c r="AS936" s="452"/>
    </row>
    <row r="937" spans="1:45" s="299" customFormat="1" ht="27.6">
      <c r="A937" s="353">
        <v>600</v>
      </c>
      <c r="B937" s="352">
        <v>300</v>
      </c>
      <c r="C937" s="357">
        <v>100</v>
      </c>
      <c r="D937" s="357"/>
      <c r="E937" s="357"/>
      <c r="F937" s="357"/>
      <c r="G937" s="315" t="s">
        <v>190</v>
      </c>
      <c r="H937" s="314"/>
      <c r="I937" s="311"/>
      <c r="J937" s="311"/>
      <c r="K937" s="311"/>
      <c r="L937" s="311"/>
      <c r="M937" s="311"/>
      <c r="N937" s="312"/>
      <c r="O937" s="313">
        <v>3176102.96</v>
      </c>
      <c r="P937" s="311">
        <v>3176103</v>
      </c>
      <c r="Q937" s="319">
        <v>2578887</v>
      </c>
      <c r="R937" s="314"/>
      <c r="S937" s="311"/>
      <c r="T937" s="311"/>
      <c r="U937" s="311"/>
      <c r="V937" s="311"/>
      <c r="W937" s="311"/>
      <c r="X937" s="311"/>
      <c r="Y937" s="1356">
        <f t="shared" si="101"/>
        <v>3176102.96</v>
      </c>
      <c r="Z937" s="1357">
        <f t="shared" si="102"/>
        <v>0</v>
      </c>
      <c r="AA937" s="311">
        <f t="shared" si="103"/>
        <v>0</v>
      </c>
      <c r="AB937" s="311">
        <f t="shared" si="104"/>
        <v>3176103</v>
      </c>
      <c r="AC937" s="311">
        <f t="shared" si="105"/>
        <v>0</v>
      </c>
      <c r="AD937" s="311">
        <f t="shared" si="106"/>
        <v>0</v>
      </c>
      <c r="AE937" s="311">
        <f t="shared" si="107"/>
        <v>2578887</v>
      </c>
      <c r="AF937" s="355" t="s">
        <v>191</v>
      </c>
      <c r="AG937" s="838"/>
      <c r="AH937" s="744"/>
      <c r="AI937" s="292"/>
      <c r="AK937" s="300"/>
      <c r="AS937" s="452"/>
    </row>
    <row r="938" spans="1:45" s="299" customFormat="1" ht="27.6">
      <c r="A938" s="353">
        <v>600</v>
      </c>
      <c r="B938" s="352">
        <v>300</v>
      </c>
      <c r="C938" s="357">
        <v>200</v>
      </c>
      <c r="D938" s="357"/>
      <c r="E938" s="357"/>
      <c r="F938" s="357"/>
      <c r="G938" s="315" t="s">
        <v>192</v>
      </c>
      <c r="H938" s="314"/>
      <c r="I938" s="311"/>
      <c r="J938" s="311"/>
      <c r="K938" s="311"/>
      <c r="L938" s="311"/>
      <c r="M938" s="311"/>
      <c r="N938" s="312"/>
      <c r="O938" s="313">
        <v>3980892.71</v>
      </c>
      <c r="P938" s="311">
        <v>2078379.88</v>
      </c>
      <c r="Q938" s="319">
        <v>2774468</v>
      </c>
      <c r="R938" s="314"/>
      <c r="S938" s="311"/>
      <c r="T938" s="311"/>
      <c r="U938" s="311"/>
      <c r="V938" s="311"/>
      <c r="W938" s="311"/>
      <c r="X938" s="311"/>
      <c r="Y938" s="1356">
        <f t="shared" si="101"/>
        <v>3980892.71</v>
      </c>
      <c r="Z938" s="1357">
        <f t="shared" si="102"/>
        <v>0</v>
      </c>
      <c r="AA938" s="311">
        <f t="shared" si="103"/>
        <v>0</v>
      </c>
      <c r="AB938" s="311">
        <f t="shared" si="104"/>
        <v>2078379.88</v>
      </c>
      <c r="AC938" s="311">
        <f t="shared" si="105"/>
        <v>0</v>
      </c>
      <c r="AD938" s="311">
        <f t="shared" si="106"/>
        <v>0</v>
      </c>
      <c r="AE938" s="311">
        <f t="shared" si="107"/>
        <v>2774468</v>
      </c>
      <c r="AF938" s="355" t="s">
        <v>193</v>
      </c>
      <c r="AG938" s="838"/>
      <c r="AH938" s="744"/>
      <c r="AI938" s="292"/>
      <c r="AK938" s="300"/>
      <c r="AS938" s="452"/>
    </row>
    <row r="939" spans="1:45" s="299" customFormat="1" ht="27.6">
      <c r="A939" s="353">
        <v>600</v>
      </c>
      <c r="B939" s="352">
        <v>300</v>
      </c>
      <c r="C939" s="352">
        <v>300</v>
      </c>
      <c r="D939" s="352"/>
      <c r="E939" s="352"/>
      <c r="F939" s="352"/>
      <c r="G939" s="323" t="s">
        <v>194</v>
      </c>
      <c r="H939" s="334"/>
      <c r="I939" s="335"/>
      <c r="J939" s="335"/>
      <c r="K939" s="335"/>
      <c r="L939" s="335"/>
      <c r="M939" s="335"/>
      <c r="N939" s="332"/>
      <c r="O939" s="333"/>
      <c r="P939" s="331"/>
      <c r="Q939" s="359"/>
      <c r="R939" s="334"/>
      <c r="S939" s="331"/>
      <c r="T939" s="331"/>
      <c r="U939" s="331"/>
      <c r="V939" s="331"/>
      <c r="W939" s="331"/>
      <c r="X939" s="331"/>
      <c r="Y939" s="1352">
        <f t="shared" si="101"/>
        <v>0</v>
      </c>
      <c r="Z939" s="1353">
        <f t="shared" si="102"/>
        <v>0</v>
      </c>
      <c r="AA939" s="331">
        <f t="shared" si="103"/>
        <v>0</v>
      </c>
      <c r="AB939" s="331">
        <f t="shared" si="104"/>
        <v>0</v>
      </c>
      <c r="AC939" s="331">
        <f t="shared" si="105"/>
        <v>0</v>
      </c>
      <c r="AD939" s="331">
        <f t="shared" si="106"/>
        <v>0</v>
      </c>
      <c r="AE939" s="331">
        <f t="shared" si="107"/>
        <v>0</v>
      </c>
      <c r="AF939" s="355" t="s">
        <v>195</v>
      </c>
      <c r="AG939" s="838"/>
      <c r="AH939" s="744"/>
      <c r="AI939" s="292"/>
      <c r="AK939" s="300"/>
      <c r="AS939" s="452"/>
    </row>
    <row r="940" spans="1:45" s="299" customFormat="1">
      <c r="A940" s="353">
        <v>600</v>
      </c>
      <c r="B940" s="352">
        <v>300</v>
      </c>
      <c r="C940" s="352">
        <v>300</v>
      </c>
      <c r="D940" s="316">
        <v>100</v>
      </c>
      <c r="E940" s="316"/>
      <c r="F940" s="316"/>
      <c r="G940" s="315" t="s">
        <v>196</v>
      </c>
      <c r="H940" s="314"/>
      <c r="I940" s="311"/>
      <c r="J940" s="311"/>
      <c r="K940" s="311"/>
      <c r="L940" s="311"/>
      <c r="M940" s="311"/>
      <c r="N940" s="312"/>
      <c r="O940" s="313">
        <v>32960</v>
      </c>
      <c r="P940" s="311">
        <v>523730</v>
      </c>
      <c r="Q940" s="319">
        <v>512635</v>
      </c>
      <c r="R940" s="314"/>
      <c r="S940" s="311"/>
      <c r="T940" s="311"/>
      <c r="U940" s="311"/>
      <c r="V940" s="311"/>
      <c r="W940" s="311"/>
      <c r="X940" s="311"/>
      <c r="Y940" s="1356">
        <f t="shared" si="101"/>
        <v>32960</v>
      </c>
      <c r="Z940" s="1357">
        <f t="shared" si="102"/>
        <v>0</v>
      </c>
      <c r="AA940" s="311">
        <f t="shared" si="103"/>
        <v>0</v>
      </c>
      <c r="AB940" s="311">
        <f t="shared" si="104"/>
        <v>523730</v>
      </c>
      <c r="AC940" s="311">
        <f t="shared" si="105"/>
        <v>0</v>
      </c>
      <c r="AD940" s="311">
        <f t="shared" si="106"/>
        <v>0</v>
      </c>
      <c r="AE940" s="311">
        <f t="shared" si="107"/>
        <v>512635</v>
      </c>
      <c r="AF940" s="310"/>
      <c r="AG940" s="841"/>
      <c r="AH940" s="744"/>
      <c r="AI940" s="292"/>
      <c r="AK940" s="300"/>
      <c r="AS940" s="452"/>
    </row>
    <row r="941" spans="1:45" s="299" customFormat="1">
      <c r="A941" s="353">
        <v>600</v>
      </c>
      <c r="B941" s="352">
        <v>300</v>
      </c>
      <c r="C941" s="352">
        <v>300</v>
      </c>
      <c r="D941" s="316">
        <v>900</v>
      </c>
      <c r="E941" s="316"/>
      <c r="F941" s="316"/>
      <c r="G941" s="315" t="s">
        <v>197</v>
      </c>
      <c r="H941" s="314"/>
      <c r="I941" s="311"/>
      <c r="J941" s="311"/>
      <c r="K941" s="311"/>
      <c r="L941" s="311"/>
      <c r="M941" s="311"/>
      <c r="N941" s="312"/>
      <c r="O941" s="313">
        <v>1277835.76</v>
      </c>
      <c r="P941" s="311">
        <v>1053154</v>
      </c>
      <c r="Q941" s="319">
        <v>1060149</v>
      </c>
      <c r="R941" s="314"/>
      <c r="S941" s="311"/>
      <c r="T941" s="311"/>
      <c r="U941" s="311"/>
      <c r="V941" s="311"/>
      <c r="W941" s="311"/>
      <c r="X941" s="311"/>
      <c r="Y941" s="1356">
        <f t="shared" si="101"/>
        <v>1277835.76</v>
      </c>
      <c r="Z941" s="1357">
        <f t="shared" si="102"/>
        <v>0</v>
      </c>
      <c r="AA941" s="311">
        <f t="shared" si="103"/>
        <v>0</v>
      </c>
      <c r="AB941" s="311">
        <f t="shared" si="104"/>
        <v>1053154</v>
      </c>
      <c r="AC941" s="311">
        <f t="shared" si="105"/>
        <v>0</v>
      </c>
      <c r="AD941" s="311">
        <f t="shared" si="106"/>
        <v>0</v>
      </c>
      <c r="AE941" s="311">
        <f t="shared" si="107"/>
        <v>1060149</v>
      </c>
      <c r="AF941" s="310"/>
      <c r="AG941" s="841"/>
      <c r="AH941" s="744"/>
      <c r="AI941" s="292"/>
      <c r="AK941" s="300"/>
      <c r="AS941" s="452"/>
    </row>
    <row r="942" spans="1:45" s="299" customFormat="1">
      <c r="A942" s="353">
        <v>600</v>
      </c>
      <c r="B942" s="352">
        <v>300</v>
      </c>
      <c r="C942" s="357">
        <v>400</v>
      </c>
      <c r="D942" s="357"/>
      <c r="E942" s="357"/>
      <c r="F942" s="357"/>
      <c r="G942" s="315" t="s">
        <v>198</v>
      </c>
      <c r="H942" s="314"/>
      <c r="I942" s="311"/>
      <c r="J942" s="311"/>
      <c r="K942" s="311"/>
      <c r="L942" s="311"/>
      <c r="M942" s="311"/>
      <c r="N942" s="312"/>
      <c r="O942" s="313">
        <v>481048.5</v>
      </c>
      <c r="P942" s="311">
        <v>296400</v>
      </c>
      <c r="Q942" s="319">
        <v>300500</v>
      </c>
      <c r="R942" s="314"/>
      <c r="S942" s="311"/>
      <c r="T942" s="311"/>
      <c r="U942" s="311"/>
      <c r="V942" s="311"/>
      <c r="W942" s="311"/>
      <c r="X942" s="311"/>
      <c r="Y942" s="1356">
        <f t="shared" si="101"/>
        <v>481048.5</v>
      </c>
      <c r="Z942" s="1357">
        <f t="shared" si="102"/>
        <v>0</v>
      </c>
      <c r="AA942" s="311">
        <f t="shared" si="103"/>
        <v>0</v>
      </c>
      <c r="AB942" s="311">
        <f t="shared" si="104"/>
        <v>296400</v>
      </c>
      <c r="AC942" s="311">
        <f t="shared" si="105"/>
        <v>0</v>
      </c>
      <c r="AD942" s="311">
        <f t="shared" si="106"/>
        <v>0</v>
      </c>
      <c r="AE942" s="311">
        <f t="shared" si="107"/>
        <v>300500</v>
      </c>
      <c r="AF942" s="355" t="s">
        <v>199</v>
      </c>
      <c r="AG942" s="838"/>
      <c r="AH942" s="744"/>
      <c r="AI942" s="292"/>
      <c r="AK942" s="300"/>
      <c r="AS942" s="452"/>
    </row>
    <row r="943" spans="1:45" s="299" customFormat="1">
      <c r="A943" s="353">
        <v>600</v>
      </c>
      <c r="B943" s="357">
        <v>400</v>
      </c>
      <c r="C943" s="357"/>
      <c r="D943" s="357"/>
      <c r="E943" s="357"/>
      <c r="F943" s="357"/>
      <c r="G943" s="315" t="s">
        <v>200</v>
      </c>
      <c r="H943" s="314"/>
      <c r="I943" s="311"/>
      <c r="J943" s="311"/>
      <c r="K943" s="311"/>
      <c r="L943" s="311"/>
      <c r="M943" s="311"/>
      <c r="N943" s="319"/>
      <c r="O943" s="314"/>
      <c r="P943" s="311">
        <v>0</v>
      </c>
      <c r="Q943" s="319"/>
      <c r="R943" s="314">
        <v>5000</v>
      </c>
      <c r="S943" s="311">
        <v>0</v>
      </c>
      <c r="T943" s="311"/>
      <c r="U943" s="311">
        <v>5000</v>
      </c>
      <c r="V943" s="311">
        <v>0</v>
      </c>
      <c r="W943" s="311"/>
      <c r="X943" s="311"/>
      <c r="Y943" s="1356">
        <f t="shared" si="101"/>
        <v>5000</v>
      </c>
      <c r="Z943" s="1357">
        <f t="shared" si="102"/>
        <v>0</v>
      </c>
      <c r="AA943" s="311">
        <f t="shared" si="103"/>
        <v>0</v>
      </c>
      <c r="AB943" s="311">
        <f t="shared" si="104"/>
        <v>5000</v>
      </c>
      <c r="AC943" s="311">
        <f t="shared" si="105"/>
        <v>0</v>
      </c>
      <c r="AD943" s="311">
        <f t="shared" si="106"/>
        <v>0</v>
      </c>
      <c r="AE943" s="311">
        <f t="shared" si="107"/>
        <v>0</v>
      </c>
      <c r="AF943" s="355" t="s">
        <v>201</v>
      </c>
      <c r="AG943" s="838"/>
      <c r="AH943" s="744"/>
      <c r="AI943" s="292"/>
      <c r="AK943" s="300"/>
      <c r="AS943" s="452"/>
    </row>
    <row r="944" spans="1:45" s="292" customFormat="1" ht="27.6">
      <c r="A944" s="338">
        <v>610</v>
      </c>
      <c r="B944" s="337">
        <v>0</v>
      </c>
      <c r="C944" s="337">
        <v>0</v>
      </c>
      <c r="D944" s="337">
        <v>0</v>
      </c>
      <c r="E944" s="337">
        <v>0</v>
      </c>
      <c r="F944" s="337">
        <v>0</v>
      </c>
      <c r="G944" s="336" t="s">
        <v>202</v>
      </c>
      <c r="H944" s="334"/>
      <c r="I944" s="335"/>
      <c r="J944" s="335"/>
      <c r="K944" s="335"/>
      <c r="L944" s="335"/>
      <c r="M944" s="335"/>
      <c r="N944" s="332"/>
      <c r="O944" s="334"/>
      <c r="P944" s="331">
        <v>0</v>
      </c>
      <c r="Q944" s="332"/>
      <c r="R944" s="334"/>
      <c r="S944" s="331"/>
      <c r="T944" s="331"/>
      <c r="U944" s="331"/>
      <c r="V944" s="331"/>
      <c r="W944" s="331"/>
      <c r="X944" s="331"/>
      <c r="Y944" s="1352">
        <f t="shared" si="101"/>
        <v>0</v>
      </c>
      <c r="Z944" s="1353">
        <f t="shared" si="102"/>
        <v>0</v>
      </c>
      <c r="AA944" s="331">
        <f t="shared" si="103"/>
        <v>0</v>
      </c>
      <c r="AB944" s="331">
        <f t="shared" si="104"/>
        <v>0</v>
      </c>
      <c r="AC944" s="331">
        <f t="shared" si="105"/>
        <v>0</v>
      </c>
      <c r="AD944" s="331">
        <f t="shared" si="106"/>
        <v>0</v>
      </c>
      <c r="AE944" s="331">
        <f t="shared" si="107"/>
        <v>0</v>
      </c>
      <c r="AF944" s="330" t="s">
        <v>203</v>
      </c>
      <c r="AG944" s="837"/>
      <c r="AH944" s="744">
        <f>SUM(Y945:Y946)</f>
        <v>0</v>
      </c>
      <c r="AI944" s="292" t="s">
        <v>2255</v>
      </c>
      <c r="AK944" s="293"/>
      <c r="AS944" s="744"/>
    </row>
    <row r="945" spans="1:45" s="299" customFormat="1" ht="55.2">
      <c r="A945" s="353">
        <v>610</v>
      </c>
      <c r="B945" s="357">
        <v>100</v>
      </c>
      <c r="C945" s="357"/>
      <c r="D945" s="357"/>
      <c r="E945" s="357"/>
      <c r="F945" s="357"/>
      <c r="G945" s="315" t="s">
        <v>204</v>
      </c>
      <c r="H945" s="314"/>
      <c r="I945" s="311"/>
      <c r="J945" s="311"/>
      <c r="K945" s="311"/>
      <c r="L945" s="311"/>
      <c r="M945" s="311"/>
      <c r="N945" s="312"/>
      <c r="O945" s="314"/>
      <c r="P945" s="311">
        <v>0</v>
      </c>
      <c r="Q945" s="312"/>
      <c r="R945" s="314"/>
      <c r="S945" s="311"/>
      <c r="T945" s="311"/>
      <c r="U945" s="311"/>
      <c r="V945" s="311"/>
      <c r="W945" s="311"/>
      <c r="X945" s="311"/>
      <c r="Y945" s="1356">
        <f t="shared" si="101"/>
        <v>0</v>
      </c>
      <c r="Z945" s="1357">
        <f t="shared" si="102"/>
        <v>0</v>
      </c>
      <c r="AA945" s="311">
        <f t="shared" si="103"/>
        <v>0</v>
      </c>
      <c r="AB945" s="311">
        <f t="shared" si="104"/>
        <v>0</v>
      </c>
      <c r="AC945" s="311">
        <f t="shared" si="105"/>
        <v>0</v>
      </c>
      <c r="AD945" s="311">
        <f t="shared" si="106"/>
        <v>0</v>
      </c>
      <c r="AE945" s="311">
        <f t="shared" si="107"/>
        <v>0</v>
      </c>
      <c r="AF945" s="355" t="s">
        <v>205</v>
      </c>
      <c r="AG945" s="838"/>
      <c r="AH945" s="744"/>
      <c r="AI945" s="292"/>
      <c r="AK945" s="300"/>
      <c r="AS945" s="452"/>
    </row>
    <row r="946" spans="1:45" s="299" customFormat="1" ht="41.4">
      <c r="A946" s="353">
        <v>610</v>
      </c>
      <c r="B946" s="357">
        <v>200</v>
      </c>
      <c r="C946" s="357"/>
      <c r="D946" s="357"/>
      <c r="E946" s="357"/>
      <c r="F946" s="357"/>
      <c r="G946" s="315" t="s">
        <v>206</v>
      </c>
      <c r="H946" s="314"/>
      <c r="I946" s="311"/>
      <c r="J946" s="311"/>
      <c r="K946" s="311"/>
      <c r="L946" s="311"/>
      <c r="M946" s="311"/>
      <c r="N946" s="312"/>
      <c r="O946" s="314"/>
      <c r="P946" s="311">
        <v>0</v>
      </c>
      <c r="Q946" s="312"/>
      <c r="R946" s="314">
        <v>25010</v>
      </c>
      <c r="S946" s="311"/>
      <c r="T946" s="311"/>
      <c r="U946" s="311"/>
      <c r="V946" s="311"/>
      <c r="W946" s="311"/>
      <c r="X946" s="311"/>
      <c r="Y946" s="1356"/>
      <c r="Z946" s="1357">
        <f t="shared" si="102"/>
        <v>0</v>
      </c>
      <c r="AA946" s="311">
        <f t="shared" si="103"/>
        <v>0</v>
      </c>
      <c r="AB946" s="311">
        <f t="shared" si="104"/>
        <v>0</v>
      </c>
      <c r="AC946" s="311">
        <f t="shared" si="105"/>
        <v>0</v>
      </c>
      <c r="AD946" s="311">
        <f t="shared" si="106"/>
        <v>0</v>
      </c>
      <c r="AE946" s="311">
        <f t="shared" si="107"/>
        <v>0</v>
      </c>
      <c r="AF946" s="355" t="s">
        <v>207</v>
      </c>
      <c r="AG946" s="838"/>
      <c r="AH946" s="744"/>
      <c r="AI946" s="292"/>
      <c r="AK946" s="300"/>
      <c r="AS946" s="452"/>
    </row>
    <row r="947" spans="1:45" s="292" customFormat="1" ht="41.4">
      <c r="A947" s="338">
        <v>620</v>
      </c>
      <c r="B947" s="337">
        <v>0</v>
      </c>
      <c r="C947" s="337">
        <v>0</v>
      </c>
      <c r="D947" s="337">
        <v>0</v>
      </c>
      <c r="E947" s="337">
        <v>0</v>
      </c>
      <c r="F947" s="337">
        <v>0</v>
      </c>
      <c r="G947" s="336" t="s">
        <v>208</v>
      </c>
      <c r="H947" s="334"/>
      <c r="I947" s="335"/>
      <c r="J947" s="335"/>
      <c r="K947" s="335"/>
      <c r="L947" s="335"/>
      <c r="M947" s="335"/>
      <c r="N947" s="332"/>
      <c r="O947" s="334"/>
      <c r="P947" s="331">
        <v>0</v>
      </c>
      <c r="Q947" s="332"/>
      <c r="R947" s="334"/>
      <c r="S947" s="331"/>
      <c r="T947" s="331"/>
      <c r="U947" s="331"/>
      <c r="V947" s="331"/>
      <c r="W947" s="331"/>
      <c r="X947" s="331"/>
      <c r="Y947" s="1352">
        <f t="shared" si="101"/>
        <v>0</v>
      </c>
      <c r="Z947" s="1353">
        <f t="shared" si="102"/>
        <v>0</v>
      </c>
      <c r="AA947" s="331">
        <f t="shared" si="103"/>
        <v>0</v>
      </c>
      <c r="AB947" s="331">
        <f t="shared" si="104"/>
        <v>0</v>
      </c>
      <c r="AC947" s="331">
        <f t="shared" si="105"/>
        <v>0</v>
      </c>
      <c r="AD947" s="331">
        <f t="shared" si="106"/>
        <v>0</v>
      </c>
      <c r="AE947" s="331">
        <f t="shared" si="107"/>
        <v>0</v>
      </c>
      <c r="AF947" s="337" t="s">
        <v>209</v>
      </c>
      <c r="AG947" s="837"/>
      <c r="AH947" s="744">
        <f>SUM(Y948:Y952)</f>
        <v>1673282.5600000001</v>
      </c>
      <c r="AI947" s="292" t="s">
        <v>2254</v>
      </c>
      <c r="AK947" s="293"/>
      <c r="AS947" s="744"/>
    </row>
    <row r="948" spans="1:45" s="299" customFormat="1" ht="55.2">
      <c r="A948" s="353">
        <v>620</v>
      </c>
      <c r="B948" s="357">
        <v>50</v>
      </c>
      <c r="C948" s="357"/>
      <c r="D948" s="357"/>
      <c r="E948" s="357"/>
      <c r="F948" s="357"/>
      <c r="G948" s="315" t="s">
        <v>210</v>
      </c>
      <c r="H948" s="314"/>
      <c r="I948" s="311"/>
      <c r="J948" s="311"/>
      <c r="K948" s="311"/>
      <c r="L948" s="311"/>
      <c r="M948" s="311"/>
      <c r="N948" s="312"/>
      <c r="O948" s="314"/>
      <c r="P948" s="311">
        <v>0</v>
      </c>
      <c r="Q948" s="312"/>
      <c r="R948" s="314"/>
      <c r="S948" s="340"/>
      <c r="T948" s="340"/>
      <c r="U948" s="340"/>
      <c r="V948" s="340"/>
      <c r="W948" s="340"/>
      <c r="X948" s="340"/>
      <c r="Y948" s="1356">
        <f t="shared" si="101"/>
        <v>0</v>
      </c>
      <c r="Z948" s="1378">
        <f t="shared" si="102"/>
        <v>0</v>
      </c>
      <c r="AA948" s="340">
        <f t="shared" si="103"/>
        <v>0</v>
      </c>
      <c r="AB948" s="340">
        <f t="shared" si="104"/>
        <v>0</v>
      </c>
      <c r="AC948" s="340">
        <f t="shared" si="105"/>
        <v>0</v>
      </c>
      <c r="AD948" s="340">
        <f t="shared" si="106"/>
        <v>0</v>
      </c>
      <c r="AE948" s="340">
        <f t="shared" si="107"/>
        <v>0</v>
      </c>
      <c r="AF948" s="339" t="s">
        <v>211</v>
      </c>
      <c r="AG948" s="837"/>
      <c r="AH948" s="744"/>
      <c r="AI948" s="292"/>
      <c r="AK948" s="300"/>
      <c r="AS948" s="452"/>
    </row>
    <row r="949" spans="1:45" s="299" customFormat="1" ht="55.2">
      <c r="A949" s="353">
        <v>620</v>
      </c>
      <c r="B949" s="357">
        <v>100</v>
      </c>
      <c r="C949" s="357"/>
      <c r="D949" s="357"/>
      <c r="E949" s="357"/>
      <c r="F949" s="357"/>
      <c r="G949" s="315" t="s">
        <v>212</v>
      </c>
      <c r="H949" s="314"/>
      <c r="I949" s="311"/>
      <c r="J949" s="311"/>
      <c r="K949" s="311"/>
      <c r="L949" s="311"/>
      <c r="M949" s="311"/>
      <c r="N949" s="312"/>
      <c r="O949" s="314"/>
      <c r="P949" s="311">
        <v>0</v>
      </c>
      <c r="Q949" s="312"/>
      <c r="R949" s="314"/>
      <c r="S949" s="311"/>
      <c r="T949" s="311"/>
      <c r="U949" s="311"/>
      <c r="V949" s="311"/>
      <c r="W949" s="311"/>
      <c r="X949" s="311"/>
      <c r="Y949" s="1356">
        <f t="shared" si="101"/>
        <v>0</v>
      </c>
      <c r="Z949" s="1357">
        <f t="shared" si="102"/>
        <v>0</v>
      </c>
      <c r="AA949" s="311">
        <f t="shared" si="103"/>
        <v>0</v>
      </c>
      <c r="AB949" s="311">
        <f t="shared" si="104"/>
        <v>0</v>
      </c>
      <c r="AC949" s="311">
        <f t="shared" si="105"/>
        <v>0</v>
      </c>
      <c r="AD949" s="311">
        <f t="shared" si="106"/>
        <v>0</v>
      </c>
      <c r="AE949" s="311">
        <f t="shared" si="107"/>
        <v>0</v>
      </c>
      <c r="AF949" s="355" t="s">
        <v>213</v>
      </c>
      <c r="AG949" s="838"/>
      <c r="AH949" s="744"/>
      <c r="AI949" s="292"/>
      <c r="AK949" s="300"/>
      <c r="AS949" s="452"/>
    </row>
    <row r="950" spans="1:45" s="299" customFormat="1" ht="55.2">
      <c r="A950" s="353">
        <v>620</v>
      </c>
      <c r="B950" s="357">
        <v>200</v>
      </c>
      <c r="C950" s="357"/>
      <c r="D950" s="357"/>
      <c r="E950" s="357"/>
      <c r="F950" s="357"/>
      <c r="G950" s="315" t="s">
        <v>214</v>
      </c>
      <c r="H950" s="314"/>
      <c r="I950" s="311"/>
      <c r="J950" s="311"/>
      <c r="K950" s="311"/>
      <c r="L950" s="311"/>
      <c r="M950" s="311"/>
      <c r="N950" s="312"/>
      <c r="O950" s="314"/>
      <c r="P950" s="311">
        <v>0</v>
      </c>
      <c r="Q950" s="312"/>
      <c r="R950" s="314"/>
      <c r="S950" s="311"/>
      <c r="T950" s="311"/>
      <c r="U950" s="311"/>
      <c r="V950" s="311"/>
      <c r="W950" s="311"/>
      <c r="X950" s="311"/>
      <c r="Y950" s="1356">
        <v>25010</v>
      </c>
      <c r="Z950" s="1357">
        <f t="shared" si="102"/>
        <v>0</v>
      </c>
      <c r="AA950" s="311">
        <f t="shared" si="103"/>
        <v>0</v>
      </c>
      <c r="AB950" s="311">
        <f t="shared" si="104"/>
        <v>0</v>
      </c>
      <c r="AC950" s="311">
        <f t="shared" si="105"/>
        <v>0</v>
      </c>
      <c r="AD950" s="311">
        <f t="shared" si="106"/>
        <v>0</v>
      </c>
      <c r="AE950" s="311">
        <f t="shared" si="107"/>
        <v>0</v>
      </c>
      <c r="AF950" s="355" t="s">
        <v>215</v>
      </c>
      <c r="AG950" s="838"/>
      <c r="AH950" s="744"/>
      <c r="AI950" s="292"/>
      <c r="AK950" s="300"/>
      <c r="AS950" s="452"/>
    </row>
    <row r="951" spans="1:45" s="299" customFormat="1" ht="41.4">
      <c r="A951" s="353">
        <v>620</v>
      </c>
      <c r="B951" s="357">
        <v>300</v>
      </c>
      <c r="C951" s="357"/>
      <c r="D951" s="357"/>
      <c r="E951" s="357"/>
      <c r="F951" s="357"/>
      <c r="G951" s="315" t="s">
        <v>216</v>
      </c>
      <c r="H951" s="314"/>
      <c r="I951" s="311"/>
      <c r="J951" s="311"/>
      <c r="K951" s="311"/>
      <c r="L951" s="311"/>
      <c r="M951" s="311"/>
      <c r="N951" s="312"/>
      <c r="O951" s="314">
        <v>1628605.86</v>
      </c>
      <c r="P951" s="311">
        <v>0</v>
      </c>
      <c r="Q951" s="312"/>
      <c r="R951" s="314"/>
      <c r="S951" s="311"/>
      <c r="T951" s="311"/>
      <c r="U951" s="311"/>
      <c r="V951" s="311"/>
      <c r="W951" s="311"/>
      <c r="X951" s="311"/>
      <c r="Y951" s="1356">
        <f t="shared" si="101"/>
        <v>1628605.86</v>
      </c>
      <c r="Z951" s="1357">
        <f t="shared" si="102"/>
        <v>0</v>
      </c>
      <c r="AA951" s="311">
        <f t="shared" si="103"/>
        <v>0</v>
      </c>
      <c r="AB951" s="311">
        <f t="shared" si="104"/>
        <v>0</v>
      </c>
      <c r="AC951" s="311">
        <f t="shared" si="105"/>
        <v>0</v>
      </c>
      <c r="AD951" s="311">
        <f t="shared" si="106"/>
        <v>0</v>
      </c>
      <c r="AE951" s="311">
        <f t="shared" si="107"/>
        <v>0</v>
      </c>
      <c r="AF951" s="355" t="s">
        <v>217</v>
      </c>
      <c r="AG951" s="838"/>
      <c r="AH951" s="744"/>
      <c r="AI951" s="292"/>
      <c r="AK951" s="300"/>
      <c r="AS951" s="452"/>
    </row>
    <row r="952" spans="1:45" s="299" customFormat="1" ht="41.4">
      <c r="A952" s="353">
        <v>620</v>
      </c>
      <c r="B952" s="357">
        <v>400</v>
      </c>
      <c r="C952" s="357"/>
      <c r="D952" s="357"/>
      <c r="E952" s="357"/>
      <c r="F952" s="357"/>
      <c r="G952" s="315" t="s">
        <v>218</v>
      </c>
      <c r="H952" s="314"/>
      <c r="I952" s="311"/>
      <c r="J952" s="311"/>
      <c r="K952" s="311"/>
      <c r="L952" s="311"/>
      <c r="M952" s="311"/>
      <c r="N952" s="312"/>
      <c r="O952" s="314"/>
      <c r="P952" s="311">
        <v>0</v>
      </c>
      <c r="Q952" s="312"/>
      <c r="R952" s="314">
        <v>19666.7</v>
      </c>
      <c r="S952" s="311"/>
      <c r="T952" s="311"/>
      <c r="U952" s="311"/>
      <c r="V952" s="311"/>
      <c r="W952" s="311"/>
      <c r="X952" s="311"/>
      <c r="Y952" s="1356">
        <f t="shared" si="101"/>
        <v>19666.7</v>
      </c>
      <c r="Z952" s="1357">
        <f t="shared" si="102"/>
        <v>0</v>
      </c>
      <c r="AA952" s="311">
        <f t="shared" si="103"/>
        <v>0</v>
      </c>
      <c r="AB952" s="311">
        <f t="shared" si="104"/>
        <v>0</v>
      </c>
      <c r="AC952" s="311">
        <f t="shared" si="105"/>
        <v>0</v>
      </c>
      <c r="AD952" s="311">
        <f t="shared" si="106"/>
        <v>0</v>
      </c>
      <c r="AE952" s="311">
        <f t="shared" si="107"/>
        <v>0</v>
      </c>
      <c r="AF952" s="355" t="s">
        <v>219</v>
      </c>
      <c r="AG952" s="838"/>
      <c r="AH952" s="744"/>
      <c r="AI952" s="292"/>
      <c r="AK952" s="300"/>
      <c r="AS952" s="452"/>
    </row>
    <row r="953" spans="1:45" s="292" customFormat="1" ht="27.6">
      <c r="A953" s="338">
        <v>630</v>
      </c>
      <c r="B953" s="337">
        <v>0</v>
      </c>
      <c r="C953" s="337">
        <v>0</v>
      </c>
      <c r="D953" s="337">
        <v>0</v>
      </c>
      <c r="E953" s="337">
        <v>0</v>
      </c>
      <c r="F953" s="337">
        <v>0</v>
      </c>
      <c r="G953" s="336" t="s">
        <v>23</v>
      </c>
      <c r="H953" s="334"/>
      <c r="I953" s="335"/>
      <c r="J953" s="335"/>
      <c r="K953" s="335"/>
      <c r="L953" s="335"/>
      <c r="M953" s="335"/>
      <c r="N953" s="332"/>
      <c r="O953" s="334"/>
      <c r="P953" s="331">
        <v>0</v>
      </c>
      <c r="Q953" s="332"/>
      <c r="R953" s="334"/>
      <c r="S953" s="331"/>
      <c r="T953" s="331"/>
      <c r="U953" s="331"/>
      <c r="V953" s="331"/>
      <c r="W953" s="331"/>
      <c r="X953" s="331"/>
      <c r="Y953" s="1352">
        <f t="shared" si="101"/>
        <v>0</v>
      </c>
      <c r="Z953" s="1353">
        <f t="shared" si="102"/>
        <v>0</v>
      </c>
      <c r="AA953" s="331">
        <f t="shared" si="103"/>
        <v>0</v>
      </c>
      <c r="AB953" s="331">
        <f t="shared" si="104"/>
        <v>0</v>
      </c>
      <c r="AC953" s="331">
        <f t="shared" si="105"/>
        <v>0</v>
      </c>
      <c r="AD953" s="331">
        <f t="shared" si="106"/>
        <v>0</v>
      </c>
      <c r="AE953" s="331">
        <f t="shared" si="107"/>
        <v>0</v>
      </c>
      <c r="AF953" s="330" t="s">
        <v>220</v>
      </c>
      <c r="AG953" s="837"/>
      <c r="AH953" s="744">
        <f>SUM(Y953:Y1055)</f>
        <v>31556023.670000002</v>
      </c>
      <c r="AI953" s="292" t="s">
        <v>2253</v>
      </c>
      <c r="AK953" s="293"/>
      <c r="AS953" s="744"/>
    </row>
    <row r="954" spans="1:45" s="299" customFormat="1" ht="41.4">
      <c r="A954" s="353">
        <v>630</v>
      </c>
      <c r="B954" s="352">
        <v>100</v>
      </c>
      <c r="C954" s="352"/>
      <c r="D954" s="352"/>
      <c r="E954" s="352"/>
      <c r="F954" s="352"/>
      <c r="G954" s="323" t="s">
        <v>221</v>
      </c>
      <c r="H954" s="322"/>
      <c r="I954" s="320"/>
      <c r="J954" s="320"/>
      <c r="K954" s="320"/>
      <c r="L954" s="320"/>
      <c r="M954" s="320"/>
      <c r="N954" s="321"/>
      <c r="O954" s="322"/>
      <c r="P954" s="320">
        <v>0</v>
      </c>
      <c r="Q954" s="321"/>
      <c r="R954" s="322"/>
      <c r="S954" s="320"/>
      <c r="T954" s="320"/>
      <c r="U954" s="320"/>
      <c r="V954" s="320"/>
      <c r="W954" s="320"/>
      <c r="X954" s="320"/>
      <c r="Y954" s="1392">
        <f t="shared" si="101"/>
        <v>0</v>
      </c>
      <c r="Z954" s="1389">
        <f t="shared" si="102"/>
        <v>0</v>
      </c>
      <c r="AA954" s="320">
        <f t="shared" si="103"/>
        <v>0</v>
      </c>
      <c r="AB954" s="320">
        <f t="shared" si="104"/>
        <v>0</v>
      </c>
      <c r="AC954" s="320">
        <f t="shared" si="105"/>
        <v>0</v>
      </c>
      <c r="AD954" s="320">
        <f t="shared" si="106"/>
        <v>0</v>
      </c>
      <c r="AE954" s="320">
        <f t="shared" si="107"/>
        <v>0</v>
      </c>
      <c r="AF954" s="355" t="s">
        <v>222</v>
      </c>
      <c r="AG954" s="838"/>
      <c r="AH954" s="744"/>
      <c r="AI954" s="292"/>
      <c r="AK954" s="300"/>
      <c r="AS954" s="452"/>
    </row>
    <row r="955" spans="1:45" s="299" customFormat="1" ht="55.2">
      <c r="A955" s="353">
        <v>630</v>
      </c>
      <c r="B955" s="352">
        <v>100</v>
      </c>
      <c r="C955" s="352">
        <v>100</v>
      </c>
      <c r="D955" s="352"/>
      <c r="E955" s="352"/>
      <c r="F955" s="352"/>
      <c r="G955" s="323" t="s">
        <v>223</v>
      </c>
      <c r="H955" s="322"/>
      <c r="I955" s="320"/>
      <c r="J955" s="320"/>
      <c r="K955" s="320"/>
      <c r="L955" s="320"/>
      <c r="M955" s="320"/>
      <c r="N955" s="321"/>
      <c r="O955" s="322"/>
      <c r="P955" s="320">
        <v>0</v>
      </c>
      <c r="Q955" s="321"/>
      <c r="R955" s="322"/>
      <c r="S955" s="320"/>
      <c r="T955" s="320"/>
      <c r="U955" s="320"/>
      <c r="V955" s="320"/>
      <c r="W955" s="320"/>
      <c r="X955" s="320"/>
      <c r="Y955" s="1392">
        <f t="shared" si="101"/>
        <v>0</v>
      </c>
      <c r="Z955" s="1389">
        <f t="shared" si="102"/>
        <v>0</v>
      </c>
      <c r="AA955" s="320">
        <f t="shared" si="103"/>
        <v>0</v>
      </c>
      <c r="AB955" s="320">
        <f t="shared" si="104"/>
        <v>0</v>
      </c>
      <c r="AC955" s="320">
        <f t="shared" si="105"/>
        <v>0</v>
      </c>
      <c r="AD955" s="320">
        <f t="shared" si="106"/>
        <v>0</v>
      </c>
      <c r="AE955" s="320">
        <f t="shared" si="107"/>
        <v>0</v>
      </c>
      <c r="AF955" s="355" t="s">
        <v>224</v>
      </c>
      <c r="AG955" s="838"/>
      <c r="AH955" s="744"/>
      <c r="AI955" s="292"/>
      <c r="AK955" s="300"/>
      <c r="AS955" s="452"/>
    </row>
    <row r="956" spans="1:45" s="299" customFormat="1">
      <c r="A956" s="353">
        <v>630</v>
      </c>
      <c r="B956" s="352">
        <v>100</v>
      </c>
      <c r="C956" s="352">
        <v>100</v>
      </c>
      <c r="D956" s="352">
        <v>100</v>
      </c>
      <c r="E956" s="352"/>
      <c r="F956" s="352"/>
      <c r="G956" s="323" t="s">
        <v>225</v>
      </c>
      <c r="H956" s="322"/>
      <c r="I956" s="320"/>
      <c r="J956" s="320"/>
      <c r="K956" s="320"/>
      <c r="L956" s="320"/>
      <c r="M956" s="320"/>
      <c r="N956" s="321"/>
      <c r="O956" s="322"/>
      <c r="P956" s="320">
        <v>0</v>
      </c>
      <c r="Q956" s="321"/>
      <c r="R956" s="322"/>
      <c r="S956" s="320"/>
      <c r="T956" s="320"/>
      <c r="U956" s="320"/>
      <c r="V956" s="320"/>
      <c r="W956" s="320"/>
      <c r="X956" s="320"/>
      <c r="Y956" s="1392">
        <f t="shared" si="101"/>
        <v>0</v>
      </c>
      <c r="Z956" s="1389">
        <f t="shared" si="102"/>
        <v>0</v>
      </c>
      <c r="AA956" s="320">
        <f t="shared" si="103"/>
        <v>0</v>
      </c>
      <c r="AB956" s="320">
        <f t="shared" si="104"/>
        <v>0</v>
      </c>
      <c r="AC956" s="320">
        <f t="shared" si="105"/>
        <v>0</v>
      </c>
      <c r="AD956" s="320">
        <f t="shared" si="106"/>
        <v>0</v>
      </c>
      <c r="AE956" s="320">
        <f t="shared" si="107"/>
        <v>0</v>
      </c>
      <c r="AF956" s="355" t="s">
        <v>226</v>
      </c>
      <c r="AG956" s="838"/>
      <c r="AH956" s="744"/>
      <c r="AI956" s="292"/>
      <c r="AK956" s="300"/>
      <c r="AS956" s="452"/>
    </row>
    <row r="957" spans="1:45" s="299" customFormat="1" ht="27.6">
      <c r="A957" s="353">
        <v>630</v>
      </c>
      <c r="B957" s="352">
        <v>100</v>
      </c>
      <c r="C957" s="352">
        <v>100</v>
      </c>
      <c r="D957" s="352">
        <v>100</v>
      </c>
      <c r="E957" s="352">
        <v>10</v>
      </c>
      <c r="F957" s="352"/>
      <c r="G957" s="315" t="s">
        <v>227</v>
      </c>
      <c r="H957" s="329"/>
      <c r="I957" s="326"/>
      <c r="J957" s="326"/>
      <c r="K957" s="326"/>
      <c r="L957" s="326"/>
      <c r="M957" s="326"/>
      <c r="N957" s="327"/>
      <c r="O957" s="329"/>
      <c r="P957" s="326">
        <v>0</v>
      </c>
      <c r="Q957" s="327"/>
      <c r="R957" s="329">
        <v>17926340.100000001</v>
      </c>
      <c r="S957" s="326"/>
      <c r="T957" s="326"/>
      <c r="U957" s="326">
        <v>17771821.125999998</v>
      </c>
      <c r="V957" s="326"/>
      <c r="W957" s="326"/>
      <c r="X957" s="326">
        <v>18404205</v>
      </c>
      <c r="Y957" s="1350">
        <f t="shared" si="101"/>
        <v>17926340.100000001</v>
      </c>
      <c r="Z957" s="1395">
        <f t="shared" si="102"/>
        <v>0</v>
      </c>
      <c r="AA957" s="326">
        <f t="shared" si="103"/>
        <v>0</v>
      </c>
      <c r="AB957" s="326">
        <f t="shared" si="104"/>
        <v>17771821.125999998</v>
      </c>
      <c r="AC957" s="326">
        <f t="shared" si="105"/>
        <v>0</v>
      </c>
      <c r="AD957" s="326">
        <f t="shared" si="106"/>
        <v>0</v>
      </c>
      <c r="AE957" s="326">
        <f t="shared" si="107"/>
        <v>18404205</v>
      </c>
      <c r="AF957" s="355"/>
      <c r="AG957" s="838">
        <v>-632383.8740000017</v>
      </c>
      <c r="AH957" s="744"/>
      <c r="AI957" s="292"/>
      <c r="AK957" s="300"/>
      <c r="AS957" s="452"/>
    </row>
    <row r="958" spans="1:45" s="299" customFormat="1" ht="27.6">
      <c r="A958" s="353">
        <v>630</v>
      </c>
      <c r="B958" s="352">
        <v>100</v>
      </c>
      <c r="C958" s="352">
        <v>100</v>
      </c>
      <c r="D958" s="352">
        <v>100</v>
      </c>
      <c r="E958" s="352">
        <v>20</v>
      </c>
      <c r="F958" s="352"/>
      <c r="G958" s="315" t="s">
        <v>228</v>
      </c>
      <c r="H958" s="329"/>
      <c r="I958" s="326"/>
      <c r="J958" s="326"/>
      <c r="K958" s="326"/>
      <c r="L958" s="326"/>
      <c r="M958" s="326"/>
      <c r="N958" s="327"/>
      <c r="O958" s="329"/>
      <c r="P958" s="326">
        <v>0</v>
      </c>
      <c r="Q958" s="327"/>
      <c r="R958" s="329">
        <v>56970.77</v>
      </c>
      <c r="S958" s="326"/>
      <c r="T958" s="326"/>
      <c r="U958" s="326">
        <v>30000</v>
      </c>
      <c r="V958" s="326"/>
      <c r="W958" s="326"/>
      <c r="X958" s="326">
        <v>256792</v>
      </c>
      <c r="Y958" s="1350">
        <f t="shared" si="101"/>
        <v>56970.77</v>
      </c>
      <c r="Z958" s="1395">
        <f t="shared" si="102"/>
        <v>0</v>
      </c>
      <c r="AA958" s="326">
        <f t="shared" si="103"/>
        <v>0</v>
      </c>
      <c r="AB958" s="326">
        <f t="shared" si="104"/>
        <v>30000</v>
      </c>
      <c r="AC958" s="326">
        <f t="shared" si="105"/>
        <v>0</v>
      </c>
      <c r="AD958" s="326">
        <f t="shared" si="106"/>
        <v>0</v>
      </c>
      <c r="AE958" s="326">
        <f t="shared" si="107"/>
        <v>256792</v>
      </c>
      <c r="AF958" s="355"/>
      <c r="AG958" s="838">
        <v>-226792</v>
      </c>
      <c r="AH958" s="744"/>
      <c r="AI958" s="292"/>
      <c r="AK958" s="300"/>
      <c r="AS958" s="452"/>
    </row>
    <row r="959" spans="1:45" s="299" customFormat="1" ht="27.6">
      <c r="A959" s="353">
        <v>630</v>
      </c>
      <c r="B959" s="352">
        <v>100</v>
      </c>
      <c r="C959" s="352">
        <v>100</v>
      </c>
      <c r="D959" s="352">
        <v>200</v>
      </c>
      <c r="E959" s="352"/>
      <c r="F959" s="352"/>
      <c r="G959" s="323" t="s">
        <v>229</v>
      </c>
      <c r="H959" s="322"/>
      <c r="I959" s="320"/>
      <c r="J959" s="320"/>
      <c r="K959" s="320"/>
      <c r="L959" s="320"/>
      <c r="M959" s="320"/>
      <c r="N959" s="321"/>
      <c r="O959" s="322"/>
      <c r="P959" s="320">
        <v>0</v>
      </c>
      <c r="Q959" s="321"/>
      <c r="R959" s="322"/>
      <c r="S959" s="320"/>
      <c r="T959" s="320"/>
      <c r="U959" s="320"/>
      <c r="V959" s="320"/>
      <c r="W959" s="320"/>
      <c r="X959" s="320"/>
      <c r="Y959" s="1392">
        <f t="shared" si="101"/>
        <v>0</v>
      </c>
      <c r="Z959" s="1389">
        <f t="shared" si="102"/>
        <v>0</v>
      </c>
      <c r="AA959" s="320">
        <f t="shared" si="103"/>
        <v>0</v>
      </c>
      <c r="AB959" s="320">
        <f t="shared" si="104"/>
        <v>0</v>
      </c>
      <c r="AC959" s="320">
        <f t="shared" si="105"/>
        <v>0</v>
      </c>
      <c r="AD959" s="320">
        <f t="shared" si="106"/>
        <v>0</v>
      </c>
      <c r="AE959" s="320">
        <f t="shared" si="107"/>
        <v>0</v>
      </c>
      <c r="AF959" s="355" t="s">
        <v>230</v>
      </c>
      <c r="AG959" s="838"/>
      <c r="AH959" s="744"/>
      <c r="AI959" s="292"/>
      <c r="AK959" s="300"/>
      <c r="AS959" s="452"/>
    </row>
    <row r="960" spans="1:45" s="299" customFormat="1" ht="27.6">
      <c r="A960" s="353">
        <v>630</v>
      </c>
      <c r="B960" s="352">
        <v>100</v>
      </c>
      <c r="C960" s="352">
        <v>100</v>
      </c>
      <c r="D960" s="352">
        <v>200</v>
      </c>
      <c r="E960" s="316">
        <v>10</v>
      </c>
      <c r="F960" s="316"/>
      <c r="G960" s="315" t="s">
        <v>231</v>
      </c>
      <c r="H960" s="314"/>
      <c r="I960" s="311"/>
      <c r="J960" s="311"/>
      <c r="K960" s="311"/>
      <c r="L960" s="311"/>
      <c r="M960" s="311"/>
      <c r="N960" s="312"/>
      <c r="O960" s="314"/>
      <c r="P960" s="311">
        <v>0</v>
      </c>
      <c r="Q960" s="312"/>
      <c r="R960" s="314">
        <v>5018686.0999999996</v>
      </c>
      <c r="S960" s="326"/>
      <c r="T960" s="311"/>
      <c r="U960" s="311">
        <v>5018528.5999999996</v>
      </c>
      <c r="V960" s="326"/>
      <c r="W960" s="311"/>
      <c r="X960" s="311">
        <v>4799047</v>
      </c>
      <c r="Y960" s="1356">
        <f t="shared" si="101"/>
        <v>5018686.0999999996</v>
      </c>
      <c r="Z960" s="1396">
        <f>+I960+S960</f>
        <v>0</v>
      </c>
      <c r="AA960" s="311">
        <f t="shared" si="103"/>
        <v>0</v>
      </c>
      <c r="AB960" s="311">
        <f t="shared" si="104"/>
        <v>5018528.5999999996</v>
      </c>
      <c r="AC960" s="311">
        <f t="shared" si="105"/>
        <v>0</v>
      </c>
      <c r="AD960" s="311">
        <f t="shared" si="106"/>
        <v>0</v>
      </c>
      <c r="AE960" s="311">
        <f t="shared" si="107"/>
        <v>4799047</v>
      </c>
      <c r="AF960" s="310"/>
      <c r="AG960" s="841">
        <v>219481.59999999963</v>
      </c>
      <c r="AH960" s="744"/>
      <c r="AI960" s="292"/>
      <c r="AK960" s="300"/>
      <c r="AS960" s="452"/>
    </row>
    <row r="961" spans="1:45" s="299" customFormat="1" ht="41.4">
      <c r="A961" s="353">
        <v>630</v>
      </c>
      <c r="B961" s="352">
        <v>100</v>
      </c>
      <c r="C961" s="352">
        <v>100</v>
      </c>
      <c r="D961" s="352">
        <v>200</v>
      </c>
      <c r="E961" s="316">
        <v>20</v>
      </c>
      <c r="F961" s="316"/>
      <c r="G961" s="315" t="s">
        <v>232</v>
      </c>
      <c r="H961" s="314"/>
      <c r="I961" s="311"/>
      <c r="J961" s="311"/>
      <c r="K961" s="311"/>
      <c r="L961" s="311"/>
      <c r="M961" s="311"/>
      <c r="N961" s="312"/>
      <c r="O961" s="314"/>
      <c r="P961" s="311">
        <v>0</v>
      </c>
      <c r="Q961" s="312"/>
      <c r="R961" s="314">
        <v>585623.96</v>
      </c>
      <c r="S961" s="311"/>
      <c r="T961" s="311"/>
      <c r="U961" s="311">
        <v>449712.26</v>
      </c>
      <c r="V961" s="311"/>
      <c r="W961" s="311"/>
      <c r="X961" s="311">
        <v>519582</v>
      </c>
      <c r="Y961" s="1356">
        <f t="shared" si="101"/>
        <v>585623.96</v>
      </c>
      <c r="Z961" s="1396">
        <f t="shared" si="102"/>
        <v>0</v>
      </c>
      <c r="AA961" s="311">
        <f t="shared" si="103"/>
        <v>0</v>
      </c>
      <c r="AB961" s="311">
        <f t="shared" si="104"/>
        <v>449712.26</v>
      </c>
      <c r="AC961" s="311">
        <f t="shared" si="105"/>
        <v>0</v>
      </c>
      <c r="AD961" s="311">
        <f t="shared" si="106"/>
        <v>0</v>
      </c>
      <c r="AE961" s="311">
        <f t="shared" si="107"/>
        <v>519582</v>
      </c>
      <c r="AF961" s="310"/>
      <c r="AG961" s="841">
        <v>-69869.739999999991</v>
      </c>
      <c r="AH961" s="744"/>
      <c r="AI961" s="292"/>
      <c r="AK961" s="300"/>
      <c r="AS961" s="452"/>
    </row>
    <row r="962" spans="1:45" s="299" customFormat="1" ht="27.6">
      <c r="A962" s="353">
        <v>630</v>
      </c>
      <c r="B962" s="352">
        <v>100</v>
      </c>
      <c r="C962" s="352">
        <v>100</v>
      </c>
      <c r="D962" s="352">
        <v>250</v>
      </c>
      <c r="E962" s="352"/>
      <c r="F962" s="352"/>
      <c r="G962" s="323" t="s">
        <v>2118</v>
      </c>
      <c r="H962" s="314"/>
      <c r="I962" s="311"/>
      <c r="J962" s="311"/>
      <c r="K962" s="311"/>
      <c r="L962" s="311"/>
      <c r="M962" s="311"/>
      <c r="N962" s="312"/>
      <c r="O962" s="314"/>
      <c r="P962" s="311">
        <v>0</v>
      </c>
      <c r="Q962" s="312"/>
      <c r="R962" s="314"/>
      <c r="S962" s="311"/>
      <c r="T962" s="311"/>
      <c r="U962" s="311"/>
      <c r="V962" s="311"/>
      <c r="W962" s="311"/>
      <c r="X962" s="311"/>
      <c r="Y962" s="1356">
        <f t="shared" si="101"/>
        <v>0</v>
      </c>
      <c r="Z962" s="1357"/>
      <c r="AA962" s="311">
        <f t="shared" si="103"/>
        <v>0</v>
      </c>
      <c r="AB962" s="311">
        <f t="shared" si="104"/>
        <v>0</v>
      </c>
      <c r="AC962" s="311">
        <f t="shared" si="105"/>
        <v>0</v>
      </c>
      <c r="AD962" s="311">
        <f t="shared" si="106"/>
        <v>0</v>
      </c>
      <c r="AE962" s="311">
        <f t="shared" si="107"/>
        <v>0</v>
      </c>
      <c r="AF962" s="355" t="s">
        <v>233</v>
      </c>
      <c r="AG962" s="838"/>
      <c r="AH962" s="744"/>
      <c r="AI962" s="292"/>
      <c r="AK962" s="300"/>
      <c r="AS962" s="452"/>
    </row>
    <row r="963" spans="1:45" s="299" customFormat="1" ht="27.6">
      <c r="A963" s="353">
        <v>630</v>
      </c>
      <c r="B963" s="352">
        <v>100</v>
      </c>
      <c r="C963" s="352">
        <v>100</v>
      </c>
      <c r="D963" s="352">
        <v>300</v>
      </c>
      <c r="E963" s="357"/>
      <c r="F963" s="357"/>
      <c r="G963" s="315" t="s">
        <v>234</v>
      </c>
      <c r="H963" s="314"/>
      <c r="I963" s="311"/>
      <c r="J963" s="311"/>
      <c r="K963" s="311"/>
      <c r="L963" s="311"/>
      <c r="M963" s="311"/>
      <c r="N963" s="312"/>
      <c r="O963" s="314"/>
      <c r="P963" s="311">
        <v>0</v>
      </c>
      <c r="Q963" s="312"/>
      <c r="R963" s="314"/>
      <c r="S963" s="311"/>
      <c r="T963" s="311"/>
      <c r="U963" s="311"/>
      <c r="V963" s="311"/>
      <c r="W963" s="311"/>
      <c r="X963" s="311"/>
      <c r="Y963" s="1356">
        <f t="shared" si="101"/>
        <v>0</v>
      </c>
      <c r="Z963" s="1357">
        <f t="shared" si="102"/>
        <v>0</v>
      </c>
      <c r="AA963" s="311">
        <f t="shared" si="103"/>
        <v>0</v>
      </c>
      <c r="AB963" s="311">
        <f t="shared" si="104"/>
        <v>0</v>
      </c>
      <c r="AC963" s="311">
        <f t="shared" si="105"/>
        <v>0</v>
      </c>
      <c r="AD963" s="311">
        <f t="shared" si="106"/>
        <v>0</v>
      </c>
      <c r="AE963" s="311">
        <f t="shared" si="107"/>
        <v>0</v>
      </c>
      <c r="AF963" s="355" t="s">
        <v>235</v>
      </c>
      <c r="AG963" s="838"/>
      <c r="AH963" s="744"/>
      <c r="AI963" s="292"/>
      <c r="AK963" s="300"/>
      <c r="AS963" s="452"/>
    </row>
    <row r="964" spans="1:45" s="299" customFormat="1">
      <c r="A964" s="353">
        <v>630</v>
      </c>
      <c r="B964" s="352">
        <v>100</v>
      </c>
      <c r="C964" s="352">
        <v>100</v>
      </c>
      <c r="D964" s="352">
        <v>400</v>
      </c>
      <c r="E964" s="357"/>
      <c r="F964" s="357"/>
      <c r="G964" s="315" t="s">
        <v>236</v>
      </c>
      <c r="H964" s="314"/>
      <c r="I964" s="311"/>
      <c r="J964" s="311"/>
      <c r="K964" s="311"/>
      <c r="L964" s="311"/>
      <c r="M964" s="311"/>
      <c r="N964" s="312"/>
      <c r="O964" s="314"/>
      <c r="P964" s="311">
        <v>0</v>
      </c>
      <c r="Q964" s="312"/>
      <c r="R964" s="314">
        <v>436421.71</v>
      </c>
      <c r="S964" s="311"/>
      <c r="T964" s="311"/>
      <c r="U964" s="311">
        <v>436421.16</v>
      </c>
      <c r="V964" s="311"/>
      <c r="W964" s="311"/>
      <c r="X964" s="311">
        <v>708713</v>
      </c>
      <c r="Y964" s="1356">
        <f t="shared" si="101"/>
        <v>436421.71</v>
      </c>
      <c r="Z964" s="1357">
        <f t="shared" si="102"/>
        <v>0</v>
      </c>
      <c r="AA964" s="311">
        <f t="shared" si="103"/>
        <v>0</v>
      </c>
      <c r="AB964" s="311">
        <f t="shared" si="104"/>
        <v>436421.16</v>
      </c>
      <c r="AC964" s="311">
        <f t="shared" si="105"/>
        <v>0</v>
      </c>
      <c r="AD964" s="311">
        <f t="shared" si="106"/>
        <v>0</v>
      </c>
      <c r="AE964" s="311">
        <f t="shared" si="107"/>
        <v>708713</v>
      </c>
      <c r="AF964" s="355" t="s">
        <v>237</v>
      </c>
      <c r="AG964" s="838"/>
      <c r="AH964" s="744"/>
      <c r="AI964" s="292"/>
      <c r="AK964" s="300"/>
      <c r="AS964" s="452"/>
    </row>
    <row r="965" spans="1:45" s="299" customFormat="1" ht="27.6">
      <c r="A965" s="353">
        <v>630</v>
      </c>
      <c r="B965" s="352">
        <v>100</v>
      </c>
      <c r="C965" s="352">
        <v>100</v>
      </c>
      <c r="D965" s="352">
        <v>500</v>
      </c>
      <c r="E965" s="357"/>
      <c r="F965" s="357"/>
      <c r="G965" s="315" t="s">
        <v>238</v>
      </c>
      <c r="H965" s="314"/>
      <c r="I965" s="311"/>
      <c r="J965" s="311"/>
      <c r="K965" s="311"/>
      <c r="L965" s="311"/>
      <c r="M965" s="311"/>
      <c r="N965" s="312"/>
      <c r="O965" s="314"/>
      <c r="P965" s="311">
        <v>0</v>
      </c>
      <c r="Q965" s="312"/>
      <c r="R965" s="314"/>
      <c r="S965" s="311"/>
      <c r="T965" s="311"/>
      <c r="U965" s="311"/>
      <c r="V965" s="311"/>
      <c r="W965" s="311"/>
      <c r="X965" s="311"/>
      <c r="Y965" s="1356">
        <f t="shared" si="101"/>
        <v>0</v>
      </c>
      <c r="Z965" s="1357">
        <f t="shared" si="102"/>
        <v>0</v>
      </c>
      <c r="AA965" s="311">
        <f t="shared" si="103"/>
        <v>0</v>
      </c>
      <c r="AB965" s="311">
        <f t="shared" si="104"/>
        <v>0</v>
      </c>
      <c r="AC965" s="311">
        <f t="shared" si="105"/>
        <v>0</v>
      </c>
      <c r="AD965" s="311">
        <f t="shared" si="106"/>
        <v>0</v>
      </c>
      <c r="AE965" s="311">
        <f t="shared" si="107"/>
        <v>0</v>
      </c>
      <c r="AF965" s="355" t="s">
        <v>239</v>
      </c>
      <c r="AG965" s="838"/>
      <c r="AH965" s="744"/>
      <c r="AI965" s="292"/>
      <c r="AK965" s="300"/>
      <c r="AS965" s="452"/>
    </row>
    <row r="966" spans="1:45" s="299" customFormat="1" ht="27.6">
      <c r="A966" s="353">
        <v>630</v>
      </c>
      <c r="B966" s="352">
        <v>100</v>
      </c>
      <c r="C966" s="352">
        <v>100</v>
      </c>
      <c r="D966" s="352">
        <v>600</v>
      </c>
      <c r="E966" s="357"/>
      <c r="F966" s="357"/>
      <c r="G966" s="315" t="s">
        <v>240</v>
      </c>
      <c r="H966" s="314"/>
      <c r="I966" s="311"/>
      <c r="J966" s="311"/>
      <c r="K966" s="311"/>
      <c r="L966" s="311"/>
      <c r="M966" s="311"/>
      <c r="N966" s="312"/>
      <c r="O966" s="314"/>
      <c r="P966" s="311">
        <v>0</v>
      </c>
      <c r="Q966" s="312"/>
      <c r="R966" s="314"/>
      <c r="S966" s="311"/>
      <c r="T966" s="311"/>
      <c r="U966" s="311"/>
      <c r="V966" s="311"/>
      <c r="W966" s="311"/>
      <c r="X966" s="311"/>
      <c r="Y966" s="1356">
        <f t="shared" si="101"/>
        <v>0</v>
      </c>
      <c r="Z966" s="1357">
        <f t="shared" si="102"/>
        <v>0</v>
      </c>
      <c r="AA966" s="311">
        <f t="shared" si="103"/>
        <v>0</v>
      </c>
      <c r="AB966" s="311">
        <f t="shared" si="104"/>
        <v>0</v>
      </c>
      <c r="AC966" s="311">
        <f t="shared" si="105"/>
        <v>0</v>
      </c>
      <c r="AD966" s="311">
        <f t="shared" si="106"/>
        <v>0</v>
      </c>
      <c r="AE966" s="311">
        <f t="shared" si="107"/>
        <v>0</v>
      </c>
      <c r="AF966" s="355" t="s">
        <v>241</v>
      </c>
      <c r="AG966" s="838"/>
      <c r="AH966" s="744"/>
      <c r="AI966" s="292"/>
      <c r="AK966" s="300"/>
      <c r="AS966" s="452"/>
    </row>
    <row r="967" spans="1:45" s="299" customFormat="1">
      <c r="A967" s="353">
        <v>630</v>
      </c>
      <c r="B967" s="352">
        <v>100</v>
      </c>
      <c r="C967" s="352">
        <v>100</v>
      </c>
      <c r="D967" s="352">
        <v>700</v>
      </c>
      <c r="E967" s="357"/>
      <c r="F967" s="357"/>
      <c r="G967" s="315" t="s">
        <v>242</v>
      </c>
      <c r="H967" s="314"/>
      <c r="I967" s="311"/>
      <c r="J967" s="311"/>
      <c r="K967" s="311"/>
      <c r="L967" s="311"/>
      <c r="M967" s="311"/>
      <c r="N967" s="312"/>
      <c r="O967" s="314"/>
      <c r="P967" s="311">
        <v>0</v>
      </c>
      <c r="Q967" s="312"/>
      <c r="R967" s="314"/>
      <c r="S967" s="311"/>
      <c r="T967" s="311"/>
      <c r="U967" s="311"/>
      <c r="V967" s="311"/>
      <c r="W967" s="311"/>
      <c r="X967" s="311"/>
      <c r="Y967" s="1356">
        <f t="shared" ref="Y967:Y1030" si="108">+H967+O967+R967</f>
        <v>0</v>
      </c>
      <c r="Z967" s="1357">
        <f t="shared" ref="Z967:Z1030" si="109">+I967+S967</f>
        <v>0</v>
      </c>
      <c r="AA967" s="311">
        <f t="shared" ref="AA967:AA1030" si="110">+J967+T967</f>
        <v>0</v>
      </c>
      <c r="AB967" s="311">
        <f t="shared" ref="AB967:AB1030" si="111">+K967+P967+U967</f>
        <v>0</v>
      </c>
      <c r="AC967" s="311">
        <f t="shared" ref="AC967:AC1030" si="112">+L967+V967</f>
        <v>0</v>
      </c>
      <c r="AD967" s="311">
        <f t="shared" ref="AD967:AD1030" si="113">+M967+W967</f>
        <v>0</v>
      </c>
      <c r="AE967" s="311">
        <f t="shared" ref="AE967:AE1030" si="114">+N967+X967+Q967</f>
        <v>0</v>
      </c>
      <c r="AF967" s="355" t="s">
        <v>243</v>
      </c>
      <c r="AG967" s="838"/>
      <c r="AH967" s="744"/>
      <c r="AI967" s="292"/>
      <c r="AK967" s="300"/>
      <c r="AS967" s="452"/>
    </row>
    <row r="968" spans="1:45" s="299" customFormat="1" ht="27.6">
      <c r="A968" s="353">
        <v>630</v>
      </c>
      <c r="B968" s="352">
        <v>100</v>
      </c>
      <c r="C968" s="352">
        <v>100</v>
      </c>
      <c r="D968" s="352">
        <v>800</v>
      </c>
      <c r="E968" s="357"/>
      <c r="F968" s="357"/>
      <c r="G968" s="315" t="s">
        <v>244</v>
      </c>
      <c r="H968" s="314"/>
      <c r="I968" s="311"/>
      <c r="J968" s="311"/>
      <c r="K968" s="311"/>
      <c r="L968" s="311"/>
      <c r="M968" s="311"/>
      <c r="N968" s="312"/>
      <c r="O968" s="314"/>
      <c r="P968" s="311">
        <v>0</v>
      </c>
      <c r="Q968" s="312"/>
      <c r="R968" s="314"/>
      <c r="S968" s="311"/>
      <c r="T968" s="311"/>
      <c r="U968" s="311"/>
      <c r="V968" s="311"/>
      <c r="W968" s="311"/>
      <c r="X968" s="311"/>
      <c r="Y968" s="1356">
        <f t="shared" si="108"/>
        <v>0</v>
      </c>
      <c r="Z968" s="1357">
        <f t="shared" si="109"/>
        <v>0</v>
      </c>
      <c r="AA968" s="311">
        <f t="shared" si="110"/>
        <v>0</v>
      </c>
      <c r="AB968" s="311">
        <f t="shared" si="111"/>
        <v>0</v>
      </c>
      <c r="AC968" s="311">
        <f t="shared" si="112"/>
        <v>0</v>
      </c>
      <c r="AD968" s="311">
        <f t="shared" si="113"/>
        <v>0</v>
      </c>
      <c r="AE968" s="311">
        <f t="shared" si="114"/>
        <v>0</v>
      </c>
      <c r="AF968" s="355" t="s">
        <v>245</v>
      </c>
      <c r="AG968" s="838"/>
      <c r="AH968" s="744"/>
      <c r="AI968" s="292"/>
      <c r="AK968" s="300"/>
      <c r="AS968" s="452"/>
    </row>
    <row r="969" spans="1:45" s="299" customFormat="1">
      <c r="A969" s="353">
        <v>630</v>
      </c>
      <c r="B969" s="352">
        <v>100</v>
      </c>
      <c r="C969" s="352">
        <v>100</v>
      </c>
      <c r="D969" s="357">
        <v>810</v>
      </c>
      <c r="E969" s="357"/>
      <c r="F969" s="357"/>
      <c r="G969" s="315" t="s">
        <v>246</v>
      </c>
      <c r="H969" s="314"/>
      <c r="I969" s="311"/>
      <c r="J969" s="311"/>
      <c r="K969" s="311"/>
      <c r="L969" s="311"/>
      <c r="M969" s="311"/>
      <c r="N969" s="312"/>
      <c r="O969" s="314"/>
      <c r="P969" s="311">
        <v>0</v>
      </c>
      <c r="Q969" s="312"/>
      <c r="R969" s="314"/>
      <c r="S969" s="311"/>
      <c r="T969" s="311"/>
      <c r="U969" s="311"/>
      <c r="V969" s="311"/>
      <c r="W969" s="311"/>
      <c r="X969" s="311"/>
      <c r="Y969" s="1356">
        <f t="shared" si="108"/>
        <v>0</v>
      </c>
      <c r="Z969" s="1357">
        <f t="shared" si="109"/>
        <v>0</v>
      </c>
      <c r="AA969" s="311">
        <f t="shared" si="110"/>
        <v>0</v>
      </c>
      <c r="AB969" s="311">
        <f t="shared" si="111"/>
        <v>0</v>
      </c>
      <c r="AC969" s="311">
        <f t="shared" si="112"/>
        <v>0</v>
      </c>
      <c r="AD969" s="311">
        <f t="shared" si="113"/>
        <v>0</v>
      </c>
      <c r="AE969" s="311">
        <f t="shared" si="114"/>
        <v>0</v>
      </c>
      <c r="AF969" s="355" t="s">
        <v>247</v>
      </c>
      <c r="AG969" s="838"/>
      <c r="AH969" s="744"/>
      <c r="AI969" s="292"/>
      <c r="AK969" s="300"/>
      <c r="AS969" s="452"/>
    </row>
    <row r="970" spans="1:45" s="299" customFormat="1">
      <c r="A970" s="353">
        <v>630</v>
      </c>
      <c r="B970" s="352">
        <v>100</v>
      </c>
      <c r="C970" s="352">
        <v>100</v>
      </c>
      <c r="D970" s="357">
        <v>820</v>
      </c>
      <c r="E970" s="357"/>
      <c r="F970" s="357"/>
      <c r="G970" s="315" t="s">
        <v>248</v>
      </c>
      <c r="H970" s="314"/>
      <c r="I970" s="311"/>
      <c r="J970" s="311"/>
      <c r="K970" s="311"/>
      <c r="L970" s="311"/>
      <c r="M970" s="311"/>
      <c r="N970" s="312"/>
      <c r="O970" s="314"/>
      <c r="P970" s="311">
        <v>0</v>
      </c>
      <c r="Q970" s="312"/>
      <c r="R970" s="314"/>
      <c r="S970" s="311"/>
      <c r="T970" s="311"/>
      <c r="U970" s="311"/>
      <c r="V970" s="311"/>
      <c r="W970" s="311"/>
      <c r="X970" s="311"/>
      <c r="Y970" s="1356">
        <f t="shared" si="108"/>
        <v>0</v>
      </c>
      <c r="Z970" s="1357">
        <f t="shared" si="109"/>
        <v>0</v>
      </c>
      <c r="AA970" s="311">
        <f t="shared" si="110"/>
        <v>0</v>
      </c>
      <c r="AB970" s="311">
        <f t="shared" si="111"/>
        <v>0</v>
      </c>
      <c r="AC970" s="311">
        <f t="shared" si="112"/>
        <v>0</v>
      </c>
      <c r="AD970" s="311">
        <f t="shared" si="113"/>
        <v>0</v>
      </c>
      <c r="AE970" s="311">
        <f t="shared" si="114"/>
        <v>0</v>
      </c>
      <c r="AF970" s="355" t="s">
        <v>249</v>
      </c>
      <c r="AG970" s="838"/>
      <c r="AH970" s="744"/>
      <c r="AI970" s="292"/>
      <c r="AK970" s="300"/>
      <c r="AS970" s="452"/>
    </row>
    <row r="971" spans="1:45" s="299" customFormat="1" ht="27.6">
      <c r="A971" s="353">
        <v>630</v>
      </c>
      <c r="B971" s="352">
        <v>100</v>
      </c>
      <c r="C971" s="352">
        <v>100</v>
      </c>
      <c r="D971" s="357">
        <v>830</v>
      </c>
      <c r="E971" s="357"/>
      <c r="F971" s="357"/>
      <c r="G971" s="315" t="s">
        <v>250</v>
      </c>
      <c r="H971" s="314"/>
      <c r="I971" s="311"/>
      <c r="J971" s="311"/>
      <c r="K971" s="311"/>
      <c r="L971" s="311"/>
      <c r="M971" s="311"/>
      <c r="N971" s="312"/>
      <c r="O971" s="314"/>
      <c r="P971" s="311">
        <v>0</v>
      </c>
      <c r="Q971" s="312"/>
      <c r="R971" s="314"/>
      <c r="S971" s="311"/>
      <c r="T971" s="311"/>
      <c r="U971" s="311"/>
      <c r="V971" s="311"/>
      <c r="W971" s="311"/>
      <c r="X971" s="311"/>
      <c r="Y971" s="1356">
        <f t="shared" si="108"/>
        <v>0</v>
      </c>
      <c r="Z971" s="1357">
        <f t="shared" si="109"/>
        <v>0</v>
      </c>
      <c r="AA971" s="311">
        <f t="shared" si="110"/>
        <v>0</v>
      </c>
      <c r="AB971" s="311">
        <f t="shared" si="111"/>
        <v>0</v>
      </c>
      <c r="AC971" s="311">
        <f t="shared" si="112"/>
        <v>0</v>
      </c>
      <c r="AD971" s="311">
        <f t="shared" si="113"/>
        <v>0</v>
      </c>
      <c r="AE971" s="311">
        <f t="shared" si="114"/>
        <v>0</v>
      </c>
      <c r="AF971" s="355" t="s">
        <v>251</v>
      </c>
      <c r="AG971" s="838"/>
      <c r="AH971" s="744"/>
      <c r="AI971" s="292"/>
      <c r="AK971" s="300"/>
      <c r="AS971" s="452"/>
    </row>
    <row r="972" spans="1:45" s="299" customFormat="1" ht="27.6">
      <c r="A972" s="353">
        <v>630</v>
      </c>
      <c r="B972" s="352">
        <v>100</v>
      </c>
      <c r="C972" s="352">
        <v>100</v>
      </c>
      <c r="D972" s="357">
        <v>840</v>
      </c>
      <c r="E972" s="357"/>
      <c r="F972" s="357"/>
      <c r="G972" s="315" t="s">
        <v>252</v>
      </c>
      <c r="H972" s="314"/>
      <c r="I972" s="311"/>
      <c r="J972" s="311"/>
      <c r="K972" s="311"/>
      <c r="L972" s="311"/>
      <c r="M972" s="311"/>
      <c r="N972" s="312"/>
      <c r="O972" s="314"/>
      <c r="P972" s="311">
        <v>0</v>
      </c>
      <c r="Q972" s="312"/>
      <c r="R972" s="314"/>
      <c r="S972" s="311"/>
      <c r="T972" s="311"/>
      <c r="U972" s="311"/>
      <c r="V972" s="311"/>
      <c r="W972" s="311"/>
      <c r="X972" s="311"/>
      <c r="Y972" s="1356">
        <f t="shared" si="108"/>
        <v>0</v>
      </c>
      <c r="Z972" s="1357">
        <f t="shared" si="109"/>
        <v>0</v>
      </c>
      <c r="AA972" s="311">
        <f t="shared" si="110"/>
        <v>0</v>
      </c>
      <c r="AB972" s="311">
        <f t="shared" si="111"/>
        <v>0</v>
      </c>
      <c r="AC972" s="311">
        <f t="shared" si="112"/>
        <v>0</v>
      </c>
      <c r="AD972" s="311">
        <f t="shared" si="113"/>
        <v>0</v>
      </c>
      <c r="AE972" s="311">
        <f t="shared" si="114"/>
        <v>0</v>
      </c>
      <c r="AF972" s="355" t="s">
        <v>253</v>
      </c>
      <c r="AG972" s="838"/>
      <c r="AH972" s="744"/>
      <c r="AI972" s="292"/>
      <c r="AK972" s="300"/>
      <c r="AS972" s="452"/>
    </row>
    <row r="973" spans="1:45" s="299" customFormat="1" ht="27.6">
      <c r="A973" s="353">
        <v>630</v>
      </c>
      <c r="B973" s="352">
        <v>100</v>
      </c>
      <c r="C973" s="352">
        <v>100</v>
      </c>
      <c r="D973" s="357">
        <v>850</v>
      </c>
      <c r="E973" s="357"/>
      <c r="F973" s="357"/>
      <c r="G973" s="315" t="s">
        <v>254</v>
      </c>
      <c r="H973" s="314"/>
      <c r="I973" s="311"/>
      <c r="J973" s="311"/>
      <c r="K973" s="311"/>
      <c r="L973" s="311"/>
      <c r="M973" s="311"/>
      <c r="N973" s="312"/>
      <c r="O973" s="314"/>
      <c r="P973" s="311">
        <v>0</v>
      </c>
      <c r="Q973" s="312"/>
      <c r="R973" s="314"/>
      <c r="S973" s="311"/>
      <c r="T973" s="311"/>
      <c r="U973" s="311"/>
      <c r="V973" s="311"/>
      <c r="W973" s="311"/>
      <c r="X973" s="311"/>
      <c r="Y973" s="1356">
        <f t="shared" si="108"/>
        <v>0</v>
      </c>
      <c r="Z973" s="1357">
        <f t="shared" si="109"/>
        <v>0</v>
      </c>
      <c r="AA973" s="311">
        <f t="shared" si="110"/>
        <v>0</v>
      </c>
      <c r="AB973" s="311">
        <f t="shared" si="111"/>
        <v>0</v>
      </c>
      <c r="AC973" s="311">
        <f t="shared" si="112"/>
        <v>0</v>
      </c>
      <c r="AD973" s="311">
        <f t="shared" si="113"/>
        <v>0</v>
      </c>
      <c r="AE973" s="311">
        <f t="shared" si="114"/>
        <v>0</v>
      </c>
      <c r="AF973" s="355" t="s">
        <v>255</v>
      </c>
      <c r="AG973" s="838"/>
      <c r="AH973" s="744"/>
      <c r="AI973" s="292"/>
      <c r="AK973" s="300"/>
      <c r="AS973" s="452"/>
    </row>
    <row r="974" spans="1:45" s="299" customFormat="1" ht="27.6">
      <c r="A974" s="353">
        <v>630</v>
      </c>
      <c r="B974" s="352">
        <v>100</v>
      </c>
      <c r="C974" s="352">
        <v>100</v>
      </c>
      <c r="D974" s="352">
        <v>900</v>
      </c>
      <c r="E974" s="352"/>
      <c r="F974" s="352"/>
      <c r="G974" s="323" t="s">
        <v>256</v>
      </c>
      <c r="H974" s="322"/>
      <c r="I974" s="320"/>
      <c r="J974" s="320"/>
      <c r="K974" s="320"/>
      <c r="L974" s="320"/>
      <c r="M974" s="320"/>
      <c r="N974" s="321"/>
      <c r="O974" s="322"/>
      <c r="P974" s="320">
        <v>0</v>
      </c>
      <c r="Q974" s="321"/>
      <c r="R974" s="322"/>
      <c r="S974" s="320"/>
      <c r="T974" s="320"/>
      <c r="U974" s="320"/>
      <c r="V974" s="320"/>
      <c r="W974" s="320"/>
      <c r="X974" s="320"/>
      <c r="Y974" s="1392">
        <f t="shared" si="108"/>
        <v>0</v>
      </c>
      <c r="Z974" s="1389">
        <f t="shared" si="109"/>
        <v>0</v>
      </c>
      <c r="AA974" s="320">
        <f t="shared" si="110"/>
        <v>0</v>
      </c>
      <c r="AB974" s="320">
        <f t="shared" si="111"/>
        <v>0</v>
      </c>
      <c r="AC974" s="320">
        <f t="shared" si="112"/>
        <v>0</v>
      </c>
      <c r="AD974" s="320">
        <f t="shared" si="113"/>
        <v>0</v>
      </c>
      <c r="AE974" s="320">
        <f t="shared" si="114"/>
        <v>0</v>
      </c>
      <c r="AF974" s="355" t="s">
        <v>257</v>
      </c>
      <c r="AG974" s="838"/>
      <c r="AH974" s="744"/>
      <c r="AI974" s="292"/>
      <c r="AK974" s="300"/>
      <c r="AS974" s="452"/>
    </row>
    <row r="975" spans="1:45" s="299" customFormat="1">
      <c r="A975" s="353">
        <v>630</v>
      </c>
      <c r="B975" s="352">
        <v>100</v>
      </c>
      <c r="C975" s="352">
        <v>100</v>
      </c>
      <c r="D975" s="352">
        <v>900</v>
      </c>
      <c r="E975" s="357">
        <v>10</v>
      </c>
      <c r="F975" s="357"/>
      <c r="G975" s="315" t="s">
        <v>258</v>
      </c>
      <c r="H975" s="314"/>
      <c r="I975" s="311"/>
      <c r="J975" s="311"/>
      <c r="K975" s="311"/>
      <c r="L975" s="311"/>
      <c r="M975" s="311"/>
      <c r="N975" s="312"/>
      <c r="O975" s="314"/>
      <c r="P975" s="311">
        <v>0</v>
      </c>
      <c r="Q975" s="312"/>
      <c r="R975" s="314">
        <v>25416.01</v>
      </c>
      <c r="S975" s="311"/>
      <c r="T975" s="311"/>
      <c r="U975" s="311">
        <v>25416.01</v>
      </c>
      <c r="V975" s="311"/>
      <c r="W975" s="311"/>
      <c r="X975" s="311">
        <v>15000</v>
      </c>
      <c r="Y975" s="1356">
        <f t="shared" si="108"/>
        <v>25416.01</v>
      </c>
      <c r="Z975" s="1396">
        <f t="shared" si="109"/>
        <v>0</v>
      </c>
      <c r="AA975" s="311">
        <f t="shared" si="110"/>
        <v>0</v>
      </c>
      <c r="AB975" s="311">
        <f t="shared" si="111"/>
        <v>25416.01</v>
      </c>
      <c r="AC975" s="311">
        <f t="shared" si="112"/>
        <v>0</v>
      </c>
      <c r="AD975" s="311">
        <f t="shared" si="113"/>
        <v>0</v>
      </c>
      <c r="AE975" s="311">
        <f t="shared" si="114"/>
        <v>15000</v>
      </c>
      <c r="AF975" s="355"/>
      <c r="AG975" s="838">
        <v>10416.009999999998</v>
      </c>
      <c r="AH975" s="744"/>
      <c r="AI975" s="292"/>
      <c r="AK975" s="300"/>
      <c r="AS975" s="452"/>
    </row>
    <row r="976" spans="1:45" s="299" customFormat="1" ht="27.6">
      <c r="A976" s="353">
        <v>630</v>
      </c>
      <c r="B976" s="352">
        <v>100</v>
      </c>
      <c r="C976" s="352">
        <v>100</v>
      </c>
      <c r="D976" s="352">
        <v>900</v>
      </c>
      <c r="E976" s="357">
        <v>90</v>
      </c>
      <c r="F976" s="357"/>
      <c r="G976" s="315" t="s">
        <v>256</v>
      </c>
      <c r="H976" s="314"/>
      <c r="I976" s="311"/>
      <c r="J976" s="311"/>
      <c r="K976" s="311"/>
      <c r="L976" s="311"/>
      <c r="M976" s="311"/>
      <c r="N976" s="312"/>
      <c r="O976" s="314"/>
      <c r="P976" s="311">
        <v>0</v>
      </c>
      <c r="Q976" s="312"/>
      <c r="R976" s="314">
        <v>171338.36</v>
      </c>
      <c r="S976" s="311"/>
      <c r="T976" s="311"/>
      <c r="U976" s="311">
        <v>173962.91999999998</v>
      </c>
      <c r="V976" s="311"/>
      <c r="W976" s="311"/>
      <c r="X976" s="311">
        <v>27270</v>
      </c>
      <c r="Y976" s="1356">
        <f t="shared" si="108"/>
        <v>171338.36</v>
      </c>
      <c r="Z976" s="1357">
        <f t="shared" si="109"/>
        <v>0</v>
      </c>
      <c r="AA976" s="311">
        <f t="shared" si="110"/>
        <v>0</v>
      </c>
      <c r="AB976" s="311">
        <f t="shared" si="111"/>
        <v>173962.91999999998</v>
      </c>
      <c r="AC976" s="311">
        <f t="shared" si="112"/>
        <v>0</v>
      </c>
      <c r="AD976" s="311">
        <f t="shared" si="113"/>
        <v>0</v>
      </c>
      <c r="AE976" s="311">
        <f t="shared" si="114"/>
        <v>27270</v>
      </c>
      <c r="AF976" s="355"/>
      <c r="AG976" s="838"/>
      <c r="AH976" s="744"/>
      <c r="AI976" s="292"/>
      <c r="AK976" s="300"/>
      <c r="AS976" s="452"/>
    </row>
    <row r="977" spans="1:45" s="299" customFormat="1" ht="41.4">
      <c r="A977" s="353">
        <v>630</v>
      </c>
      <c r="B977" s="352">
        <v>100</v>
      </c>
      <c r="C977" s="357">
        <v>200</v>
      </c>
      <c r="D977" s="357"/>
      <c r="E977" s="357"/>
      <c r="F977" s="357"/>
      <c r="G977" s="315" t="s">
        <v>259</v>
      </c>
      <c r="H977" s="314"/>
      <c r="I977" s="311"/>
      <c r="J977" s="311"/>
      <c r="K977" s="311"/>
      <c r="L977" s="311"/>
      <c r="M977" s="311"/>
      <c r="N977" s="312"/>
      <c r="O977" s="314"/>
      <c r="P977" s="311">
        <v>0</v>
      </c>
      <c r="Q977" s="312"/>
      <c r="R977" s="314"/>
      <c r="S977" s="311"/>
      <c r="T977" s="311"/>
      <c r="U977" s="311"/>
      <c r="V977" s="311"/>
      <c r="W977" s="311"/>
      <c r="X977" s="311"/>
      <c r="Y977" s="1356">
        <f t="shared" si="108"/>
        <v>0</v>
      </c>
      <c r="Z977" s="1357">
        <f t="shared" si="109"/>
        <v>0</v>
      </c>
      <c r="AA977" s="311">
        <f t="shared" si="110"/>
        <v>0</v>
      </c>
      <c r="AB977" s="311">
        <f t="shared" si="111"/>
        <v>0</v>
      </c>
      <c r="AC977" s="311">
        <f t="shared" si="112"/>
        <v>0</v>
      </c>
      <c r="AD977" s="311">
        <f t="shared" si="113"/>
        <v>0</v>
      </c>
      <c r="AE977" s="311">
        <f t="shared" si="114"/>
        <v>0</v>
      </c>
      <c r="AF977" s="355" t="s">
        <v>260</v>
      </c>
      <c r="AG977" s="838"/>
      <c r="AH977" s="744"/>
      <c r="AI977" s="292"/>
      <c r="AK977" s="300"/>
      <c r="AS977" s="452"/>
    </row>
    <row r="978" spans="1:45" s="299" customFormat="1" ht="55.2">
      <c r="A978" s="353">
        <v>630</v>
      </c>
      <c r="B978" s="352">
        <v>100</v>
      </c>
      <c r="C978" s="352">
        <v>300</v>
      </c>
      <c r="D978" s="352"/>
      <c r="E978" s="352"/>
      <c r="F978" s="352"/>
      <c r="G978" s="323" t="s">
        <v>261</v>
      </c>
      <c r="H978" s="322"/>
      <c r="I978" s="320"/>
      <c r="J978" s="320"/>
      <c r="K978" s="320"/>
      <c r="L978" s="320"/>
      <c r="M978" s="320"/>
      <c r="N978" s="321"/>
      <c r="O978" s="322"/>
      <c r="P978" s="320">
        <v>0</v>
      </c>
      <c r="Q978" s="321"/>
      <c r="R978" s="322"/>
      <c r="S978" s="320"/>
      <c r="T978" s="320"/>
      <c r="U978" s="320"/>
      <c r="V978" s="320"/>
      <c r="W978" s="320"/>
      <c r="X978" s="320"/>
      <c r="Y978" s="1392">
        <f t="shared" si="108"/>
        <v>0</v>
      </c>
      <c r="Z978" s="1389">
        <f t="shared" si="109"/>
        <v>0</v>
      </c>
      <c r="AA978" s="320">
        <f t="shared" si="110"/>
        <v>0</v>
      </c>
      <c r="AB978" s="320">
        <f t="shared" si="111"/>
        <v>0</v>
      </c>
      <c r="AC978" s="320">
        <f t="shared" si="112"/>
        <v>0</v>
      </c>
      <c r="AD978" s="320">
        <f t="shared" si="113"/>
        <v>0</v>
      </c>
      <c r="AE978" s="320">
        <f t="shared" si="114"/>
        <v>0</v>
      </c>
      <c r="AF978" s="355" t="s">
        <v>262</v>
      </c>
      <c r="AG978" s="838"/>
      <c r="AH978" s="744"/>
      <c r="AI978" s="292"/>
      <c r="AK978" s="300"/>
      <c r="AS978" s="452"/>
    </row>
    <row r="979" spans="1:45" s="299" customFormat="1">
      <c r="A979" s="353">
        <v>630</v>
      </c>
      <c r="B979" s="352">
        <v>100</v>
      </c>
      <c r="C979" s="352">
        <v>300</v>
      </c>
      <c r="D979" s="352">
        <v>100</v>
      </c>
      <c r="E979" s="352"/>
      <c r="F979" s="352"/>
      <c r="G979" s="323" t="s">
        <v>225</v>
      </c>
      <c r="H979" s="322"/>
      <c r="I979" s="320"/>
      <c r="J979" s="320"/>
      <c r="K979" s="320"/>
      <c r="L979" s="320"/>
      <c r="M979" s="320"/>
      <c r="N979" s="321"/>
      <c r="O979" s="322"/>
      <c r="P979" s="320">
        <v>0</v>
      </c>
      <c r="Q979" s="321"/>
      <c r="R979" s="322"/>
      <c r="S979" s="320"/>
      <c r="T979" s="320"/>
      <c r="U979" s="320"/>
      <c r="V979" s="320"/>
      <c r="W979" s="320"/>
      <c r="X979" s="320"/>
      <c r="Y979" s="1392">
        <f t="shared" si="108"/>
        <v>0</v>
      </c>
      <c r="Z979" s="1389">
        <f t="shared" si="109"/>
        <v>0</v>
      </c>
      <c r="AA979" s="320">
        <f t="shared" si="110"/>
        <v>0</v>
      </c>
      <c r="AB979" s="320">
        <f t="shared" si="111"/>
        <v>0</v>
      </c>
      <c r="AC979" s="320">
        <f t="shared" si="112"/>
        <v>0</v>
      </c>
      <c r="AD979" s="320">
        <f t="shared" si="113"/>
        <v>0</v>
      </c>
      <c r="AE979" s="320">
        <f t="shared" si="114"/>
        <v>0</v>
      </c>
      <c r="AF979" s="355" t="s">
        <v>263</v>
      </c>
      <c r="AG979" s="838"/>
      <c r="AH979" s="744"/>
      <c r="AI979" s="292"/>
      <c r="AK979" s="300"/>
      <c r="AS979" s="452"/>
    </row>
    <row r="980" spans="1:45" s="299" customFormat="1" ht="27.6">
      <c r="A980" s="353">
        <v>630</v>
      </c>
      <c r="B980" s="352">
        <v>100</v>
      </c>
      <c r="C980" s="352">
        <v>300</v>
      </c>
      <c r="D980" s="352">
        <v>100</v>
      </c>
      <c r="E980" s="316">
        <v>10</v>
      </c>
      <c r="F980" s="316"/>
      <c r="G980" s="315" t="s">
        <v>264</v>
      </c>
      <c r="H980" s="314"/>
      <c r="I980" s="311"/>
      <c r="J980" s="311"/>
      <c r="K980" s="311"/>
      <c r="L980" s="311"/>
      <c r="M980" s="311"/>
      <c r="N980" s="312"/>
      <c r="O980" s="314"/>
      <c r="P980" s="311">
        <v>0</v>
      </c>
      <c r="Q980" s="312"/>
      <c r="R980" s="314">
        <v>4665359</v>
      </c>
      <c r="S980" s="311"/>
      <c r="T980" s="311"/>
      <c r="U980" s="311">
        <v>4665359</v>
      </c>
      <c r="V980" s="311"/>
      <c r="W980" s="311"/>
      <c r="X980" s="311">
        <v>4425810</v>
      </c>
      <c r="Y980" s="1356">
        <f t="shared" si="108"/>
        <v>4665359</v>
      </c>
      <c r="Z980" s="1357">
        <f t="shared" si="109"/>
        <v>0</v>
      </c>
      <c r="AA980" s="311">
        <f t="shared" si="110"/>
        <v>0</v>
      </c>
      <c r="AB980" s="311">
        <f t="shared" si="111"/>
        <v>4665359</v>
      </c>
      <c r="AC980" s="311">
        <f t="shared" si="112"/>
        <v>0</v>
      </c>
      <c r="AD980" s="311">
        <f t="shared" si="113"/>
        <v>0</v>
      </c>
      <c r="AE980" s="311">
        <f t="shared" si="114"/>
        <v>4425810</v>
      </c>
      <c r="AF980" s="310"/>
      <c r="AG980" s="841"/>
      <c r="AH980" s="744"/>
      <c r="AI980" s="292"/>
      <c r="AK980" s="300"/>
      <c r="AS980" s="452"/>
    </row>
    <row r="981" spans="1:45" s="299" customFormat="1" ht="27.6">
      <c r="A981" s="353">
        <v>630</v>
      </c>
      <c r="B981" s="352">
        <v>100</v>
      </c>
      <c r="C981" s="352">
        <v>300</v>
      </c>
      <c r="D981" s="352">
        <v>100</v>
      </c>
      <c r="E981" s="316">
        <v>20</v>
      </c>
      <c r="F981" s="316"/>
      <c r="G981" s="315" t="s">
        <v>228</v>
      </c>
      <c r="H981" s="314"/>
      <c r="I981" s="311"/>
      <c r="J981" s="311"/>
      <c r="K981" s="311"/>
      <c r="L981" s="311"/>
      <c r="M981" s="311"/>
      <c r="N981" s="312"/>
      <c r="O981" s="314"/>
      <c r="P981" s="311">
        <v>0</v>
      </c>
      <c r="Q981" s="312"/>
      <c r="R981" s="314"/>
      <c r="S981" s="311"/>
      <c r="T981" s="311"/>
      <c r="U981" s="311"/>
      <c r="V981" s="311"/>
      <c r="W981" s="311"/>
      <c r="X981" s="311"/>
      <c r="Y981" s="1356">
        <f t="shared" si="108"/>
        <v>0</v>
      </c>
      <c r="Z981" s="1357">
        <f t="shared" si="109"/>
        <v>0</v>
      </c>
      <c r="AA981" s="311">
        <f t="shared" si="110"/>
        <v>0</v>
      </c>
      <c r="AB981" s="311">
        <f t="shared" si="111"/>
        <v>0</v>
      </c>
      <c r="AC981" s="311">
        <f t="shared" si="112"/>
        <v>0</v>
      </c>
      <c r="AD981" s="311">
        <f t="shared" si="113"/>
        <v>0</v>
      </c>
      <c r="AE981" s="311">
        <f t="shared" si="114"/>
        <v>0</v>
      </c>
      <c r="AF981" s="310"/>
      <c r="AG981" s="841"/>
      <c r="AH981" s="744"/>
      <c r="AI981" s="292"/>
      <c r="AK981" s="300"/>
      <c r="AS981" s="452"/>
    </row>
    <row r="982" spans="1:45" s="299" customFormat="1">
      <c r="A982" s="353">
        <v>630</v>
      </c>
      <c r="B982" s="352">
        <v>100</v>
      </c>
      <c r="C982" s="352">
        <v>300</v>
      </c>
      <c r="D982" s="352">
        <v>150</v>
      </c>
      <c r="E982" s="352"/>
      <c r="F982" s="352"/>
      <c r="G982" s="323" t="s">
        <v>265</v>
      </c>
      <c r="H982" s="322"/>
      <c r="I982" s="320"/>
      <c r="J982" s="320"/>
      <c r="K982" s="320"/>
      <c r="L982" s="320"/>
      <c r="M982" s="320"/>
      <c r="N982" s="321"/>
      <c r="O982" s="322"/>
      <c r="P982" s="320">
        <v>0</v>
      </c>
      <c r="Q982" s="321"/>
      <c r="R982" s="322"/>
      <c r="S982" s="320"/>
      <c r="T982" s="320"/>
      <c r="U982" s="320"/>
      <c r="V982" s="320"/>
      <c r="W982" s="320"/>
      <c r="X982" s="320"/>
      <c r="Y982" s="1392">
        <f t="shared" si="108"/>
        <v>0</v>
      </c>
      <c r="Z982" s="1389">
        <f t="shared" si="109"/>
        <v>0</v>
      </c>
      <c r="AA982" s="320">
        <f t="shared" si="110"/>
        <v>0</v>
      </c>
      <c r="AB982" s="320">
        <f t="shared" si="111"/>
        <v>0</v>
      </c>
      <c r="AC982" s="320">
        <f t="shared" si="112"/>
        <v>0</v>
      </c>
      <c r="AD982" s="320">
        <f t="shared" si="113"/>
        <v>0</v>
      </c>
      <c r="AE982" s="320">
        <f t="shared" si="114"/>
        <v>0</v>
      </c>
      <c r="AF982" s="355" t="s">
        <v>266</v>
      </c>
      <c r="AG982" s="838"/>
      <c r="AH982" s="744"/>
      <c r="AI982" s="292"/>
      <c r="AK982" s="300"/>
      <c r="AS982" s="452"/>
    </row>
    <row r="983" spans="1:45" s="299" customFormat="1" ht="41.4">
      <c r="A983" s="353">
        <v>630</v>
      </c>
      <c r="B983" s="352">
        <v>100</v>
      </c>
      <c r="C983" s="352">
        <v>300</v>
      </c>
      <c r="D983" s="352">
        <v>150</v>
      </c>
      <c r="E983" s="316">
        <v>100</v>
      </c>
      <c r="F983" s="316"/>
      <c r="G983" s="315" t="s">
        <v>267</v>
      </c>
      <c r="H983" s="314"/>
      <c r="I983" s="311"/>
      <c r="J983" s="311"/>
      <c r="K983" s="311"/>
      <c r="L983" s="311"/>
      <c r="M983" s="311"/>
      <c r="N983" s="312"/>
      <c r="O983" s="314"/>
      <c r="P983" s="311">
        <v>0</v>
      </c>
      <c r="Q983" s="312"/>
      <c r="R983" s="314">
        <v>867818</v>
      </c>
      <c r="S983" s="311"/>
      <c r="T983" s="311"/>
      <c r="U983" s="311">
        <v>867818</v>
      </c>
      <c r="V983" s="311"/>
      <c r="W983" s="311"/>
      <c r="X983" s="311">
        <v>841871</v>
      </c>
      <c r="Y983" s="1356">
        <f t="shared" si="108"/>
        <v>867818</v>
      </c>
      <c r="Z983" s="1357">
        <f t="shared" si="109"/>
        <v>0</v>
      </c>
      <c r="AA983" s="311">
        <f t="shared" si="110"/>
        <v>0</v>
      </c>
      <c r="AB983" s="311">
        <f t="shared" si="111"/>
        <v>867818</v>
      </c>
      <c r="AC983" s="311">
        <f t="shared" si="112"/>
        <v>0</v>
      </c>
      <c r="AD983" s="311">
        <f t="shared" si="113"/>
        <v>0</v>
      </c>
      <c r="AE983" s="311">
        <f t="shared" si="114"/>
        <v>841871</v>
      </c>
      <c r="AF983" s="310"/>
      <c r="AG983" s="841"/>
      <c r="AH983" s="744"/>
      <c r="AI983" s="292"/>
      <c r="AK983" s="300"/>
      <c r="AS983" s="452"/>
    </row>
    <row r="984" spans="1:45" s="299" customFormat="1" ht="41.4">
      <c r="A984" s="353">
        <v>630</v>
      </c>
      <c r="B984" s="352">
        <v>100</v>
      </c>
      <c r="C984" s="352">
        <v>300</v>
      </c>
      <c r="D984" s="352">
        <v>150</v>
      </c>
      <c r="E984" s="316">
        <v>200</v>
      </c>
      <c r="F984" s="316"/>
      <c r="G984" s="315" t="s">
        <v>232</v>
      </c>
      <c r="H984" s="314"/>
      <c r="I984" s="311"/>
      <c r="J984" s="311"/>
      <c r="K984" s="311"/>
      <c r="L984" s="311"/>
      <c r="M984" s="311"/>
      <c r="N984" s="312"/>
      <c r="O984" s="314"/>
      <c r="P984" s="311">
        <v>0</v>
      </c>
      <c r="Q984" s="312"/>
      <c r="R984" s="314"/>
      <c r="S984" s="311"/>
      <c r="T984" s="311"/>
      <c r="U984" s="311"/>
      <c r="V984" s="311"/>
      <c r="W984" s="311"/>
      <c r="X984" s="311">
        <v>44500</v>
      </c>
      <c r="Y984" s="1356">
        <f t="shared" si="108"/>
        <v>0</v>
      </c>
      <c r="Z984" s="1357">
        <f t="shared" si="109"/>
        <v>0</v>
      </c>
      <c r="AA984" s="311">
        <f t="shared" si="110"/>
        <v>0</v>
      </c>
      <c r="AB984" s="311">
        <f t="shared" si="111"/>
        <v>0</v>
      </c>
      <c r="AC984" s="311">
        <f t="shared" si="112"/>
        <v>0</v>
      </c>
      <c r="AD984" s="311">
        <f t="shared" si="113"/>
        <v>0</v>
      </c>
      <c r="AE984" s="311">
        <f t="shared" si="114"/>
        <v>44500</v>
      </c>
      <c r="AF984" s="310"/>
      <c r="AG984" s="841"/>
      <c r="AH984" s="744"/>
      <c r="AI984" s="292"/>
      <c r="AK984" s="300"/>
      <c r="AS984" s="452"/>
    </row>
    <row r="985" spans="1:45" s="299" customFormat="1" ht="27.6">
      <c r="A985" s="353">
        <v>630</v>
      </c>
      <c r="B985" s="352">
        <v>100</v>
      </c>
      <c r="C985" s="352">
        <v>300</v>
      </c>
      <c r="D985" s="357">
        <v>160</v>
      </c>
      <c r="E985" s="316"/>
      <c r="F985" s="316"/>
      <c r="G985" s="315" t="s">
        <v>268</v>
      </c>
      <c r="H985" s="314"/>
      <c r="I985" s="311"/>
      <c r="J985" s="311"/>
      <c r="K985" s="311"/>
      <c r="L985" s="311"/>
      <c r="M985" s="311"/>
      <c r="N985" s="312"/>
      <c r="O985" s="314"/>
      <c r="P985" s="311">
        <v>0</v>
      </c>
      <c r="Q985" s="312"/>
      <c r="R985" s="314"/>
      <c r="S985" s="311"/>
      <c r="T985" s="311"/>
      <c r="U985" s="311"/>
      <c r="V985" s="311"/>
      <c r="W985" s="311"/>
      <c r="X985" s="311"/>
      <c r="Y985" s="1356">
        <f t="shared" si="108"/>
        <v>0</v>
      </c>
      <c r="Z985" s="1357">
        <f t="shared" si="109"/>
        <v>0</v>
      </c>
      <c r="AA985" s="311">
        <f t="shared" si="110"/>
        <v>0</v>
      </c>
      <c r="AB985" s="311">
        <f t="shared" si="111"/>
        <v>0</v>
      </c>
      <c r="AC985" s="311">
        <f t="shared" si="112"/>
        <v>0</v>
      </c>
      <c r="AD985" s="311">
        <f t="shared" si="113"/>
        <v>0</v>
      </c>
      <c r="AE985" s="311">
        <f t="shared" si="114"/>
        <v>0</v>
      </c>
      <c r="AF985" s="355" t="s">
        <v>269</v>
      </c>
      <c r="AG985" s="838"/>
      <c r="AH985" s="744"/>
      <c r="AI985" s="292"/>
      <c r="AK985" s="300"/>
      <c r="AS985" s="452"/>
    </row>
    <row r="986" spans="1:45" s="299" customFormat="1" ht="41.4">
      <c r="A986" s="353">
        <v>630</v>
      </c>
      <c r="B986" s="352">
        <v>100</v>
      </c>
      <c r="C986" s="352">
        <v>300</v>
      </c>
      <c r="D986" s="357">
        <v>200</v>
      </c>
      <c r="E986" s="357"/>
      <c r="F986" s="357"/>
      <c r="G986" s="315" t="s">
        <v>270</v>
      </c>
      <c r="H986" s="314"/>
      <c r="I986" s="311"/>
      <c r="J986" s="311"/>
      <c r="K986" s="311"/>
      <c r="L986" s="311"/>
      <c r="M986" s="311"/>
      <c r="N986" s="312"/>
      <c r="O986" s="314"/>
      <c r="P986" s="311">
        <v>0</v>
      </c>
      <c r="Q986" s="312"/>
      <c r="R986" s="314"/>
      <c r="S986" s="311"/>
      <c r="T986" s="311"/>
      <c r="U986" s="311"/>
      <c r="V986" s="311"/>
      <c r="W986" s="311"/>
      <c r="X986" s="311"/>
      <c r="Y986" s="1356">
        <f t="shared" si="108"/>
        <v>0</v>
      </c>
      <c r="Z986" s="1357">
        <f t="shared" si="109"/>
        <v>0</v>
      </c>
      <c r="AA986" s="311">
        <f t="shared" si="110"/>
        <v>0</v>
      </c>
      <c r="AB986" s="311">
        <f t="shared" si="111"/>
        <v>0</v>
      </c>
      <c r="AC986" s="311">
        <f t="shared" si="112"/>
        <v>0</v>
      </c>
      <c r="AD986" s="311">
        <f t="shared" si="113"/>
        <v>0</v>
      </c>
      <c r="AE986" s="311">
        <f t="shared" si="114"/>
        <v>0</v>
      </c>
      <c r="AF986" s="355" t="s">
        <v>271</v>
      </c>
      <c r="AG986" s="838"/>
      <c r="AH986" s="744"/>
      <c r="AI986" s="292"/>
      <c r="AK986" s="300"/>
      <c r="AS986" s="452"/>
    </row>
    <row r="987" spans="1:45" s="299" customFormat="1">
      <c r="A987" s="353">
        <v>630</v>
      </c>
      <c r="B987" s="352">
        <v>100</v>
      </c>
      <c r="C987" s="352">
        <v>300</v>
      </c>
      <c r="D987" s="357">
        <v>250</v>
      </c>
      <c r="E987" s="357"/>
      <c r="F987" s="357"/>
      <c r="G987" s="315" t="s">
        <v>236</v>
      </c>
      <c r="H987" s="314"/>
      <c r="I987" s="311"/>
      <c r="J987" s="311"/>
      <c r="K987" s="311"/>
      <c r="L987" s="311"/>
      <c r="M987" s="311"/>
      <c r="N987" s="312"/>
      <c r="O987" s="314"/>
      <c r="P987" s="311">
        <v>0</v>
      </c>
      <c r="Q987" s="312"/>
      <c r="R987" s="314"/>
      <c r="S987" s="311"/>
      <c r="T987" s="311"/>
      <c r="U987" s="311"/>
      <c r="V987" s="311"/>
      <c r="W987" s="311"/>
      <c r="X987" s="311"/>
      <c r="Y987" s="1356">
        <f t="shared" si="108"/>
        <v>0</v>
      </c>
      <c r="Z987" s="1357">
        <f t="shared" si="109"/>
        <v>0</v>
      </c>
      <c r="AA987" s="311">
        <f t="shared" si="110"/>
        <v>0</v>
      </c>
      <c r="AB987" s="311">
        <f t="shared" si="111"/>
        <v>0</v>
      </c>
      <c r="AC987" s="311">
        <f t="shared" si="112"/>
        <v>0</v>
      </c>
      <c r="AD987" s="311">
        <f t="shared" si="113"/>
        <v>0</v>
      </c>
      <c r="AE987" s="311">
        <f t="shared" si="114"/>
        <v>0</v>
      </c>
      <c r="AF987" s="355" t="s">
        <v>272</v>
      </c>
      <c r="AG987" s="838"/>
      <c r="AH987" s="744"/>
      <c r="AI987" s="292"/>
      <c r="AK987" s="300"/>
      <c r="AS987" s="452"/>
    </row>
    <row r="988" spans="1:45" s="299" customFormat="1" ht="27.6">
      <c r="A988" s="353">
        <v>630</v>
      </c>
      <c r="B988" s="352">
        <v>100</v>
      </c>
      <c r="C988" s="352">
        <v>300</v>
      </c>
      <c r="D988" s="357">
        <v>300</v>
      </c>
      <c r="E988" s="357"/>
      <c r="F988" s="357"/>
      <c r="G988" s="315" t="s">
        <v>273</v>
      </c>
      <c r="H988" s="314"/>
      <c r="I988" s="311"/>
      <c r="J988" s="311"/>
      <c r="K988" s="311"/>
      <c r="L988" s="311"/>
      <c r="M988" s="311"/>
      <c r="N988" s="312"/>
      <c r="O988" s="314"/>
      <c r="P988" s="311">
        <v>0</v>
      </c>
      <c r="Q988" s="312"/>
      <c r="R988" s="314"/>
      <c r="S988" s="311"/>
      <c r="T988" s="311"/>
      <c r="U988" s="311"/>
      <c r="V988" s="311"/>
      <c r="W988" s="311"/>
      <c r="X988" s="311"/>
      <c r="Y988" s="1356">
        <f t="shared" si="108"/>
        <v>0</v>
      </c>
      <c r="Z988" s="1357">
        <f t="shared" si="109"/>
        <v>0</v>
      </c>
      <c r="AA988" s="311">
        <f t="shared" si="110"/>
        <v>0</v>
      </c>
      <c r="AB988" s="311">
        <f t="shared" si="111"/>
        <v>0</v>
      </c>
      <c r="AC988" s="311">
        <f t="shared" si="112"/>
        <v>0</v>
      </c>
      <c r="AD988" s="311">
        <f t="shared" si="113"/>
        <v>0</v>
      </c>
      <c r="AE988" s="311">
        <f t="shared" si="114"/>
        <v>0</v>
      </c>
      <c r="AF988" s="355" t="s">
        <v>274</v>
      </c>
      <c r="AG988" s="838"/>
      <c r="AH988" s="744"/>
      <c r="AI988" s="292"/>
      <c r="AK988" s="300"/>
      <c r="AS988" s="452"/>
    </row>
    <row r="989" spans="1:45" s="299" customFormat="1" ht="27.6">
      <c r="A989" s="353">
        <v>630</v>
      </c>
      <c r="B989" s="352">
        <v>100</v>
      </c>
      <c r="C989" s="352">
        <v>300</v>
      </c>
      <c r="D989" s="357">
        <v>350</v>
      </c>
      <c r="E989" s="357"/>
      <c r="F989" s="357"/>
      <c r="G989" s="315" t="s">
        <v>275</v>
      </c>
      <c r="H989" s="314"/>
      <c r="I989" s="311"/>
      <c r="J989" s="311"/>
      <c r="K989" s="311"/>
      <c r="L989" s="311"/>
      <c r="M989" s="311"/>
      <c r="N989" s="312"/>
      <c r="O989" s="314"/>
      <c r="P989" s="311">
        <v>0</v>
      </c>
      <c r="Q989" s="312"/>
      <c r="R989" s="314"/>
      <c r="S989" s="311"/>
      <c r="T989" s="311"/>
      <c r="U989" s="311"/>
      <c r="V989" s="311"/>
      <c r="W989" s="311"/>
      <c r="X989" s="311"/>
      <c r="Y989" s="1356">
        <f t="shared" si="108"/>
        <v>0</v>
      </c>
      <c r="Z989" s="1357">
        <f t="shared" si="109"/>
        <v>0</v>
      </c>
      <c r="AA989" s="311">
        <f t="shared" si="110"/>
        <v>0</v>
      </c>
      <c r="AB989" s="311">
        <f t="shared" si="111"/>
        <v>0</v>
      </c>
      <c r="AC989" s="311">
        <f t="shared" si="112"/>
        <v>0</v>
      </c>
      <c r="AD989" s="311">
        <f t="shared" si="113"/>
        <v>0</v>
      </c>
      <c r="AE989" s="311">
        <f t="shared" si="114"/>
        <v>0</v>
      </c>
      <c r="AF989" s="355" t="s">
        <v>276</v>
      </c>
      <c r="AG989" s="838"/>
      <c r="AH989" s="744"/>
      <c r="AI989" s="292"/>
      <c r="AK989" s="300"/>
      <c r="AS989" s="452"/>
    </row>
    <row r="990" spans="1:45" s="299" customFormat="1">
      <c r="A990" s="353">
        <v>630</v>
      </c>
      <c r="B990" s="352">
        <v>100</v>
      </c>
      <c r="C990" s="352">
        <v>300</v>
      </c>
      <c r="D990" s="357">
        <v>400</v>
      </c>
      <c r="E990" s="357"/>
      <c r="F990" s="357"/>
      <c r="G990" s="315" t="s">
        <v>277</v>
      </c>
      <c r="H990" s="314"/>
      <c r="I990" s="311"/>
      <c r="J990" s="311"/>
      <c r="K990" s="311"/>
      <c r="L990" s="311"/>
      <c r="M990" s="311"/>
      <c r="N990" s="312"/>
      <c r="O990" s="314"/>
      <c r="P990" s="311">
        <v>0</v>
      </c>
      <c r="Q990" s="312"/>
      <c r="R990" s="314"/>
      <c r="S990" s="311"/>
      <c r="T990" s="311"/>
      <c r="U990" s="311"/>
      <c r="V990" s="311"/>
      <c r="W990" s="311"/>
      <c r="X990" s="311"/>
      <c r="Y990" s="1356">
        <f t="shared" si="108"/>
        <v>0</v>
      </c>
      <c r="Z990" s="1357">
        <f t="shared" si="109"/>
        <v>0</v>
      </c>
      <c r="AA990" s="311">
        <f t="shared" si="110"/>
        <v>0</v>
      </c>
      <c r="AB990" s="311">
        <f t="shared" si="111"/>
        <v>0</v>
      </c>
      <c r="AC990" s="311">
        <f t="shared" si="112"/>
        <v>0</v>
      </c>
      <c r="AD990" s="311">
        <f t="shared" si="113"/>
        <v>0</v>
      </c>
      <c r="AE990" s="311">
        <f t="shared" si="114"/>
        <v>0</v>
      </c>
      <c r="AF990" s="355" t="s">
        <v>278</v>
      </c>
      <c r="AG990" s="838"/>
      <c r="AH990" s="744"/>
      <c r="AI990" s="292"/>
      <c r="AK990" s="300"/>
      <c r="AS990" s="452"/>
    </row>
    <row r="991" spans="1:45" s="299" customFormat="1" ht="27.6">
      <c r="A991" s="353">
        <v>630</v>
      </c>
      <c r="B991" s="352">
        <v>100</v>
      </c>
      <c r="C991" s="352">
        <v>300</v>
      </c>
      <c r="D991" s="357">
        <v>450</v>
      </c>
      <c r="E991" s="357"/>
      <c r="F991" s="357"/>
      <c r="G991" s="315" t="s">
        <v>279</v>
      </c>
      <c r="H991" s="314"/>
      <c r="I991" s="311"/>
      <c r="J991" s="311"/>
      <c r="K991" s="311"/>
      <c r="L991" s="311"/>
      <c r="M991" s="311"/>
      <c r="N991" s="312"/>
      <c r="O991" s="314"/>
      <c r="P991" s="311">
        <v>0</v>
      </c>
      <c r="Q991" s="312"/>
      <c r="R991" s="314"/>
      <c r="S991" s="311"/>
      <c r="T991" s="311"/>
      <c r="U991" s="311"/>
      <c r="V991" s="311"/>
      <c r="W991" s="311"/>
      <c r="X991" s="311"/>
      <c r="Y991" s="1356">
        <f t="shared" si="108"/>
        <v>0</v>
      </c>
      <c r="Z991" s="1357">
        <f t="shared" si="109"/>
        <v>0</v>
      </c>
      <c r="AA991" s="311">
        <f t="shared" si="110"/>
        <v>0</v>
      </c>
      <c r="AB991" s="311">
        <f t="shared" si="111"/>
        <v>0</v>
      </c>
      <c r="AC991" s="311">
        <f t="shared" si="112"/>
        <v>0</v>
      </c>
      <c r="AD991" s="311">
        <f t="shared" si="113"/>
        <v>0</v>
      </c>
      <c r="AE991" s="311">
        <f t="shared" si="114"/>
        <v>0</v>
      </c>
      <c r="AF991" s="355" t="s">
        <v>280</v>
      </c>
      <c r="AG991" s="838"/>
      <c r="AH991" s="744"/>
      <c r="AI991" s="292"/>
      <c r="AK991" s="300"/>
      <c r="AS991" s="452"/>
    </row>
    <row r="992" spans="1:45" s="299" customFormat="1" ht="27.6">
      <c r="A992" s="353">
        <v>630</v>
      </c>
      <c r="B992" s="352">
        <v>100</v>
      </c>
      <c r="C992" s="352">
        <v>300</v>
      </c>
      <c r="D992" s="357">
        <v>510</v>
      </c>
      <c r="E992" s="357"/>
      <c r="F992" s="357"/>
      <c r="G992" s="315" t="s">
        <v>281</v>
      </c>
      <c r="H992" s="314"/>
      <c r="I992" s="311"/>
      <c r="J992" s="311"/>
      <c r="K992" s="311"/>
      <c r="L992" s="311"/>
      <c r="M992" s="311"/>
      <c r="N992" s="312"/>
      <c r="O992" s="314"/>
      <c r="P992" s="311">
        <v>0</v>
      </c>
      <c r="Q992" s="312"/>
      <c r="R992" s="314"/>
      <c r="S992" s="311"/>
      <c r="T992" s="311"/>
      <c r="U992" s="311"/>
      <c r="V992" s="311"/>
      <c r="W992" s="311"/>
      <c r="X992" s="311"/>
      <c r="Y992" s="1356">
        <f t="shared" si="108"/>
        <v>0</v>
      </c>
      <c r="Z992" s="1357">
        <f t="shared" si="109"/>
        <v>0</v>
      </c>
      <c r="AA992" s="311">
        <f t="shared" si="110"/>
        <v>0</v>
      </c>
      <c r="AB992" s="311">
        <f t="shared" si="111"/>
        <v>0</v>
      </c>
      <c r="AC992" s="311">
        <f t="shared" si="112"/>
        <v>0</v>
      </c>
      <c r="AD992" s="311">
        <f t="shared" si="113"/>
        <v>0</v>
      </c>
      <c r="AE992" s="311">
        <f t="shared" si="114"/>
        <v>0</v>
      </c>
      <c r="AF992" s="355" t="s">
        <v>282</v>
      </c>
      <c r="AG992" s="838"/>
      <c r="AH992" s="744"/>
      <c r="AI992" s="292"/>
      <c r="AK992" s="300"/>
      <c r="AS992" s="452"/>
    </row>
    <row r="993" spans="1:45" s="299" customFormat="1" ht="27.6">
      <c r="A993" s="353">
        <v>630</v>
      </c>
      <c r="B993" s="352">
        <v>100</v>
      </c>
      <c r="C993" s="352">
        <v>300</v>
      </c>
      <c r="D993" s="357">
        <v>520</v>
      </c>
      <c r="E993" s="357"/>
      <c r="F993" s="357"/>
      <c r="G993" s="315" t="s">
        <v>283</v>
      </c>
      <c r="H993" s="314"/>
      <c r="I993" s="311"/>
      <c r="J993" s="311"/>
      <c r="K993" s="311"/>
      <c r="L993" s="311"/>
      <c r="M993" s="311"/>
      <c r="N993" s="312"/>
      <c r="O993" s="314"/>
      <c r="P993" s="311">
        <v>0</v>
      </c>
      <c r="Q993" s="312"/>
      <c r="R993" s="314"/>
      <c r="S993" s="311"/>
      <c r="T993" s="311"/>
      <c r="U993" s="311"/>
      <c r="V993" s="311"/>
      <c r="W993" s="311"/>
      <c r="X993" s="311"/>
      <c r="Y993" s="1356">
        <f t="shared" si="108"/>
        <v>0</v>
      </c>
      <c r="Z993" s="1357">
        <f t="shared" si="109"/>
        <v>0</v>
      </c>
      <c r="AA993" s="311">
        <f t="shared" si="110"/>
        <v>0</v>
      </c>
      <c r="AB993" s="311">
        <f t="shared" si="111"/>
        <v>0</v>
      </c>
      <c r="AC993" s="311">
        <f t="shared" si="112"/>
        <v>0</v>
      </c>
      <c r="AD993" s="311">
        <f t="shared" si="113"/>
        <v>0</v>
      </c>
      <c r="AE993" s="311">
        <f t="shared" si="114"/>
        <v>0</v>
      </c>
      <c r="AF993" s="355" t="s">
        <v>284</v>
      </c>
      <c r="AG993" s="838"/>
      <c r="AH993" s="744"/>
      <c r="AI993" s="292"/>
      <c r="AK993" s="300"/>
      <c r="AS993" s="452"/>
    </row>
    <row r="994" spans="1:45" s="299" customFormat="1" ht="41.4">
      <c r="A994" s="353">
        <v>630</v>
      </c>
      <c r="B994" s="352">
        <v>100</v>
      </c>
      <c r="C994" s="352">
        <v>300</v>
      </c>
      <c r="D994" s="357">
        <v>550</v>
      </c>
      <c r="E994" s="357"/>
      <c r="F994" s="357"/>
      <c r="G994" s="315" t="s">
        <v>285</v>
      </c>
      <c r="H994" s="314"/>
      <c r="I994" s="311"/>
      <c r="J994" s="311"/>
      <c r="K994" s="311"/>
      <c r="L994" s="311"/>
      <c r="M994" s="311"/>
      <c r="N994" s="312"/>
      <c r="O994" s="314"/>
      <c r="P994" s="311">
        <v>0</v>
      </c>
      <c r="Q994" s="312"/>
      <c r="R994" s="314"/>
      <c r="S994" s="311"/>
      <c r="T994" s="311"/>
      <c r="U994" s="311"/>
      <c r="V994" s="311"/>
      <c r="W994" s="311"/>
      <c r="X994" s="311"/>
      <c r="Y994" s="1356">
        <f t="shared" si="108"/>
        <v>0</v>
      </c>
      <c r="Z994" s="1357">
        <f t="shared" si="109"/>
        <v>0</v>
      </c>
      <c r="AA994" s="311">
        <f t="shared" si="110"/>
        <v>0</v>
      </c>
      <c r="AB994" s="311">
        <f t="shared" si="111"/>
        <v>0</v>
      </c>
      <c r="AC994" s="311">
        <f t="shared" si="112"/>
        <v>0</v>
      </c>
      <c r="AD994" s="311">
        <f t="shared" si="113"/>
        <v>0</v>
      </c>
      <c r="AE994" s="311">
        <f t="shared" si="114"/>
        <v>0</v>
      </c>
      <c r="AF994" s="355" t="s">
        <v>286</v>
      </c>
      <c r="AG994" s="838"/>
      <c r="AH994" s="744"/>
      <c r="AI994" s="292"/>
      <c r="AK994" s="300"/>
      <c r="AS994" s="452"/>
    </row>
    <row r="995" spans="1:45" s="299" customFormat="1" ht="27.6">
      <c r="A995" s="353">
        <v>630</v>
      </c>
      <c r="B995" s="352">
        <v>100</v>
      </c>
      <c r="C995" s="352">
        <v>300</v>
      </c>
      <c r="D995" s="357">
        <v>600</v>
      </c>
      <c r="E995" s="357"/>
      <c r="F995" s="357"/>
      <c r="G995" s="315" t="s">
        <v>288</v>
      </c>
      <c r="H995" s="314"/>
      <c r="I995" s="311"/>
      <c r="J995" s="311"/>
      <c r="K995" s="311"/>
      <c r="L995" s="311"/>
      <c r="M995" s="311"/>
      <c r="N995" s="312"/>
      <c r="O995" s="314"/>
      <c r="P995" s="311">
        <v>0</v>
      </c>
      <c r="Q995" s="312"/>
      <c r="R995" s="314"/>
      <c r="S995" s="311"/>
      <c r="T995" s="311"/>
      <c r="U995" s="311"/>
      <c r="V995" s="311"/>
      <c r="W995" s="311"/>
      <c r="X995" s="311"/>
      <c r="Y995" s="1356">
        <f t="shared" si="108"/>
        <v>0</v>
      </c>
      <c r="Z995" s="1357">
        <f t="shared" si="109"/>
        <v>0</v>
      </c>
      <c r="AA995" s="311">
        <f t="shared" si="110"/>
        <v>0</v>
      </c>
      <c r="AB995" s="311">
        <f t="shared" si="111"/>
        <v>0</v>
      </c>
      <c r="AC995" s="311">
        <f t="shared" si="112"/>
        <v>0</v>
      </c>
      <c r="AD995" s="311">
        <f t="shared" si="113"/>
        <v>0</v>
      </c>
      <c r="AE995" s="311">
        <f t="shared" si="114"/>
        <v>0</v>
      </c>
      <c r="AF995" s="355" t="s">
        <v>287</v>
      </c>
      <c r="AG995" s="838"/>
      <c r="AH995" s="744"/>
      <c r="AI995" s="292"/>
      <c r="AK995" s="300"/>
      <c r="AS995" s="452"/>
    </row>
    <row r="996" spans="1:45" s="299" customFormat="1" ht="55.2">
      <c r="A996" s="353">
        <v>630</v>
      </c>
      <c r="B996" s="352">
        <v>100</v>
      </c>
      <c r="C996" s="352">
        <v>300</v>
      </c>
      <c r="D996" s="357">
        <v>610</v>
      </c>
      <c r="E996" s="357"/>
      <c r="F996" s="357"/>
      <c r="G996" s="315" t="s">
        <v>289</v>
      </c>
      <c r="H996" s="314"/>
      <c r="I996" s="311"/>
      <c r="J996" s="311"/>
      <c r="K996" s="311"/>
      <c r="L996" s="311"/>
      <c r="M996" s="311"/>
      <c r="N996" s="312"/>
      <c r="O996" s="314"/>
      <c r="P996" s="311">
        <v>0</v>
      </c>
      <c r="Q996" s="312"/>
      <c r="R996" s="314"/>
      <c r="S996" s="311"/>
      <c r="T996" s="311"/>
      <c r="U996" s="311">
        <v>1390.1699999999998</v>
      </c>
      <c r="V996" s="311"/>
      <c r="W996" s="311"/>
      <c r="X996" s="311">
        <v>1000</v>
      </c>
      <c r="Y996" s="1356">
        <f t="shared" si="108"/>
        <v>0</v>
      </c>
      <c r="Z996" s="1357">
        <f t="shared" si="109"/>
        <v>0</v>
      </c>
      <c r="AA996" s="311">
        <f t="shared" si="110"/>
        <v>0</v>
      </c>
      <c r="AB996" s="311">
        <f t="shared" si="111"/>
        <v>1390.1699999999998</v>
      </c>
      <c r="AC996" s="311">
        <f t="shared" si="112"/>
        <v>0</v>
      </c>
      <c r="AD996" s="311">
        <f t="shared" si="113"/>
        <v>0</v>
      </c>
      <c r="AE996" s="311">
        <f t="shared" si="114"/>
        <v>1000</v>
      </c>
      <c r="AF996" s="355" t="s">
        <v>290</v>
      </c>
      <c r="AG996" s="838"/>
      <c r="AH996" s="744"/>
      <c r="AI996" s="292"/>
      <c r="AK996" s="300"/>
      <c r="AS996" s="452"/>
    </row>
    <row r="997" spans="1:45" s="299" customFormat="1" ht="55.2">
      <c r="A997" s="353">
        <v>630</v>
      </c>
      <c r="B997" s="352">
        <v>100</v>
      </c>
      <c r="C997" s="352">
        <v>300</v>
      </c>
      <c r="D997" s="352">
        <v>650</v>
      </c>
      <c r="E997" s="352"/>
      <c r="F997" s="352"/>
      <c r="G997" s="323" t="s">
        <v>291</v>
      </c>
      <c r="H997" s="322"/>
      <c r="I997" s="320"/>
      <c r="J997" s="320"/>
      <c r="K997" s="320"/>
      <c r="L997" s="320"/>
      <c r="M997" s="320"/>
      <c r="N997" s="321"/>
      <c r="O997" s="322"/>
      <c r="P997" s="320">
        <v>0</v>
      </c>
      <c r="Q997" s="321"/>
      <c r="R997" s="322"/>
      <c r="S997" s="320"/>
      <c r="T997" s="320"/>
      <c r="U997" s="320"/>
      <c r="V997" s="320"/>
      <c r="W997" s="320"/>
      <c r="X997" s="320"/>
      <c r="Y997" s="1392">
        <f t="shared" si="108"/>
        <v>0</v>
      </c>
      <c r="Z997" s="1389">
        <f t="shared" si="109"/>
        <v>0</v>
      </c>
      <c r="AA997" s="320">
        <f t="shared" si="110"/>
        <v>0</v>
      </c>
      <c r="AB997" s="320">
        <f t="shared" si="111"/>
        <v>0</v>
      </c>
      <c r="AC997" s="320">
        <f t="shared" si="112"/>
        <v>0</v>
      </c>
      <c r="AD997" s="320">
        <f t="shared" si="113"/>
        <v>0</v>
      </c>
      <c r="AE997" s="320">
        <f t="shared" si="114"/>
        <v>0</v>
      </c>
      <c r="AF997" s="355" t="s">
        <v>292</v>
      </c>
      <c r="AG997" s="838"/>
      <c r="AH997" s="744"/>
      <c r="AI997" s="292"/>
      <c r="AK997" s="300"/>
      <c r="AS997" s="452"/>
    </row>
    <row r="998" spans="1:45" s="299" customFormat="1" ht="41.4">
      <c r="A998" s="353">
        <v>630</v>
      </c>
      <c r="B998" s="352">
        <v>100</v>
      </c>
      <c r="C998" s="352">
        <v>300</v>
      </c>
      <c r="D998" s="352">
        <v>650</v>
      </c>
      <c r="E998" s="357">
        <v>10</v>
      </c>
      <c r="F998" s="357"/>
      <c r="G998" s="315" t="s">
        <v>293</v>
      </c>
      <c r="H998" s="314"/>
      <c r="I998" s="311"/>
      <c r="J998" s="311"/>
      <c r="K998" s="311"/>
      <c r="L998" s="311"/>
      <c r="M998" s="311"/>
      <c r="N998" s="312"/>
      <c r="O998" s="314"/>
      <c r="P998" s="311">
        <v>0</v>
      </c>
      <c r="Q998" s="312"/>
      <c r="R998" s="314"/>
      <c r="S998" s="311"/>
      <c r="T998" s="311"/>
      <c r="U998" s="311"/>
      <c r="V998" s="311"/>
      <c r="W998" s="311"/>
      <c r="X998" s="311"/>
      <c r="Y998" s="1356">
        <f t="shared" si="108"/>
        <v>0</v>
      </c>
      <c r="Z998" s="1357">
        <f t="shared" si="109"/>
        <v>0</v>
      </c>
      <c r="AA998" s="311">
        <f t="shared" si="110"/>
        <v>0</v>
      </c>
      <c r="AB998" s="311">
        <f t="shared" si="111"/>
        <v>0</v>
      </c>
      <c r="AC998" s="311">
        <f t="shared" si="112"/>
        <v>0</v>
      </c>
      <c r="AD998" s="311">
        <f t="shared" si="113"/>
        <v>0</v>
      </c>
      <c r="AE998" s="311">
        <f t="shared" si="114"/>
        <v>0</v>
      </c>
      <c r="AF998" s="355" t="s">
        <v>294</v>
      </c>
      <c r="AG998" s="838"/>
      <c r="AH998" s="744"/>
      <c r="AI998" s="292"/>
      <c r="AK998" s="300"/>
      <c r="AS998" s="452"/>
    </row>
    <row r="999" spans="1:45" s="299" customFormat="1" ht="55.2">
      <c r="A999" s="353">
        <v>630</v>
      </c>
      <c r="B999" s="352">
        <v>100</v>
      </c>
      <c r="C999" s="352">
        <v>300</v>
      </c>
      <c r="D999" s="352">
        <v>650</v>
      </c>
      <c r="E999" s="352">
        <v>20</v>
      </c>
      <c r="F999" s="352"/>
      <c r="G999" s="323" t="s">
        <v>295</v>
      </c>
      <c r="H999" s="322"/>
      <c r="I999" s="320"/>
      <c r="J999" s="320"/>
      <c r="K999" s="320"/>
      <c r="L999" s="320"/>
      <c r="M999" s="320"/>
      <c r="N999" s="321"/>
      <c r="O999" s="322"/>
      <c r="P999" s="320">
        <v>0</v>
      </c>
      <c r="Q999" s="321"/>
      <c r="R999" s="322"/>
      <c r="S999" s="320"/>
      <c r="T999" s="320"/>
      <c r="U999" s="320"/>
      <c r="V999" s="320"/>
      <c r="W999" s="320"/>
      <c r="X999" s="320"/>
      <c r="Y999" s="1392">
        <f t="shared" si="108"/>
        <v>0</v>
      </c>
      <c r="Z999" s="1389">
        <f t="shared" si="109"/>
        <v>0</v>
      </c>
      <c r="AA999" s="320">
        <f t="shared" si="110"/>
        <v>0</v>
      </c>
      <c r="AB999" s="320">
        <f t="shared" si="111"/>
        <v>0</v>
      </c>
      <c r="AC999" s="320">
        <f t="shared" si="112"/>
        <v>0</v>
      </c>
      <c r="AD999" s="320">
        <f t="shared" si="113"/>
        <v>0</v>
      </c>
      <c r="AE999" s="320">
        <f t="shared" si="114"/>
        <v>0</v>
      </c>
      <c r="AF999" s="355" t="s">
        <v>296</v>
      </c>
      <c r="AG999" s="838"/>
      <c r="AH999" s="744"/>
      <c r="AI999" s="292"/>
      <c r="AK999" s="300"/>
      <c r="AS999" s="452"/>
    </row>
    <row r="1000" spans="1:45" s="299" customFormat="1">
      <c r="A1000" s="353">
        <v>630</v>
      </c>
      <c r="B1000" s="352">
        <v>100</v>
      </c>
      <c r="C1000" s="352">
        <v>300</v>
      </c>
      <c r="D1000" s="352">
        <v>650</v>
      </c>
      <c r="E1000" s="352">
        <v>20</v>
      </c>
      <c r="F1000" s="316">
        <v>10</v>
      </c>
      <c r="G1000" s="315" t="s">
        <v>258</v>
      </c>
      <c r="H1000" s="314"/>
      <c r="I1000" s="311"/>
      <c r="J1000" s="311"/>
      <c r="K1000" s="311"/>
      <c r="L1000" s="311"/>
      <c r="M1000" s="311"/>
      <c r="N1000" s="312"/>
      <c r="O1000" s="314"/>
      <c r="P1000" s="311">
        <v>0</v>
      </c>
      <c r="Q1000" s="312"/>
      <c r="R1000" s="314"/>
      <c r="S1000" s="311"/>
      <c r="T1000" s="311"/>
      <c r="U1000" s="311"/>
      <c r="V1000" s="311"/>
      <c r="W1000" s="311"/>
      <c r="X1000" s="311"/>
      <c r="Y1000" s="1356">
        <f t="shared" si="108"/>
        <v>0</v>
      </c>
      <c r="Z1000" s="1357">
        <f t="shared" si="109"/>
        <v>0</v>
      </c>
      <c r="AA1000" s="311">
        <f t="shared" si="110"/>
        <v>0</v>
      </c>
      <c r="AB1000" s="311">
        <f t="shared" si="111"/>
        <v>0</v>
      </c>
      <c r="AC1000" s="311">
        <f t="shared" si="112"/>
        <v>0</v>
      </c>
      <c r="AD1000" s="311">
        <f t="shared" si="113"/>
        <v>0</v>
      </c>
      <c r="AE1000" s="311">
        <f t="shared" si="114"/>
        <v>0</v>
      </c>
      <c r="AF1000" s="310"/>
      <c r="AG1000" s="841"/>
      <c r="AH1000" s="744"/>
      <c r="AI1000" s="292"/>
      <c r="AK1000" s="300"/>
      <c r="AS1000" s="452"/>
    </row>
    <row r="1001" spans="1:45" s="299" customFormat="1" ht="55.2">
      <c r="A1001" s="353">
        <v>630</v>
      </c>
      <c r="B1001" s="352">
        <v>100</v>
      </c>
      <c r="C1001" s="352">
        <v>300</v>
      </c>
      <c r="D1001" s="352">
        <v>650</v>
      </c>
      <c r="E1001" s="352">
        <v>20</v>
      </c>
      <c r="F1001" s="316">
        <v>20</v>
      </c>
      <c r="G1001" s="315" t="s">
        <v>295</v>
      </c>
      <c r="H1001" s="314"/>
      <c r="I1001" s="311"/>
      <c r="J1001" s="311"/>
      <c r="K1001" s="311"/>
      <c r="L1001" s="311"/>
      <c r="M1001" s="311"/>
      <c r="N1001" s="312"/>
      <c r="O1001" s="314"/>
      <c r="P1001" s="311">
        <v>0</v>
      </c>
      <c r="Q1001" s="312"/>
      <c r="R1001" s="314">
        <v>123050.96</v>
      </c>
      <c r="S1001" s="326"/>
      <c r="T1001" s="326"/>
      <c r="U1001" s="326">
        <v>51077.57</v>
      </c>
      <c r="V1001" s="326"/>
      <c r="W1001" s="326"/>
      <c r="X1001" s="326">
        <v>150527</v>
      </c>
      <c r="Y1001" s="1356">
        <f t="shared" si="108"/>
        <v>123050.96</v>
      </c>
      <c r="Z1001" s="1351">
        <f t="shared" si="109"/>
        <v>0</v>
      </c>
      <c r="AA1001" s="326">
        <f t="shared" si="110"/>
        <v>0</v>
      </c>
      <c r="AB1001" s="326">
        <f t="shared" si="111"/>
        <v>51077.57</v>
      </c>
      <c r="AC1001" s="326">
        <f t="shared" si="112"/>
        <v>0</v>
      </c>
      <c r="AD1001" s="326">
        <f t="shared" si="113"/>
        <v>0</v>
      </c>
      <c r="AE1001" s="326">
        <f t="shared" si="114"/>
        <v>150527</v>
      </c>
      <c r="AF1001" s="310"/>
      <c r="AG1001" s="841"/>
      <c r="AH1001" s="744"/>
      <c r="AI1001" s="292"/>
      <c r="AK1001" s="300"/>
      <c r="AS1001" s="452"/>
    </row>
    <row r="1002" spans="1:45" s="299" customFormat="1" ht="41.4">
      <c r="A1002" s="353">
        <v>630</v>
      </c>
      <c r="B1002" s="352">
        <v>100</v>
      </c>
      <c r="C1002" s="352">
        <v>300</v>
      </c>
      <c r="D1002" s="357">
        <v>700</v>
      </c>
      <c r="E1002" s="357"/>
      <c r="F1002" s="357"/>
      <c r="G1002" s="315" t="s">
        <v>297</v>
      </c>
      <c r="H1002" s="314"/>
      <c r="I1002" s="311"/>
      <c r="J1002" s="311"/>
      <c r="K1002" s="311"/>
      <c r="L1002" s="311"/>
      <c r="M1002" s="311"/>
      <c r="N1002" s="312"/>
      <c r="O1002" s="314"/>
      <c r="P1002" s="311">
        <v>0</v>
      </c>
      <c r="Q1002" s="312"/>
      <c r="R1002" s="314">
        <v>28529</v>
      </c>
      <c r="S1002" s="311"/>
      <c r="T1002" s="311"/>
      <c r="U1002" s="311">
        <v>28529</v>
      </c>
      <c r="V1002" s="311"/>
      <c r="W1002" s="311"/>
      <c r="X1002" s="311"/>
      <c r="Y1002" s="1356">
        <f t="shared" si="108"/>
        <v>28529</v>
      </c>
      <c r="Z1002" s="1357">
        <f t="shared" si="109"/>
        <v>0</v>
      </c>
      <c r="AA1002" s="311">
        <f t="shared" si="110"/>
        <v>0</v>
      </c>
      <c r="AB1002" s="311">
        <f t="shared" si="111"/>
        <v>28529</v>
      </c>
      <c r="AC1002" s="311">
        <f t="shared" si="112"/>
        <v>0</v>
      </c>
      <c r="AD1002" s="311">
        <f t="shared" si="113"/>
        <v>0</v>
      </c>
      <c r="AE1002" s="311">
        <f t="shared" si="114"/>
        <v>0</v>
      </c>
      <c r="AF1002" s="355" t="s">
        <v>298</v>
      </c>
      <c r="AG1002" s="838"/>
      <c r="AH1002" s="744"/>
      <c r="AI1002" s="292"/>
      <c r="AK1002" s="300"/>
      <c r="AS1002" s="452"/>
    </row>
    <row r="1003" spans="1:45" s="299" customFormat="1" ht="55.2">
      <c r="A1003" s="353">
        <v>630</v>
      </c>
      <c r="B1003" s="352">
        <v>100</v>
      </c>
      <c r="C1003" s="352">
        <v>300</v>
      </c>
      <c r="D1003" s="357">
        <v>800</v>
      </c>
      <c r="E1003" s="357"/>
      <c r="F1003" s="357"/>
      <c r="G1003" s="315" t="s">
        <v>299</v>
      </c>
      <c r="H1003" s="314"/>
      <c r="I1003" s="311"/>
      <c r="J1003" s="311"/>
      <c r="K1003" s="311"/>
      <c r="L1003" s="311"/>
      <c r="M1003" s="311"/>
      <c r="N1003" s="312"/>
      <c r="O1003" s="314"/>
      <c r="P1003" s="311">
        <v>0</v>
      </c>
      <c r="Q1003" s="312"/>
      <c r="R1003" s="314"/>
      <c r="S1003" s="311"/>
      <c r="T1003" s="311"/>
      <c r="U1003" s="311"/>
      <c r="V1003" s="311"/>
      <c r="W1003" s="311"/>
      <c r="X1003" s="311"/>
      <c r="Y1003" s="1356">
        <f t="shared" si="108"/>
        <v>0</v>
      </c>
      <c r="Z1003" s="1357">
        <f t="shared" si="109"/>
        <v>0</v>
      </c>
      <c r="AA1003" s="311">
        <f t="shared" si="110"/>
        <v>0</v>
      </c>
      <c r="AB1003" s="311">
        <f t="shared" si="111"/>
        <v>0</v>
      </c>
      <c r="AC1003" s="311">
        <f t="shared" si="112"/>
        <v>0</v>
      </c>
      <c r="AD1003" s="311">
        <f t="shared" si="113"/>
        <v>0</v>
      </c>
      <c r="AE1003" s="311">
        <f t="shared" si="114"/>
        <v>0</v>
      </c>
      <c r="AF1003" s="355" t="s">
        <v>300</v>
      </c>
      <c r="AG1003" s="838"/>
      <c r="AH1003" s="744"/>
      <c r="AI1003" s="292"/>
      <c r="AK1003" s="300"/>
      <c r="AS1003" s="452"/>
    </row>
    <row r="1004" spans="1:45" s="299" customFormat="1" ht="55.2">
      <c r="A1004" s="353">
        <v>630</v>
      </c>
      <c r="B1004" s="352">
        <v>100</v>
      </c>
      <c r="C1004" s="352">
        <v>300</v>
      </c>
      <c r="D1004" s="357">
        <v>900</v>
      </c>
      <c r="E1004" s="357"/>
      <c r="F1004" s="357"/>
      <c r="G1004" s="315" t="s">
        <v>301</v>
      </c>
      <c r="H1004" s="314"/>
      <c r="I1004" s="311"/>
      <c r="J1004" s="311"/>
      <c r="K1004" s="311"/>
      <c r="L1004" s="311"/>
      <c r="M1004" s="311"/>
      <c r="N1004" s="312"/>
      <c r="O1004" s="314"/>
      <c r="P1004" s="311">
        <v>0</v>
      </c>
      <c r="Q1004" s="312"/>
      <c r="R1004" s="314"/>
      <c r="S1004" s="311"/>
      <c r="T1004" s="311"/>
      <c r="U1004" s="311"/>
      <c r="V1004" s="311"/>
      <c r="W1004" s="311"/>
      <c r="X1004" s="311"/>
      <c r="Y1004" s="1356">
        <f t="shared" si="108"/>
        <v>0</v>
      </c>
      <c r="Z1004" s="1357">
        <f t="shared" si="109"/>
        <v>0</v>
      </c>
      <c r="AA1004" s="311">
        <f t="shared" si="110"/>
        <v>0</v>
      </c>
      <c r="AB1004" s="311">
        <f t="shared" si="111"/>
        <v>0</v>
      </c>
      <c r="AC1004" s="311">
        <f t="shared" si="112"/>
        <v>0</v>
      </c>
      <c r="AD1004" s="311">
        <f t="shared" si="113"/>
        <v>0</v>
      </c>
      <c r="AE1004" s="311">
        <f t="shared" si="114"/>
        <v>0</v>
      </c>
      <c r="AF1004" s="355" t="s">
        <v>302</v>
      </c>
      <c r="AG1004" s="838"/>
      <c r="AH1004" s="744"/>
      <c r="AI1004" s="292"/>
      <c r="AK1004" s="300"/>
      <c r="AS1004" s="452"/>
    </row>
    <row r="1005" spans="1:45" s="299" customFormat="1" ht="69">
      <c r="A1005" s="353">
        <v>630</v>
      </c>
      <c r="B1005" s="352">
        <v>200</v>
      </c>
      <c r="C1005" s="352"/>
      <c r="D1005" s="352"/>
      <c r="E1005" s="352"/>
      <c r="F1005" s="352"/>
      <c r="G1005" s="323" t="s">
        <v>303</v>
      </c>
      <c r="H1005" s="322"/>
      <c r="I1005" s="320"/>
      <c r="J1005" s="320"/>
      <c r="K1005" s="320"/>
      <c r="L1005" s="320"/>
      <c r="M1005" s="320"/>
      <c r="N1005" s="321"/>
      <c r="O1005" s="322"/>
      <c r="P1005" s="320">
        <v>0</v>
      </c>
      <c r="Q1005" s="321"/>
      <c r="R1005" s="322"/>
      <c r="S1005" s="320"/>
      <c r="T1005" s="320"/>
      <c r="U1005" s="320"/>
      <c r="V1005" s="320"/>
      <c r="W1005" s="320"/>
      <c r="X1005" s="320"/>
      <c r="Y1005" s="1392">
        <f t="shared" si="108"/>
        <v>0</v>
      </c>
      <c r="Z1005" s="1389">
        <f t="shared" si="109"/>
        <v>0</v>
      </c>
      <c r="AA1005" s="320">
        <f t="shared" si="110"/>
        <v>0</v>
      </c>
      <c r="AB1005" s="320">
        <f t="shared" si="111"/>
        <v>0</v>
      </c>
      <c r="AC1005" s="320">
        <f t="shared" si="112"/>
        <v>0</v>
      </c>
      <c r="AD1005" s="320">
        <f t="shared" si="113"/>
        <v>0</v>
      </c>
      <c r="AE1005" s="320">
        <f t="shared" si="114"/>
        <v>0</v>
      </c>
      <c r="AF1005" s="355" t="s">
        <v>304</v>
      </c>
      <c r="AG1005" s="838"/>
      <c r="AH1005" s="744"/>
      <c r="AI1005" s="292"/>
      <c r="AK1005" s="300"/>
      <c r="AS1005" s="452"/>
    </row>
    <row r="1006" spans="1:45" s="299" customFormat="1" ht="41.4">
      <c r="A1006" s="353">
        <v>630</v>
      </c>
      <c r="B1006" s="352">
        <v>200</v>
      </c>
      <c r="C1006" s="357">
        <v>100</v>
      </c>
      <c r="D1006" s="357"/>
      <c r="E1006" s="357"/>
      <c r="F1006" s="357"/>
      <c r="G1006" s="315" t="s">
        <v>305</v>
      </c>
      <c r="H1006" s="314"/>
      <c r="I1006" s="311"/>
      <c r="J1006" s="311"/>
      <c r="K1006" s="311"/>
      <c r="L1006" s="311"/>
      <c r="M1006" s="311"/>
      <c r="N1006" s="312"/>
      <c r="O1006" s="314"/>
      <c r="P1006" s="311">
        <v>0</v>
      </c>
      <c r="Q1006" s="312"/>
      <c r="R1006" s="314"/>
      <c r="S1006" s="311"/>
      <c r="T1006" s="311"/>
      <c r="U1006" s="311"/>
      <c r="V1006" s="311"/>
      <c r="W1006" s="311"/>
      <c r="X1006" s="311"/>
      <c r="Y1006" s="1356">
        <f t="shared" si="108"/>
        <v>0</v>
      </c>
      <c r="Z1006" s="1357">
        <f t="shared" si="109"/>
        <v>0</v>
      </c>
      <c r="AA1006" s="311">
        <f t="shared" si="110"/>
        <v>0</v>
      </c>
      <c r="AB1006" s="311">
        <f t="shared" si="111"/>
        <v>0</v>
      </c>
      <c r="AC1006" s="311">
        <f t="shared" si="112"/>
        <v>0</v>
      </c>
      <c r="AD1006" s="311">
        <f t="shared" si="113"/>
        <v>0</v>
      </c>
      <c r="AE1006" s="311">
        <f t="shared" si="114"/>
        <v>0</v>
      </c>
      <c r="AF1006" s="355" t="s">
        <v>306</v>
      </c>
      <c r="AG1006" s="838"/>
      <c r="AH1006" s="744"/>
      <c r="AI1006" s="292"/>
      <c r="AK1006" s="300"/>
      <c r="AS1006" s="452"/>
    </row>
    <row r="1007" spans="1:45" s="299" customFormat="1" ht="41.4">
      <c r="A1007" s="353">
        <v>630</v>
      </c>
      <c r="B1007" s="352">
        <v>200</v>
      </c>
      <c r="C1007" s="357">
        <v>200</v>
      </c>
      <c r="D1007" s="357"/>
      <c r="E1007" s="357"/>
      <c r="F1007" s="357"/>
      <c r="G1007" s="315" t="s">
        <v>307</v>
      </c>
      <c r="H1007" s="314"/>
      <c r="I1007" s="311"/>
      <c r="J1007" s="311"/>
      <c r="K1007" s="311"/>
      <c r="L1007" s="311"/>
      <c r="M1007" s="311"/>
      <c r="N1007" s="312"/>
      <c r="O1007" s="314"/>
      <c r="P1007" s="311">
        <v>0</v>
      </c>
      <c r="Q1007" s="312"/>
      <c r="R1007" s="314"/>
      <c r="S1007" s="311"/>
      <c r="T1007" s="311"/>
      <c r="U1007" s="311"/>
      <c r="V1007" s="311"/>
      <c r="W1007" s="311"/>
      <c r="X1007" s="311"/>
      <c r="Y1007" s="1356">
        <f t="shared" si="108"/>
        <v>0</v>
      </c>
      <c r="Z1007" s="1357">
        <f t="shared" si="109"/>
        <v>0</v>
      </c>
      <c r="AA1007" s="311">
        <f t="shared" si="110"/>
        <v>0</v>
      </c>
      <c r="AB1007" s="311">
        <f t="shared" si="111"/>
        <v>0</v>
      </c>
      <c r="AC1007" s="311">
        <f t="shared" si="112"/>
        <v>0</v>
      </c>
      <c r="AD1007" s="311">
        <f t="shared" si="113"/>
        <v>0</v>
      </c>
      <c r="AE1007" s="311">
        <f t="shared" si="114"/>
        <v>0</v>
      </c>
      <c r="AF1007" s="355" t="s">
        <v>308</v>
      </c>
      <c r="AG1007" s="838"/>
      <c r="AH1007" s="744"/>
      <c r="AI1007" s="292"/>
      <c r="AK1007" s="300"/>
      <c r="AS1007" s="452"/>
    </row>
    <row r="1008" spans="1:45" s="299" customFormat="1" ht="55.2">
      <c r="A1008" s="353">
        <v>630</v>
      </c>
      <c r="B1008" s="352">
        <v>200</v>
      </c>
      <c r="C1008" s="357">
        <v>250</v>
      </c>
      <c r="D1008" s="357"/>
      <c r="E1008" s="357"/>
      <c r="F1008" s="357"/>
      <c r="G1008" s="315" t="s">
        <v>309</v>
      </c>
      <c r="H1008" s="314"/>
      <c r="I1008" s="311"/>
      <c r="J1008" s="311"/>
      <c r="K1008" s="311"/>
      <c r="L1008" s="311"/>
      <c r="M1008" s="311"/>
      <c r="N1008" s="312"/>
      <c r="O1008" s="314"/>
      <c r="P1008" s="311">
        <v>0</v>
      </c>
      <c r="Q1008" s="312"/>
      <c r="R1008" s="314"/>
      <c r="S1008" s="311"/>
      <c r="T1008" s="311"/>
      <c r="U1008" s="311"/>
      <c r="V1008" s="311"/>
      <c r="W1008" s="311"/>
      <c r="X1008" s="311"/>
      <c r="Y1008" s="1356">
        <f t="shared" si="108"/>
        <v>0</v>
      </c>
      <c r="Z1008" s="1357">
        <f t="shared" si="109"/>
        <v>0</v>
      </c>
      <c r="AA1008" s="311">
        <f t="shared" si="110"/>
        <v>0</v>
      </c>
      <c r="AB1008" s="311">
        <f t="shared" si="111"/>
        <v>0</v>
      </c>
      <c r="AC1008" s="311">
        <f t="shared" si="112"/>
        <v>0</v>
      </c>
      <c r="AD1008" s="311">
        <f t="shared" si="113"/>
        <v>0</v>
      </c>
      <c r="AE1008" s="311">
        <f t="shared" si="114"/>
        <v>0</v>
      </c>
      <c r="AF1008" s="355" t="s">
        <v>310</v>
      </c>
      <c r="AG1008" s="838"/>
      <c r="AH1008" s="744"/>
      <c r="AI1008" s="292"/>
      <c r="AK1008" s="300"/>
      <c r="AS1008" s="452"/>
    </row>
    <row r="1009" spans="1:45" s="299" customFormat="1" ht="41.4">
      <c r="A1009" s="353">
        <v>630</v>
      </c>
      <c r="B1009" s="352">
        <v>200</v>
      </c>
      <c r="C1009" s="357">
        <v>300</v>
      </c>
      <c r="D1009" s="357"/>
      <c r="E1009" s="357"/>
      <c r="F1009" s="357"/>
      <c r="G1009" s="315" t="s">
        <v>311</v>
      </c>
      <c r="H1009" s="314"/>
      <c r="I1009" s="311"/>
      <c r="J1009" s="311"/>
      <c r="K1009" s="311"/>
      <c r="L1009" s="311"/>
      <c r="M1009" s="311"/>
      <c r="N1009" s="312"/>
      <c r="O1009" s="314"/>
      <c r="P1009" s="311">
        <v>0</v>
      </c>
      <c r="Q1009" s="312"/>
      <c r="R1009" s="314"/>
      <c r="S1009" s="311"/>
      <c r="T1009" s="311"/>
      <c r="U1009" s="311"/>
      <c r="V1009" s="311"/>
      <c r="W1009" s="311"/>
      <c r="X1009" s="311"/>
      <c r="Y1009" s="1356">
        <f t="shared" si="108"/>
        <v>0</v>
      </c>
      <c r="Z1009" s="1357">
        <f t="shared" si="109"/>
        <v>0</v>
      </c>
      <c r="AA1009" s="311">
        <f t="shared" si="110"/>
        <v>0</v>
      </c>
      <c r="AB1009" s="311">
        <f t="shared" si="111"/>
        <v>0</v>
      </c>
      <c r="AC1009" s="311">
        <f t="shared" si="112"/>
        <v>0</v>
      </c>
      <c r="AD1009" s="311">
        <f t="shared" si="113"/>
        <v>0</v>
      </c>
      <c r="AE1009" s="311">
        <f t="shared" si="114"/>
        <v>0</v>
      </c>
      <c r="AF1009" s="355" t="s">
        <v>312</v>
      </c>
      <c r="AG1009" s="838"/>
      <c r="AH1009" s="744"/>
      <c r="AI1009" s="292"/>
      <c r="AK1009" s="300"/>
      <c r="AS1009" s="452"/>
    </row>
    <row r="1010" spans="1:45" s="299" customFormat="1" ht="69">
      <c r="A1010" s="353">
        <v>630</v>
      </c>
      <c r="B1010" s="352">
        <v>200</v>
      </c>
      <c r="C1010" s="357">
        <v>400</v>
      </c>
      <c r="D1010" s="357"/>
      <c r="E1010" s="357"/>
      <c r="F1010" s="357"/>
      <c r="G1010" s="315" t="s">
        <v>313</v>
      </c>
      <c r="H1010" s="314"/>
      <c r="I1010" s="311"/>
      <c r="J1010" s="311"/>
      <c r="K1010" s="311"/>
      <c r="L1010" s="311"/>
      <c r="M1010" s="311"/>
      <c r="N1010" s="312"/>
      <c r="O1010" s="314"/>
      <c r="P1010" s="311">
        <v>0</v>
      </c>
      <c r="Q1010" s="312"/>
      <c r="R1010" s="314"/>
      <c r="S1010" s="311"/>
      <c r="T1010" s="311"/>
      <c r="U1010" s="311"/>
      <c r="V1010" s="311"/>
      <c r="W1010" s="311"/>
      <c r="X1010" s="311"/>
      <c r="Y1010" s="1356">
        <f t="shared" si="108"/>
        <v>0</v>
      </c>
      <c r="Z1010" s="1357">
        <f t="shared" si="109"/>
        <v>0</v>
      </c>
      <c r="AA1010" s="311">
        <f t="shared" si="110"/>
        <v>0</v>
      </c>
      <c r="AB1010" s="311">
        <f t="shared" si="111"/>
        <v>0</v>
      </c>
      <c r="AC1010" s="311">
        <f t="shared" si="112"/>
        <v>0</v>
      </c>
      <c r="AD1010" s="311">
        <f t="shared" si="113"/>
        <v>0</v>
      </c>
      <c r="AE1010" s="311">
        <f t="shared" si="114"/>
        <v>0</v>
      </c>
      <c r="AF1010" s="355" t="s">
        <v>314</v>
      </c>
      <c r="AG1010" s="838"/>
      <c r="AH1010" s="744"/>
      <c r="AI1010" s="292"/>
      <c r="AK1010" s="300"/>
      <c r="AS1010" s="452"/>
    </row>
    <row r="1011" spans="1:45" s="299" customFormat="1" ht="41.4">
      <c r="A1011" s="353">
        <v>630</v>
      </c>
      <c r="B1011" s="352">
        <v>300</v>
      </c>
      <c r="C1011" s="352"/>
      <c r="D1011" s="352"/>
      <c r="E1011" s="352"/>
      <c r="F1011" s="352"/>
      <c r="G1011" s="323" t="s">
        <v>315</v>
      </c>
      <c r="H1011" s="322"/>
      <c r="I1011" s="320"/>
      <c r="J1011" s="320"/>
      <c r="K1011" s="320"/>
      <c r="L1011" s="320"/>
      <c r="M1011" s="320"/>
      <c r="N1011" s="321"/>
      <c r="O1011" s="322"/>
      <c r="P1011" s="320">
        <v>0</v>
      </c>
      <c r="Q1011" s="321"/>
      <c r="R1011" s="322"/>
      <c r="S1011" s="320"/>
      <c r="T1011" s="320"/>
      <c r="U1011" s="320"/>
      <c r="V1011" s="320"/>
      <c r="W1011" s="320"/>
      <c r="X1011" s="320"/>
      <c r="Y1011" s="1392">
        <f t="shared" si="108"/>
        <v>0</v>
      </c>
      <c r="Z1011" s="1389">
        <f t="shared" si="109"/>
        <v>0</v>
      </c>
      <c r="AA1011" s="320">
        <f t="shared" si="110"/>
        <v>0</v>
      </c>
      <c r="AB1011" s="320">
        <f t="shared" si="111"/>
        <v>0</v>
      </c>
      <c r="AC1011" s="320">
        <f t="shared" si="112"/>
        <v>0</v>
      </c>
      <c r="AD1011" s="320">
        <f t="shared" si="113"/>
        <v>0</v>
      </c>
      <c r="AE1011" s="320">
        <f t="shared" si="114"/>
        <v>0</v>
      </c>
      <c r="AF1011" s="355" t="s">
        <v>316</v>
      </c>
      <c r="AG1011" s="838"/>
      <c r="AH1011" s="744"/>
      <c r="AI1011" s="292"/>
      <c r="AK1011" s="300"/>
      <c r="AS1011" s="452"/>
    </row>
    <row r="1012" spans="1:45" s="299" customFormat="1">
      <c r="A1012" s="353">
        <v>630</v>
      </c>
      <c r="B1012" s="352">
        <v>300</v>
      </c>
      <c r="C1012" s="317">
        <v>100</v>
      </c>
      <c r="D1012" s="317"/>
      <c r="E1012" s="317"/>
      <c r="F1012" s="317"/>
      <c r="G1012" s="323" t="s">
        <v>317</v>
      </c>
      <c r="H1012" s="322"/>
      <c r="I1012" s="320"/>
      <c r="J1012" s="320"/>
      <c r="K1012" s="320"/>
      <c r="L1012" s="320"/>
      <c r="M1012" s="320"/>
      <c r="N1012" s="321"/>
      <c r="O1012" s="322"/>
      <c r="P1012" s="320">
        <v>0</v>
      </c>
      <c r="Q1012" s="321"/>
      <c r="R1012" s="322"/>
      <c r="S1012" s="320"/>
      <c r="T1012" s="320"/>
      <c r="U1012" s="320"/>
      <c r="V1012" s="320"/>
      <c r="W1012" s="320"/>
      <c r="X1012" s="320"/>
      <c r="Y1012" s="1392">
        <f t="shared" si="108"/>
        <v>0</v>
      </c>
      <c r="Z1012" s="1389">
        <f t="shared" si="109"/>
        <v>0</v>
      </c>
      <c r="AA1012" s="320">
        <f t="shared" si="110"/>
        <v>0</v>
      </c>
      <c r="AB1012" s="320">
        <f t="shared" si="111"/>
        <v>0</v>
      </c>
      <c r="AC1012" s="320">
        <f t="shared" si="112"/>
        <v>0</v>
      </c>
      <c r="AD1012" s="320">
        <f t="shared" si="113"/>
        <v>0</v>
      </c>
      <c r="AE1012" s="320">
        <f t="shared" si="114"/>
        <v>0</v>
      </c>
      <c r="AF1012" s="310"/>
      <c r="AG1012" s="841"/>
      <c r="AH1012" s="744"/>
      <c r="AI1012" s="292"/>
      <c r="AK1012" s="300"/>
      <c r="AS1012" s="452"/>
    </row>
    <row r="1013" spans="1:45" s="299" customFormat="1">
      <c r="A1013" s="353">
        <v>630</v>
      </c>
      <c r="B1013" s="352">
        <v>300</v>
      </c>
      <c r="C1013" s="317">
        <v>100</v>
      </c>
      <c r="D1013" s="316">
        <v>100</v>
      </c>
      <c r="E1013" s="316"/>
      <c r="F1013" s="316"/>
      <c r="G1013" s="315" t="s">
        <v>225</v>
      </c>
      <c r="H1013" s="314"/>
      <c r="I1013" s="311"/>
      <c r="J1013" s="311"/>
      <c r="K1013" s="311"/>
      <c r="L1013" s="311"/>
      <c r="M1013" s="311"/>
      <c r="N1013" s="312"/>
      <c r="O1013" s="314"/>
      <c r="P1013" s="311">
        <v>0</v>
      </c>
      <c r="Q1013" s="312"/>
      <c r="R1013" s="314">
        <v>606343.66</v>
      </c>
      <c r="S1013" s="311"/>
      <c r="T1013" s="311"/>
      <c r="U1013" s="311">
        <v>586213</v>
      </c>
      <c r="V1013" s="311"/>
      <c r="W1013" s="311"/>
      <c r="X1013" s="311">
        <v>825774</v>
      </c>
      <c r="Y1013" s="1356">
        <f t="shared" si="108"/>
        <v>606343.66</v>
      </c>
      <c r="Z1013" s="1396">
        <f t="shared" si="109"/>
        <v>0</v>
      </c>
      <c r="AA1013" s="311">
        <f t="shared" si="110"/>
        <v>0</v>
      </c>
      <c r="AB1013" s="311">
        <f t="shared" si="111"/>
        <v>586213</v>
      </c>
      <c r="AC1013" s="311">
        <f t="shared" si="112"/>
        <v>0</v>
      </c>
      <c r="AD1013" s="311">
        <f t="shared" si="113"/>
        <v>0</v>
      </c>
      <c r="AE1013" s="311">
        <f t="shared" si="114"/>
        <v>825774</v>
      </c>
      <c r="AF1013" s="310"/>
      <c r="AG1013" s="841">
        <v>-239561</v>
      </c>
      <c r="AH1013" s="744"/>
      <c r="AI1013" s="292"/>
      <c r="AK1013" s="300"/>
      <c r="AS1013" s="452"/>
    </row>
    <row r="1014" spans="1:45" s="299" customFormat="1">
      <c r="A1014" s="353">
        <v>630</v>
      </c>
      <c r="B1014" s="352">
        <v>300</v>
      </c>
      <c r="C1014" s="317">
        <v>100</v>
      </c>
      <c r="D1014" s="316">
        <v>200</v>
      </c>
      <c r="E1014" s="316"/>
      <c r="F1014" s="316"/>
      <c r="G1014" s="315" t="s">
        <v>318</v>
      </c>
      <c r="H1014" s="314"/>
      <c r="I1014" s="311"/>
      <c r="J1014" s="311"/>
      <c r="K1014" s="311"/>
      <c r="L1014" s="311"/>
      <c r="M1014" s="311"/>
      <c r="N1014" s="312"/>
      <c r="O1014" s="314"/>
      <c r="P1014" s="311">
        <v>0</v>
      </c>
      <c r="Q1014" s="312"/>
      <c r="R1014" s="314"/>
      <c r="S1014" s="311"/>
      <c r="T1014" s="311"/>
      <c r="U1014" s="311"/>
      <c r="V1014" s="311"/>
      <c r="W1014" s="311"/>
      <c r="X1014" s="311"/>
      <c r="Y1014" s="1356">
        <f t="shared" si="108"/>
        <v>0</v>
      </c>
      <c r="Z1014" s="1357">
        <f t="shared" si="109"/>
        <v>0</v>
      </c>
      <c r="AA1014" s="311">
        <f t="shared" si="110"/>
        <v>0</v>
      </c>
      <c r="AB1014" s="311">
        <f t="shared" si="111"/>
        <v>0</v>
      </c>
      <c r="AC1014" s="311">
        <f t="shared" si="112"/>
        <v>0</v>
      </c>
      <c r="AD1014" s="311">
        <f t="shared" si="113"/>
        <v>0</v>
      </c>
      <c r="AE1014" s="311">
        <f t="shared" si="114"/>
        <v>0</v>
      </c>
      <c r="AF1014" s="310"/>
      <c r="AG1014" s="841"/>
      <c r="AH1014" s="744"/>
      <c r="AI1014" s="292"/>
      <c r="AK1014" s="300"/>
      <c r="AS1014" s="452"/>
    </row>
    <row r="1015" spans="1:45" s="299" customFormat="1" ht="27.6">
      <c r="A1015" s="353">
        <v>630</v>
      </c>
      <c r="B1015" s="352">
        <v>300</v>
      </c>
      <c r="C1015" s="317">
        <v>100</v>
      </c>
      <c r="D1015" s="316">
        <v>300</v>
      </c>
      <c r="E1015" s="316"/>
      <c r="F1015" s="316"/>
      <c r="G1015" s="315" t="s">
        <v>319</v>
      </c>
      <c r="H1015" s="314"/>
      <c r="I1015" s="311"/>
      <c r="J1015" s="311"/>
      <c r="K1015" s="311"/>
      <c r="L1015" s="311"/>
      <c r="M1015" s="311"/>
      <c r="N1015" s="312"/>
      <c r="O1015" s="314"/>
      <c r="P1015" s="311">
        <v>0</v>
      </c>
      <c r="Q1015" s="312"/>
      <c r="R1015" s="314"/>
      <c r="S1015" s="311"/>
      <c r="T1015" s="311"/>
      <c r="U1015" s="311"/>
      <c r="V1015" s="311"/>
      <c r="W1015" s="311"/>
      <c r="X1015" s="311"/>
      <c r="Y1015" s="1356">
        <f t="shared" si="108"/>
        <v>0</v>
      </c>
      <c r="Z1015" s="1357">
        <f t="shared" si="109"/>
        <v>0</v>
      </c>
      <c r="AA1015" s="311">
        <f t="shared" si="110"/>
        <v>0</v>
      </c>
      <c r="AB1015" s="311">
        <f t="shared" si="111"/>
        <v>0</v>
      </c>
      <c r="AC1015" s="311">
        <f t="shared" si="112"/>
        <v>0</v>
      </c>
      <c r="AD1015" s="311">
        <f t="shared" si="113"/>
        <v>0</v>
      </c>
      <c r="AE1015" s="311">
        <f t="shared" si="114"/>
        <v>0</v>
      </c>
      <c r="AF1015" s="310"/>
      <c r="AG1015" s="841"/>
      <c r="AH1015" s="744"/>
      <c r="AI1015" s="292"/>
      <c r="AK1015" s="300"/>
      <c r="AS1015" s="452"/>
    </row>
    <row r="1016" spans="1:45" s="299" customFormat="1">
      <c r="A1016" s="353">
        <v>630</v>
      </c>
      <c r="B1016" s="352">
        <v>300</v>
      </c>
      <c r="C1016" s="317">
        <v>100</v>
      </c>
      <c r="D1016" s="316">
        <v>400</v>
      </c>
      <c r="E1016" s="316"/>
      <c r="F1016" s="316"/>
      <c r="G1016" s="315" t="s">
        <v>265</v>
      </c>
      <c r="H1016" s="314"/>
      <c r="I1016" s="311"/>
      <c r="J1016" s="311"/>
      <c r="K1016" s="311"/>
      <c r="L1016" s="311"/>
      <c r="M1016" s="311"/>
      <c r="N1016" s="312"/>
      <c r="O1016" s="314"/>
      <c r="P1016" s="311">
        <v>0</v>
      </c>
      <c r="Q1016" s="312"/>
      <c r="R1016" s="314">
        <v>228911.54</v>
      </c>
      <c r="S1016" s="311"/>
      <c r="T1016" s="311"/>
      <c r="U1016" s="311">
        <v>209981.63</v>
      </c>
      <c r="V1016" s="311"/>
      <c r="W1016" s="311"/>
      <c r="X1016" s="311">
        <v>480726</v>
      </c>
      <c r="Y1016" s="1356">
        <f t="shared" si="108"/>
        <v>228911.54</v>
      </c>
      <c r="Z1016" s="1396">
        <f t="shared" si="109"/>
        <v>0</v>
      </c>
      <c r="AA1016" s="311">
        <f t="shared" si="110"/>
        <v>0</v>
      </c>
      <c r="AB1016" s="311">
        <f t="shared" si="111"/>
        <v>209981.63</v>
      </c>
      <c r="AC1016" s="311">
        <f t="shared" si="112"/>
        <v>0</v>
      </c>
      <c r="AD1016" s="311">
        <f t="shared" si="113"/>
        <v>0</v>
      </c>
      <c r="AE1016" s="311">
        <f t="shared" si="114"/>
        <v>480726</v>
      </c>
      <c r="AF1016" s="310"/>
      <c r="AG1016" s="841">
        <v>-47426</v>
      </c>
      <c r="AH1016" s="744"/>
      <c r="AI1016" s="292"/>
      <c r="AK1016" s="300"/>
      <c r="AS1016" s="452"/>
    </row>
    <row r="1017" spans="1:45" s="299" customFormat="1">
      <c r="A1017" s="353">
        <v>630</v>
      </c>
      <c r="B1017" s="352">
        <v>300</v>
      </c>
      <c r="C1017" s="317">
        <v>100</v>
      </c>
      <c r="D1017" s="316">
        <v>500</v>
      </c>
      <c r="E1017" s="316"/>
      <c r="F1017" s="316"/>
      <c r="G1017" s="315" t="s">
        <v>320</v>
      </c>
      <c r="H1017" s="314"/>
      <c r="I1017" s="311"/>
      <c r="J1017" s="311"/>
      <c r="K1017" s="311"/>
      <c r="L1017" s="311"/>
      <c r="M1017" s="311"/>
      <c r="N1017" s="312"/>
      <c r="O1017" s="314"/>
      <c r="P1017" s="311">
        <v>0</v>
      </c>
      <c r="Q1017" s="312"/>
      <c r="R1017" s="314"/>
      <c r="S1017" s="326"/>
      <c r="T1017" s="326"/>
      <c r="U1017" s="326"/>
      <c r="V1017" s="326"/>
      <c r="W1017" s="326"/>
      <c r="X1017" s="326"/>
      <c r="Y1017" s="1356">
        <f t="shared" si="108"/>
        <v>0</v>
      </c>
      <c r="Z1017" s="1351">
        <f t="shared" si="109"/>
        <v>0</v>
      </c>
      <c r="AA1017" s="326">
        <f t="shared" si="110"/>
        <v>0</v>
      </c>
      <c r="AB1017" s="326">
        <f t="shared" si="111"/>
        <v>0</v>
      </c>
      <c r="AC1017" s="326">
        <f t="shared" si="112"/>
        <v>0</v>
      </c>
      <c r="AD1017" s="326">
        <f t="shared" si="113"/>
        <v>0</v>
      </c>
      <c r="AE1017" s="326">
        <f t="shared" si="114"/>
        <v>0</v>
      </c>
      <c r="AF1017" s="310"/>
      <c r="AG1017" s="841"/>
      <c r="AH1017" s="744"/>
      <c r="AI1017" s="292"/>
      <c r="AK1017" s="300"/>
      <c r="AS1017" s="452"/>
    </row>
    <row r="1018" spans="1:45" s="299" customFormat="1">
      <c r="A1018" s="353">
        <v>630</v>
      </c>
      <c r="B1018" s="352">
        <v>300</v>
      </c>
      <c r="C1018" s="317">
        <v>100</v>
      </c>
      <c r="D1018" s="316">
        <v>600</v>
      </c>
      <c r="E1018" s="316"/>
      <c r="F1018" s="316"/>
      <c r="G1018" s="315" t="s">
        <v>321</v>
      </c>
      <c r="H1018" s="314"/>
      <c r="I1018" s="311"/>
      <c r="J1018" s="311"/>
      <c r="K1018" s="311"/>
      <c r="L1018" s="311"/>
      <c r="M1018" s="311"/>
      <c r="N1018" s="312"/>
      <c r="O1018" s="314"/>
      <c r="P1018" s="311">
        <v>0</v>
      </c>
      <c r="Q1018" s="312"/>
      <c r="R1018" s="314"/>
      <c r="S1018" s="326"/>
      <c r="T1018" s="326"/>
      <c r="U1018" s="326"/>
      <c r="V1018" s="326"/>
      <c r="W1018" s="326"/>
      <c r="X1018" s="326"/>
      <c r="Y1018" s="1356">
        <f t="shared" si="108"/>
        <v>0</v>
      </c>
      <c r="Z1018" s="1351">
        <f t="shared" si="109"/>
        <v>0</v>
      </c>
      <c r="AA1018" s="326">
        <f t="shared" si="110"/>
        <v>0</v>
      </c>
      <c r="AB1018" s="326">
        <f t="shared" si="111"/>
        <v>0</v>
      </c>
      <c r="AC1018" s="326">
        <f t="shared" si="112"/>
        <v>0</v>
      </c>
      <c r="AD1018" s="326">
        <f t="shared" si="113"/>
        <v>0</v>
      </c>
      <c r="AE1018" s="326">
        <f t="shared" si="114"/>
        <v>0</v>
      </c>
      <c r="AF1018" s="310"/>
      <c r="AG1018" s="841"/>
      <c r="AH1018" s="744"/>
      <c r="AI1018" s="292"/>
      <c r="AK1018" s="300"/>
      <c r="AS1018" s="452"/>
    </row>
    <row r="1019" spans="1:45" s="299" customFormat="1" ht="27.6">
      <c r="A1019" s="353">
        <v>630</v>
      </c>
      <c r="B1019" s="352">
        <v>300</v>
      </c>
      <c r="C1019" s="317">
        <v>100</v>
      </c>
      <c r="D1019" s="316">
        <v>900</v>
      </c>
      <c r="E1019" s="316"/>
      <c r="F1019" s="316"/>
      <c r="G1019" s="315" t="s">
        <v>322</v>
      </c>
      <c r="H1019" s="314"/>
      <c r="I1019" s="311"/>
      <c r="J1019" s="311"/>
      <c r="K1019" s="311"/>
      <c r="L1019" s="311"/>
      <c r="M1019" s="311"/>
      <c r="N1019" s="312"/>
      <c r="O1019" s="314"/>
      <c r="P1019" s="311">
        <v>0</v>
      </c>
      <c r="Q1019" s="312"/>
      <c r="R1019" s="314"/>
      <c r="S1019" s="326"/>
      <c r="T1019" s="326"/>
      <c r="U1019" s="326"/>
      <c r="V1019" s="326"/>
      <c r="W1019" s="326"/>
      <c r="X1019" s="326"/>
      <c r="Y1019" s="1356">
        <f t="shared" si="108"/>
        <v>0</v>
      </c>
      <c r="Z1019" s="1351">
        <f t="shared" si="109"/>
        <v>0</v>
      </c>
      <c r="AA1019" s="326">
        <f t="shared" si="110"/>
        <v>0</v>
      </c>
      <c r="AB1019" s="326">
        <f t="shared" si="111"/>
        <v>0</v>
      </c>
      <c r="AC1019" s="326">
        <f t="shared" si="112"/>
        <v>0</v>
      </c>
      <c r="AD1019" s="326">
        <f t="shared" si="113"/>
        <v>0</v>
      </c>
      <c r="AE1019" s="326">
        <f t="shared" si="114"/>
        <v>0</v>
      </c>
      <c r="AF1019" s="310"/>
      <c r="AG1019" s="841"/>
      <c r="AH1019" s="744"/>
      <c r="AI1019" s="292"/>
      <c r="AK1019" s="300"/>
      <c r="AS1019" s="452"/>
    </row>
    <row r="1020" spans="1:45" s="299" customFormat="1">
      <c r="A1020" s="353">
        <v>630</v>
      </c>
      <c r="B1020" s="352">
        <v>300</v>
      </c>
      <c r="C1020" s="317">
        <v>200</v>
      </c>
      <c r="D1020" s="317"/>
      <c r="E1020" s="317"/>
      <c r="F1020" s="317"/>
      <c r="G1020" s="323" t="s">
        <v>323</v>
      </c>
      <c r="H1020" s="322"/>
      <c r="I1020" s="320"/>
      <c r="J1020" s="320"/>
      <c r="K1020" s="320"/>
      <c r="L1020" s="320"/>
      <c r="M1020" s="320"/>
      <c r="N1020" s="321"/>
      <c r="O1020" s="322"/>
      <c r="P1020" s="320">
        <v>0</v>
      </c>
      <c r="Q1020" s="321"/>
      <c r="R1020" s="322"/>
      <c r="S1020" s="320"/>
      <c r="T1020" s="320"/>
      <c r="U1020" s="320"/>
      <c r="V1020" s="320"/>
      <c r="W1020" s="320"/>
      <c r="X1020" s="320"/>
      <c r="Y1020" s="1392">
        <f t="shared" si="108"/>
        <v>0</v>
      </c>
      <c r="Z1020" s="1389">
        <f t="shared" si="109"/>
        <v>0</v>
      </c>
      <c r="AA1020" s="320">
        <f t="shared" si="110"/>
        <v>0</v>
      </c>
      <c r="AB1020" s="320">
        <f t="shared" si="111"/>
        <v>0</v>
      </c>
      <c r="AC1020" s="320">
        <f t="shared" si="112"/>
        <v>0</v>
      </c>
      <c r="AD1020" s="320">
        <f t="shared" si="113"/>
        <v>0</v>
      </c>
      <c r="AE1020" s="320">
        <f t="shared" si="114"/>
        <v>0</v>
      </c>
      <c r="AF1020" s="310"/>
      <c r="AG1020" s="841"/>
      <c r="AH1020" s="744"/>
      <c r="AI1020" s="292"/>
      <c r="AK1020" s="300"/>
      <c r="AS1020" s="452"/>
    </row>
    <row r="1021" spans="1:45" s="299" customFormat="1">
      <c r="A1021" s="353">
        <v>630</v>
      </c>
      <c r="B1021" s="352">
        <v>300</v>
      </c>
      <c r="C1021" s="317">
        <v>200</v>
      </c>
      <c r="D1021" s="316">
        <v>50</v>
      </c>
      <c r="E1021" s="316"/>
      <c r="F1021" s="316"/>
      <c r="G1021" s="315" t="s">
        <v>324</v>
      </c>
      <c r="H1021" s="314"/>
      <c r="I1021" s="311"/>
      <c r="J1021" s="311"/>
      <c r="K1021" s="311"/>
      <c r="L1021" s="311"/>
      <c r="M1021" s="311"/>
      <c r="N1021" s="312"/>
      <c r="O1021" s="314"/>
      <c r="P1021" s="311">
        <v>0</v>
      </c>
      <c r="Q1021" s="312"/>
      <c r="R1021" s="314"/>
      <c r="S1021" s="311"/>
      <c r="T1021" s="311"/>
      <c r="U1021" s="311"/>
      <c r="V1021" s="311"/>
      <c r="W1021" s="311"/>
      <c r="X1021" s="311"/>
      <c r="Y1021" s="1356">
        <f t="shared" si="108"/>
        <v>0</v>
      </c>
      <c r="Z1021" s="1357">
        <f t="shared" si="109"/>
        <v>0</v>
      </c>
      <c r="AA1021" s="311">
        <f t="shared" si="110"/>
        <v>0</v>
      </c>
      <c r="AB1021" s="311">
        <f t="shared" si="111"/>
        <v>0</v>
      </c>
      <c r="AC1021" s="311">
        <f t="shared" si="112"/>
        <v>0</v>
      </c>
      <c r="AD1021" s="311">
        <f t="shared" si="113"/>
        <v>0</v>
      </c>
      <c r="AE1021" s="311">
        <f t="shared" si="114"/>
        <v>0</v>
      </c>
      <c r="AF1021" s="310"/>
      <c r="AG1021" s="841"/>
      <c r="AH1021" s="744"/>
      <c r="AI1021" s="292"/>
      <c r="AK1021" s="300"/>
      <c r="AS1021" s="452"/>
    </row>
    <row r="1022" spans="1:45" s="299" customFormat="1">
      <c r="A1022" s="353">
        <v>630</v>
      </c>
      <c r="B1022" s="352">
        <v>300</v>
      </c>
      <c r="C1022" s="317">
        <v>200</v>
      </c>
      <c r="D1022" s="316">
        <v>100</v>
      </c>
      <c r="E1022" s="316"/>
      <c r="F1022" s="316"/>
      <c r="G1022" s="315" t="s">
        <v>325</v>
      </c>
      <c r="H1022" s="314"/>
      <c r="I1022" s="311"/>
      <c r="J1022" s="311"/>
      <c r="K1022" s="311"/>
      <c r="L1022" s="311"/>
      <c r="M1022" s="311"/>
      <c r="N1022" s="312"/>
      <c r="O1022" s="314"/>
      <c r="P1022" s="311">
        <v>0</v>
      </c>
      <c r="Q1022" s="312"/>
      <c r="R1022" s="314"/>
      <c r="S1022" s="311"/>
      <c r="T1022" s="311"/>
      <c r="U1022" s="311"/>
      <c r="V1022" s="311"/>
      <c r="W1022" s="311"/>
      <c r="X1022" s="311"/>
      <c r="Y1022" s="1356">
        <f t="shared" si="108"/>
        <v>0</v>
      </c>
      <c r="Z1022" s="1357">
        <f t="shared" si="109"/>
        <v>0</v>
      </c>
      <c r="AA1022" s="311">
        <f t="shared" si="110"/>
        <v>0</v>
      </c>
      <c r="AB1022" s="311">
        <f t="shared" si="111"/>
        <v>0</v>
      </c>
      <c r="AC1022" s="311">
        <f t="shared" si="112"/>
        <v>0</v>
      </c>
      <c r="AD1022" s="311">
        <f t="shared" si="113"/>
        <v>0</v>
      </c>
      <c r="AE1022" s="311">
        <f t="shared" si="114"/>
        <v>0</v>
      </c>
      <c r="AF1022" s="310"/>
      <c r="AG1022" s="841"/>
      <c r="AH1022" s="744"/>
      <c r="AI1022" s="292"/>
      <c r="AK1022" s="300"/>
      <c r="AS1022" s="452"/>
    </row>
    <row r="1023" spans="1:45" s="299" customFormat="1">
      <c r="A1023" s="353">
        <v>630</v>
      </c>
      <c r="B1023" s="352">
        <v>300</v>
      </c>
      <c r="C1023" s="317">
        <v>200</v>
      </c>
      <c r="D1023" s="316">
        <v>150</v>
      </c>
      <c r="E1023" s="316"/>
      <c r="F1023" s="316"/>
      <c r="G1023" s="315" t="s">
        <v>326</v>
      </c>
      <c r="H1023" s="314"/>
      <c r="I1023" s="311"/>
      <c r="J1023" s="311"/>
      <c r="K1023" s="311"/>
      <c r="L1023" s="311"/>
      <c r="M1023" s="311"/>
      <c r="N1023" s="312"/>
      <c r="O1023" s="314"/>
      <c r="P1023" s="311">
        <v>0</v>
      </c>
      <c r="Q1023" s="312"/>
      <c r="R1023" s="314"/>
      <c r="S1023" s="311"/>
      <c r="T1023" s="311"/>
      <c r="U1023" s="311"/>
      <c r="V1023" s="311"/>
      <c r="W1023" s="311"/>
      <c r="X1023" s="311"/>
      <c r="Y1023" s="1356">
        <f t="shared" si="108"/>
        <v>0</v>
      </c>
      <c r="Z1023" s="1357">
        <f t="shared" si="109"/>
        <v>0</v>
      </c>
      <c r="AA1023" s="311">
        <f t="shared" si="110"/>
        <v>0</v>
      </c>
      <c r="AB1023" s="311">
        <f t="shared" si="111"/>
        <v>0</v>
      </c>
      <c r="AC1023" s="311">
        <f t="shared" si="112"/>
        <v>0</v>
      </c>
      <c r="AD1023" s="311">
        <f t="shared" si="113"/>
        <v>0</v>
      </c>
      <c r="AE1023" s="311">
        <f t="shared" si="114"/>
        <v>0</v>
      </c>
      <c r="AF1023" s="310"/>
      <c r="AG1023" s="841"/>
      <c r="AH1023" s="744"/>
      <c r="AI1023" s="292"/>
      <c r="AK1023" s="300"/>
      <c r="AS1023" s="452"/>
    </row>
    <row r="1024" spans="1:45" s="299" customFormat="1" ht="27.6">
      <c r="A1024" s="353">
        <v>630</v>
      </c>
      <c r="B1024" s="352">
        <v>300</v>
      </c>
      <c r="C1024" s="317">
        <v>200</v>
      </c>
      <c r="D1024" s="316">
        <v>200</v>
      </c>
      <c r="E1024" s="316"/>
      <c r="F1024" s="316"/>
      <c r="G1024" s="315" t="s">
        <v>327</v>
      </c>
      <c r="H1024" s="314"/>
      <c r="I1024" s="311"/>
      <c r="J1024" s="311"/>
      <c r="K1024" s="311"/>
      <c r="L1024" s="311"/>
      <c r="M1024" s="311"/>
      <c r="N1024" s="312"/>
      <c r="O1024" s="314"/>
      <c r="P1024" s="311">
        <v>0</v>
      </c>
      <c r="Q1024" s="312"/>
      <c r="R1024" s="314"/>
      <c r="S1024" s="311"/>
      <c r="T1024" s="311"/>
      <c r="U1024" s="311"/>
      <c r="V1024" s="311"/>
      <c r="W1024" s="311"/>
      <c r="X1024" s="311"/>
      <c r="Y1024" s="1356">
        <f t="shared" si="108"/>
        <v>0</v>
      </c>
      <c r="Z1024" s="1357">
        <f t="shared" si="109"/>
        <v>0</v>
      </c>
      <c r="AA1024" s="311">
        <f t="shared" si="110"/>
        <v>0</v>
      </c>
      <c r="AB1024" s="311">
        <f t="shared" si="111"/>
        <v>0</v>
      </c>
      <c r="AC1024" s="311">
        <f t="shared" si="112"/>
        <v>0</v>
      </c>
      <c r="AD1024" s="311">
        <f t="shared" si="113"/>
        <v>0</v>
      </c>
      <c r="AE1024" s="311">
        <f t="shared" si="114"/>
        <v>0</v>
      </c>
      <c r="AF1024" s="310"/>
      <c r="AG1024" s="841"/>
      <c r="AH1024" s="744"/>
      <c r="AI1024" s="292"/>
      <c r="AK1024" s="300"/>
      <c r="AS1024" s="452"/>
    </row>
    <row r="1025" spans="1:45" s="299" customFormat="1">
      <c r="A1025" s="353">
        <v>630</v>
      </c>
      <c r="B1025" s="352">
        <v>300</v>
      </c>
      <c r="C1025" s="317">
        <v>200</v>
      </c>
      <c r="D1025" s="316">
        <v>250</v>
      </c>
      <c r="E1025" s="316"/>
      <c r="F1025" s="316"/>
      <c r="G1025" s="315" t="s">
        <v>328</v>
      </c>
      <c r="H1025" s="314"/>
      <c r="I1025" s="311"/>
      <c r="J1025" s="311"/>
      <c r="K1025" s="311"/>
      <c r="L1025" s="311"/>
      <c r="M1025" s="311"/>
      <c r="N1025" s="312"/>
      <c r="O1025" s="314"/>
      <c r="P1025" s="311">
        <v>0</v>
      </c>
      <c r="Q1025" s="312"/>
      <c r="R1025" s="314"/>
      <c r="S1025" s="311"/>
      <c r="T1025" s="311"/>
      <c r="U1025" s="311"/>
      <c r="V1025" s="311"/>
      <c r="W1025" s="311"/>
      <c r="X1025" s="311"/>
      <c r="Y1025" s="1356">
        <f t="shared" si="108"/>
        <v>0</v>
      </c>
      <c r="Z1025" s="1357">
        <f t="shared" si="109"/>
        <v>0</v>
      </c>
      <c r="AA1025" s="311">
        <f t="shared" si="110"/>
        <v>0</v>
      </c>
      <c r="AB1025" s="311">
        <f t="shared" si="111"/>
        <v>0</v>
      </c>
      <c r="AC1025" s="311">
        <f t="shared" si="112"/>
        <v>0</v>
      </c>
      <c r="AD1025" s="311">
        <f t="shared" si="113"/>
        <v>0</v>
      </c>
      <c r="AE1025" s="311">
        <f t="shared" si="114"/>
        <v>0</v>
      </c>
      <c r="AF1025" s="310"/>
      <c r="AG1025" s="841"/>
      <c r="AH1025" s="744"/>
      <c r="AI1025" s="292"/>
      <c r="AK1025" s="300"/>
      <c r="AS1025" s="452"/>
    </row>
    <row r="1026" spans="1:45" s="299" customFormat="1" ht="27.6">
      <c r="A1026" s="353">
        <v>630</v>
      </c>
      <c r="B1026" s="352">
        <v>300</v>
      </c>
      <c r="C1026" s="317">
        <v>200</v>
      </c>
      <c r="D1026" s="316">
        <v>300</v>
      </c>
      <c r="E1026" s="316"/>
      <c r="F1026" s="316"/>
      <c r="G1026" s="315" t="s">
        <v>329</v>
      </c>
      <c r="H1026" s="314"/>
      <c r="I1026" s="311"/>
      <c r="J1026" s="311"/>
      <c r="K1026" s="311"/>
      <c r="L1026" s="311"/>
      <c r="M1026" s="311"/>
      <c r="N1026" s="312"/>
      <c r="O1026" s="314"/>
      <c r="P1026" s="311">
        <v>0</v>
      </c>
      <c r="Q1026" s="312"/>
      <c r="R1026" s="314"/>
      <c r="S1026" s="311"/>
      <c r="T1026" s="311"/>
      <c r="U1026" s="311"/>
      <c r="V1026" s="311"/>
      <c r="W1026" s="311"/>
      <c r="X1026" s="311"/>
      <c r="Y1026" s="1356">
        <f t="shared" si="108"/>
        <v>0</v>
      </c>
      <c r="Z1026" s="1357">
        <f t="shared" si="109"/>
        <v>0</v>
      </c>
      <c r="AA1026" s="311">
        <f t="shared" si="110"/>
        <v>0</v>
      </c>
      <c r="AB1026" s="311">
        <f t="shared" si="111"/>
        <v>0</v>
      </c>
      <c r="AC1026" s="311">
        <f t="shared" si="112"/>
        <v>0</v>
      </c>
      <c r="AD1026" s="311">
        <f t="shared" si="113"/>
        <v>0</v>
      </c>
      <c r="AE1026" s="311">
        <f t="shared" si="114"/>
        <v>0</v>
      </c>
      <c r="AF1026" s="310"/>
      <c r="AG1026" s="841"/>
      <c r="AH1026" s="744"/>
      <c r="AI1026" s="292"/>
      <c r="AK1026" s="300"/>
      <c r="AS1026" s="452"/>
    </row>
    <row r="1027" spans="1:45" s="299" customFormat="1">
      <c r="A1027" s="353">
        <v>630</v>
      </c>
      <c r="B1027" s="352">
        <v>300</v>
      </c>
      <c r="C1027" s="317">
        <v>200</v>
      </c>
      <c r="D1027" s="316">
        <v>350</v>
      </c>
      <c r="E1027" s="316"/>
      <c r="F1027" s="316"/>
      <c r="G1027" s="315" t="s">
        <v>330</v>
      </c>
      <c r="H1027" s="314"/>
      <c r="I1027" s="311"/>
      <c r="J1027" s="311"/>
      <c r="K1027" s="311"/>
      <c r="L1027" s="311"/>
      <c r="M1027" s="311"/>
      <c r="N1027" s="312"/>
      <c r="O1027" s="314"/>
      <c r="P1027" s="311">
        <v>0</v>
      </c>
      <c r="Q1027" s="312"/>
      <c r="R1027" s="314"/>
      <c r="S1027" s="311"/>
      <c r="T1027" s="311"/>
      <c r="U1027" s="311"/>
      <c r="V1027" s="311"/>
      <c r="W1027" s="311"/>
      <c r="X1027" s="311"/>
      <c r="Y1027" s="1356">
        <f t="shared" si="108"/>
        <v>0</v>
      </c>
      <c r="Z1027" s="1357">
        <f t="shared" si="109"/>
        <v>0</v>
      </c>
      <c r="AA1027" s="311">
        <f t="shared" si="110"/>
        <v>0</v>
      </c>
      <c r="AB1027" s="311">
        <f t="shared" si="111"/>
        <v>0</v>
      </c>
      <c r="AC1027" s="311">
        <f t="shared" si="112"/>
        <v>0</v>
      </c>
      <c r="AD1027" s="311">
        <f t="shared" si="113"/>
        <v>0</v>
      </c>
      <c r="AE1027" s="311">
        <f t="shared" si="114"/>
        <v>0</v>
      </c>
      <c r="AF1027" s="310"/>
      <c r="AG1027" s="841"/>
      <c r="AH1027" s="744"/>
      <c r="AI1027" s="292"/>
      <c r="AK1027" s="300"/>
      <c r="AS1027" s="452"/>
    </row>
    <row r="1028" spans="1:45" s="299" customFormat="1" ht="27.6">
      <c r="A1028" s="353">
        <v>630</v>
      </c>
      <c r="B1028" s="352">
        <v>300</v>
      </c>
      <c r="C1028" s="317">
        <v>200</v>
      </c>
      <c r="D1028" s="316">
        <v>400</v>
      </c>
      <c r="E1028" s="316"/>
      <c r="F1028" s="316"/>
      <c r="G1028" s="315" t="s">
        <v>331</v>
      </c>
      <c r="H1028" s="314"/>
      <c r="I1028" s="311"/>
      <c r="J1028" s="311"/>
      <c r="K1028" s="311"/>
      <c r="L1028" s="311"/>
      <c r="M1028" s="311"/>
      <c r="N1028" s="312"/>
      <c r="O1028" s="314"/>
      <c r="P1028" s="311">
        <v>0</v>
      </c>
      <c r="Q1028" s="312"/>
      <c r="R1028" s="314"/>
      <c r="S1028" s="311"/>
      <c r="T1028" s="311"/>
      <c r="U1028" s="311"/>
      <c r="V1028" s="311"/>
      <c r="W1028" s="311"/>
      <c r="X1028" s="311"/>
      <c r="Y1028" s="1356">
        <f t="shared" si="108"/>
        <v>0</v>
      </c>
      <c r="Z1028" s="1357">
        <f t="shared" si="109"/>
        <v>0</v>
      </c>
      <c r="AA1028" s="311">
        <f t="shared" si="110"/>
        <v>0</v>
      </c>
      <c r="AB1028" s="311">
        <f t="shared" si="111"/>
        <v>0</v>
      </c>
      <c r="AC1028" s="311">
        <f t="shared" si="112"/>
        <v>0</v>
      </c>
      <c r="AD1028" s="311">
        <f t="shared" si="113"/>
        <v>0</v>
      </c>
      <c r="AE1028" s="311">
        <f t="shared" si="114"/>
        <v>0</v>
      </c>
      <c r="AF1028" s="310"/>
      <c r="AG1028" s="841"/>
      <c r="AH1028" s="744"/>
      <c r="AI1028" s="292"/>
      <c r="AK1028" s="300"/>
      <c r="AS1028" s="452"/>
    </row>
    <row r="1029" spans="1:45" s="299" customFormat="1" ht="27.6">
      <c r="A1029" s="353">
        <v>630</v>
      </c>
      <c r="B1029" s="352">
        <v>300</v>
      </c>
      <c r="C1029" s="317">
        <v>200</v>
      </c>
      <c r="D1029" s="316">
        <v>450</v>
      </c>
      <c r="E1029" s="316"/>
      <c r="F1029" s="316"/>
      <c r="G1029" s="315" t="s">
        <v>332</v>
      </c>
      <c r="H1029" s="314"/>
      <c r="I1029" s="311"/>
      <c r="J1029" s="311"/>
      <c r="K1029" s="311"/>
      <c r="L1029" s="311"/>
      <c r="M1029" s="311"/>
      <c r="N1029" s="312"/>
      <c r="O1029" s="314"/>
      <c r="P1029" s="311">
        <v>0</v>
      </c>
      <c r="Q1029" s="312"/>
      <c r="R1029" s="314"/>
      <c r="S1029" s="311"/>
      <c r="T1029" s="311"/>
      <c r="U1029" s="311"/>
      <c r="V1029" s="311"/>
      <c r="W1029" s="311"/>
      <c r="X1029" s="311"/>
      <c r="Y1029" s="1356">
        <f t="shared" si="108"/>
        <v>0</v>
      </c>
      <c r="Z1029" s="1357">
        <f t="shared" si="109"/>
        <v>0</v>
      </c>
      <c r="AA1029" s="311">
        <f t="shared" si="110"/>
        <v>0</v>
      </c>
      <c r="AB1029" s="311">
        <f t="shared" si="111"/>
        <v>0</v>
      </c>
      <c r="AC1029" s="311">
        <f t="shared" si="112"/>
        <v>0</v>
      </c>
      <c r="AD1029" s="311">
        <f t="shared" si="113"/>
        <v>0</v>
      </c>
      <c r="AE1029" s="311">
        <f t="shared" si="114"/>
        <v>0</v>
      </c>
      <c r="AF1029" s="310"/>
      <c r="AG1029" s="841"/>
      <c r="AH1029" s="744"/>
      <c r="AI1029" s="292"/>
      <c r="AK1029" s="300"/>
      <c r="AS1029" s="452"/>
    </row>
    <row r="1030" spans="1:45" s="299" customFormat="1">
      <c r="A1030" s="353">
        <v>630</v>
      </c>
      <c r="B1030" s="352">
        <v>300</v>
      </c>
      <c r="C1030" s="317">
        <v>200</v>
      </c>
      <c r="D1030" s="316">
        <v>500</v>
      </c>
      <c r="E1030" s="316"/>
      <c r="F1030" s="316"/>
      <c r="G1030" s="315" t="s">
        <v>333</v>
      </c>
      <c r="H1030" s="314"/>
      <c r="I1030" s="311"/>
      <c r="J1030" s="311"/>
      <c r="K1030" s="311"/>
      <c r="L1030" s="311"/>
      <c r="M1030" s="311"/>
      <c r="N1030" s="312"/>
      <c r="O1030" s="314"/>
      <c r="P1030" s="311">
        <v>0</v>
      </c>
      <c r="Q1030" s="312"/>
      <c r="R1030" s="314"/>
      <c r="S1030" s="311"/>
      <c r="T1030" s="311"/>
      <c r="U1030" s="311"/>
      <c r="V1030" s="311"/>
      <c r="W1030" s="311"/>
      <c r="X1030" s="311"/>
      <c r="Y1030" s="1356">
        <f t="shared" si="108"/>
        <v>0</v>
      </c>
      <c r="Z1030" s="1357">
        <f t="shared" si="109"/>
        <v>0</v>
      </c>
      <c r="AA1030" s="311">
        <f t="shared" si="110"/>
        <v>0</v>
      </c>
      <c r="AB1030" s="311">
        <f t="shared" si="111"/>
        <v>0</v>
      </c>
      <c r="AC1030" s="311">
        <f t="shared" si="112"/>
        <v>0</v>
      </c>
      <c r="AD1030" s="311">
        <f t="shared" si="113"/>
        <v>0</v>
      </c>
      <c r="AE1030" s="311">
        <f t="shared" si="114"/>
        <v>0</v>
      </c>
      <c r="AF1030" s="310"/>
      <c r="AG1030" s="841"/>
      <c r="AH1030" s="744"/>
      <c r="AI1030" s="292"/>
      <c r="AK1030" s="300"/>
      <c r="AS1030" s="452"/>
    </row>
    <row r="1031" spans="1:45" s="299" customFormat="1">
      <c r="A1031" s="353">
        <v>630</v>
      </c>
      <c r="B1031" s="352">
        <v>300</v>
      </c>
      <c r="C1031" s="317">
        <v>200</v>
      </c>
      <c r="D1031" s="316">
        <v>550</v>
      </c>
      <c r="E1031" s="316"/>
      <c r="F1031" s="316"/>
      <c r="G1031" s="315" t="s">
        <v>334</v>
      </c>
      <c r="H1031" s="314"/>
      <c r="I1031" s="311"/>
      <c r="J1031" s="311"/>
      <c r="K1031" s="311"/>
      <c r="L1031" s="311"/>
      <c r="M1031" s="311"/>
      <c r="N1031" s="312"/>
      <c r="O1031" s="314"/>
      <c r="P1031" s="311">
        <v>0</v>
      </c>
      <c r="Q1031" s="312"/>
      <c r="R1031" s="314"/>
      <c r="S1031" s="311"/>
      <c r="T1031" s="311"/>
      <c r="U1031" s="311"/>
      <c r="V1031" s="311"/>
      <c r="W1031" s="311"/>
      <c r="X1031" s="311"/>
      <c r="Y1031" s="1356">
        <f t="shared" ref="Y1031:Y1094" si="115">+H1031+O1031+R1031</f>
        <v>0</v>
      </c>
      <c r="Z1031" s="1357">
        <f t="shared" ref="Z1031:Z1094" si="116">+I1031+S1031</f>
        <v>0</v>
      </c>
      <c r="AA1031" s="311">
        <f t="shared" ref="AA1031:AA1094" si="117">+J1031+T1031</f>
        <v>0</v>
      </c>
      <c r="AB1031" s="311">
        <f t="shared" ref="AB1031:AB1094" si="118">+K1031+P1031+U1031</f>
        <v>0</v>
      </c>
      <c r="AC1031" s="311">
        <f t="shared" ref="AC1031:AC1094" si="119">+L1031+V1031</f>
        <v>0</v>
      </c>
      <c r="AD1031" s="311">
        <f t="shared" ref="AD1031:AD1094" si="120">+M1031+W1031</f>
        <v>0</v>
      </c>
      <c r="AE1031" s="311">
        <f t="shared" ref="AE1031:AE1094" si="121">+N1031+X1031+Q1031</f>
        <v>0</v>
      </c>
      <c r="AF1031" s="310"/>
      <c r="AG1031" s="841"/>
      <c r="AH1031" s="744"/>
      <c r="AI1031" s="292"/>
      <c r="AK1031" s="300"/>
      <c r="AS1031" s="452"/>
    </row>
    <row r="1032" spans="1:45" s="299" customFormat="1">
      <c r="A1032" s="353">
        <v>630</v>
      </c>
      <c r="B1032" s="352">
        <v>300</v>
      </c>
      <c r="C1032" s="317">
        <v>200</v>
      </c>
      <c r="D1032" s="316">
        <v>600</v>
      </c>
      <c r="E1032" s="316"/>
      <c r="F1032" s="316"/>
      <c r="G1032" s="315" t="s">
        <v>335</v>
      </c>
      <c r="H1032" s="314"/>
      <c r="I1032" s="311"/>
      <c r="J1032" s="311"/>
      <c r="K1032" s="311"/>
      <c r="L1032" s="311"/>
      <c r="M1032" s="311"/>
      <c r="N1032" s="312"/>
      <c r="O1032" s="314"/>
      <c r="P1032" s="311">
        <v>0</v>
      </c>
      <c r="Q1032" s="312"/>
      <c r="R1032" s="314"/>
      <c r="S1032" s="311"/>
      <c r="T1032" s="311"/>
      <c r="U1032" s="311"/>
      <c r="V1032" s="311"/>
      <c r="W1032" s="311"/>
      <c r="X1032" s="311"/>
      <c r="Y1032" s="1356">
        <f t="shared" si="115"/>
        <v>0</v>
      </c>
      <c r="Z1032" s="1357">
        <f t="shared" si="116"/>
        <v>0</v>
      </c>
      <c r="AA1032" s="311">
        <f t="shared" si="117"/>
        <v>0</v>
      </c>
      <c r="AB1032" s="311">
        <f t="shared" si="118"/>
        <v>0</v>
      </c>
      <c r="AC1032" s="311">
        <f t="shared" si="119"/>
        <v>0</v>
      </c>
      <c r="AD1032" s="311">
        <f t="shared" si="120"/>
        <v>0</v>
      </c>
      <c r="AE1032" s="311">
        <f t="shared" si="121"/>
        <v>0</v>
      </c>
      <c r="AF1032" s="310"/>
      <c r="AG1032" s="841"/>
      <c r="AH1032" s="744"/>
      <c r="AI1032" s="292"/>
      <c r="AK1032" s="300"/>
      <c r="AS1032" s="452"/>
    </row>
    <row r="1033" spans="1:45" s="299" customFormat="1">
      <c r="A1033" s="353">
        <v>630</v>
      </c>
      <c r="B1033" s="352">
        <v>300</v>
      </c>
      <c r="C1033" s="317">
        <v>200</v>
      </c>
      <c r="D1033" s="316">
        <v>650</v>
      </c>
      <c r="E1033" s="316"/>
      <c r="F1033" s="316"/>
      <c r="G1033" s="315" t="s">
        <v>336</v>
      </c>
      <c r="H1033" s="314"/>
      <c r="I1033" s="311"/>
      <c r="J1033" s="311"/>
      <c r="K1033" s="311"/>
      <c r="L1033" s="311"/>
      <c r="M1033" s="311"/>
      <c r="N1033" s="312"/>
      <c r="O1033" s="314"/>
      <c r="P1033" s="311">
        <v>0</v>
      </c>
      <c r="Q1033" s="312"/>
      <c r="R1033" s="314"/>
      <c r="S1033" s="311"/>
      <c r="T1033" s="311"/>
      <c r="U1033" s="311"/>
      <c r="V1033" s="311"/>
      <c r="W1033" s="311"/>
      <c r="X1033" s="311"/>
      <c r="Y1033" s="1356">
        <f t="shared" si="115"/>
        <v>0</v>
      </c>
      <c r="Z1033" s="1357">
        <f t="shared" si="116"/>
        <v>0</v>
      </c>
      <c r="AA1033" s="311">
        <f t="shared" si="117"/>
        <v>0</v>
      </c>
      <c r="AB1033" s="311">
        <f t="shared" si="118"/>
        <v>0</v>
      </c>
      <c r="AC1033" s="311">
        <f t="shared" si="119"/>
        <v>0</v>
      </c>
      <c r="AD1033" s="311">
        <f t="shared" si="120"/>
        <v>0</v>
      </c>
      <c r="AE1033" s="311">
        <f t="shared" si="121"/>
        <v>0</v>
      </c>
      <c r="AF1033" s="310"/>
      <c r="AG1033" s="841"/>
      <c r="AH1033" s="744"/>
      <c r="AI1033" s="292"/>
      <c r="AK1033" s="300"/>
      <c r="AS1033" s="452"/>
    </row>
    <row r="1034" spans="1:45" s="299" customFormat="1" ht="27.6">
      <c r="A1034" s="353">
        <v>630</v>
      </c>
      <c r="B1034" s="352">
        <v>300</v>
      </c>
      <c r="C1034" s="317">
        <v>200</v>
      </c>
      <c r="D1034" s="316">
        <v>700</v>
      </c>
      <c r="E1034" s="316"/>
      <c r="F1034" s="316"/>
      <c r="G1034" s="315" t="s">
        <v>337</v>
      </c>
      <c r="H1034" s="314"/>
      <c r="I1034" s="311"/>
      <c r="J1034" s="311"/>
      <c r="K1034" s="311"/>
      <c r="L1034" s="311"/>
      <c r="M1034" s="311"/>
      <c r="N1034" s="312"/>
      <c r="O1034" s="314"/>
      <c r="P1034" s="311">
        <v>0</v>
      </c>
      <c r="Q1034" s="312"/>
      <c r="R1034" s="314"/>
      <c r="S1034" s="311"/>
      <c r="T1034" s="311"/>
      <c r="U1034" s="311"/>
      <c r="V1034" s="311"/>
      <c r="W1034" s="311"/>
      <c r="X1034" s="311"/>
      <c r="Y1034" s="1356">
        <f t="shared" si="115"/>
        <v>0</v>
      </c>
      <c r="Z1034" s="1357">
        <f t="shared" si="116"/>
        <v>0</v>
      </c>
      <c r="AA1034" s="311">
        <f t="shared" si="117"/>
        <v>0</v>
      </c>
      <c r="AB1034" s="311">
        <f t="shared" si="118"/>
        <v>0</v>
      </c>
      <c r="AC1034" s="311">
        <f t="shared" si="119"/>
        <v>0</v>
      </c>
      <c r="AD1034" s="311">
        <f t="shared" si="120"/>
        <v>0</v>
      </c>
      <c r="AE1034" s="311">
        <f t="shared" si="121"/>
        <v>0</v>
      </c>
      <c r="AF1034" s="310"/>
      <c r="AG1034" s="841"/>
      <c r="AH1034" s="744"/>
      <c r="AI1034" s="292"/>
      <c r="AK1034" s="300"/>
      <c r="AS1034" s="452"/>
    </row>
    <row r="1035" spans="1:45" s="299" customFormat="1" ht="27.6">
      <c r="A1035" s="353">
        <v>630</v>
      </c>
      <c r="B1035" s="352">
        <v>300</v>
      </c>
      <c r="C1035" s="317">
        <v>200</v>
      </c>
      <c r="D1035" s="317">
        <v>750</v>
      </c>
      <c r="E1035" s="317"/>
      <c r="F1035" s="317"/>
      <c r="G1035" s="323" t="s">
        <v>338</v>
      </c>
      <c r="H1035" s="322"/>
      <c r="I1035" s="320"/>
      <c r="J1035" s="320"/>
      <c r="K1035" s="320"/>
      <c r="L1035" s="320"/>
      <c r="M1035" s="320"/>
      <c r="N1035" s="321"/>
      <c r="O1035" s="322"/>
      <c r="P1035" s="320">
        <v>0</v>
      </c>
      <c r="Q1035" s="321"/>
      <c r="R1035" s="322"/>
      <c r="S1035" s="320"/>
      <c r="T1035" s="320"/>
      <c r="U1035" s="320"/>
      <c r="V1035" s="320"/>
      <c r="W1035" s="320"/>
      <c r="X1035" s="320"/>
      <c r="Y1035" s="1392">
        <f t="shared" si="115"/>
        <v>0</v>
      </c>
      <c r="Z1035" s="1389">
        <f t="shared" si="116"/>
        <v>0</v>
      </c>
      <c r="AA1035" s="320">
        <f t="shared" si="117"/>
        <v>0</v>
      </c>
      <c r="AB1035" s="320">
        <f t="shared" si="118"/>
        <v>0</v>
      </c>
      <c r="AC1035" s="320">
        <f t="shared" si="119"/>
        <v>0</v>
      </c>
      <c r="AD1035" s="320">
        <f t="shared" si="120"/>
        <v>0</v>
      </c>
      <c r="AE1035" s="320">
        <f t="shared" si="121"/>
        <v>0</v>
      </c>
      <c r="AF1035" s="310"/>
      <c r="AG1035" s="841"/>
      <c r="AH1035" s="744"/>
      <c r="AI1035" s="292"/>
      <c r="AK1035" s="300"/>
      <c r="AS1035" s="452"/>
    </row>
    <row r="1036" spans="1:45" s="299" customFormat="1">
      <c r="A1036" s="353">
        <v>630</v>
      </c>
      <c r="B1036" s="352">
        <v>300</v>
      </c>
      <c r="C1036" s="317">
        <v>200</v>
      </c>
      <c r="D1036" s="317">
        <v>750</v>
      </c>
      <c r="E1036" s="316">
        <v>10</v>
      </c>
      <c r="F1036" s="316"/>
      <c r="G1036" s="315" t="s">
        <v>339</v>
      </c>
      <c r="H1036" s="314"/>
      <c r="I1036" s="311"/>
      <c r="J1036" s="311"/>
      <c r="K1036" s="311"/>
      <c r="L1036" s="311"/>
      <c r="M1036" s="311"/>
      <c r="N1036" s="312"/>
      <c r="O1036" s="314"/>
      <c r="P1036" s="311">
        <v>0</v>
      </c>
      <c r="Q1036" s="312"/>
      <c r="R1036" s="314"/>
      <c r="S1036" s="311"/>
      <c r="T1036" s="311"/>
      <c r="U1036" s="311"/>
      <c r="V1036" s="311"/>
      <c r="W1036" s="311"/>
      <c r="X1036" s="311"/>
      <c r="Y1036" s="1356">
        <f t="shared" si="115"/>
        <v>0</v>
      </c>
      <c r="Z1036" s="1357">
        <f t="shared" si="116"/>
        <v>0</v>
      </c>
      <c r="AA1036" s="311">
        <f t="shared" si="117"/>
        <v>0</v>
      </c>
      <c r="AB1036" s="311">
        <f t="shared" si="118"/>
        <v>0</v>
      </c>
      <c r="AC1036" s="311">
        <f t="shared" si="119"/>
        <v>0</v>
      </c>
      <c r="AD1036" s="311">
        <f t="shared" si="120"/>
        <v>0</v>
      </c>
      <c r="AE1036" s="311">
        <f t="shared" si="121"/>
        <v>0</v>
      </c>
      <c r="AF1036" s="310"/>
      <c r="AG1036" s="841"/>
      <c r="AH1036" s="744"/>
      <c r="AI1036" s="292"/>
      <c r="AK1036" s="300"/>
      <c r="AS1036" s="452"/>
    </row>
    <row r="1037" spans="1:45" s="299" customFormat="1">
      <c r="A1037" s="353">
        <v>630</v>
      </c>
      <c r="B1037" s="352">
        <v>300</v>
      </c>
      <c r="C1037" s="317">
        <v>200</v>
      </c>
      <c r="D1037" s="317">
        <v>750</v>
      </c>
      <c r="E1037" s="316">
        <v>20</v>
      </c>
      <c r="F1037" s="316"/>
      <c r="G1037" s="315" t="s">
        <v>340</v>
      </c>
      <c r="H1037" s="314"/>
      <c r="I1037" s="311"/>
      <c r="J1037" s="311"/>
      <c r="K1037" s="311"/>
      <c r="L1037" s="311"/>
      <c r="M1037" s="311"/>
      <c r="N1037" s="312"/>
      <c r="O1037" s="314"/>
      <c r="P1037" s="311">
        <v>0</v>
      </c>
      <c r="Q1037" s="312"/>
      <c r="R1037" s="314"/>
      <c r="S1037" s="311"/>
      <c r="T1037" s="311"/>
      <c r="U1037" s="311"/>
      <c r="V1037" s="311"/>
      <c r="W1037" s="311"/>
      <c r="X1037" s="311"/>
      <c r="Y1037" s="1356">
        <f t="shared" si="115"/>
        <v>0</v>
      </c>
      <c r="Z1037" s="1357">
        <f t="shared" si="116"/>
        <v>0</v>
      </c>
      <c r="AA1037" s="311">
        <f t="shared" si="117"/>
        <v>0</v>
      </c>
      <c r="AB1037" s="311">
        <f t="shared" si="118"/>
        <v>0</v>
      </c>
      <c r="AC1037" s="311">
        <f t="shared" si="119"/>
        <v>0</v>
      </c>
      <c r="AD1037" s="311">
        <f t="shared" si="120"/>
        <v>0</v>
      </c>
      <c r="AE1037" s="311">
        <f t="shared" si="121"/>
        <v>0</v>
      </c>
      <c r="AF1037" s="310"/>
      <c r="AG1037" s="841"/>
      <c r="AH1037" s="744"/>
      <c r="AI1037" s="292"/>
      <c r="AK1037" s="300"/>
      <c r="AS1037" s="452"/>
    </row>
    <row r="1038" spans="1:45" s="299" customFormat="1" ht="27.6">
      <c r="A1038" s="353">
        <v>630</v>
      </c>
      <c r="B1038" s="352">
        <v>300</v>
      </c>
      <c r="C1038" s="317">
        <v>200</v>
      </c>
      <c r="D1038" s="316">
        <v>900</v>
      </c>
      <c r="E1038" s="316"/>
      <c r="F1038" s="316"/>
      <c r="G1038" s="315" t="s">
        <v>341</v>
      </c>
      <c r="H1038" s="314"/>
      <c r="I1038" s="311"/>
      <c r="J1038" s="311"/>
      <c r="K1038" s="311"/>
      <c r="L1038" s="311"/>
      <c r="M1038" s="311"/>
      <c r="N1038" s="312"/>
      <c r="O1038" s="314"/>
      <c r="P1038" s="311">
        <v>0</v>
      </c>
      <c r="Q1038" s="312"/>
      <c r="R1038" s="314"/>
      <c r="S1038" s="311"/>
      <c r="T1038" s="311"/>
      <c r="U1038" s="311"/>
      <c r="V1038" s="311"/>
      <c r="W1038" s="311"/>
      <c r="X1038" s="311"/>
      <c r="Y1038" s="1356">
        <f t="shared" si="115"/>
        <v>0</v>
      </c>
      <c r="Z1038" s="1357">
        <f t="shared" si="116"/>
        <v>0</v>
      </c>
      <c r="AA1038" s="311">
        <f t="shared" si="117"/>
        <v>0</v>
      </c>
      <c r="AB1038" s="311">
        <f t="shared" si="118"/>
        <v>0</v>
      </c>
      <c r="AC1038" s="311">
        <f t="shared" si="119"/>
        <v>0</v>
      </c>
      <c r="AD1038" s="311">
        <f t="shared" si="120"/>
        <v>0</v>
      </c>
      <c r="AE1038" s="311">
        <f t="shared" si="121"/>
        <v>0</v>
      </c>
      <c r="AF1038" s="310"/>
      <c r="AG1038" s="841"/>
      <c r="AH1038" s="744"/>
      <c r="AI1038" s="292"/>
      <c r="AK1038" s="300"/>
      <c r="AS1038" s="452"/>
    </row>
    <row r="1039" spans="1:45" s="299" customFormat="1" ht="27.6">
      <c r="A1039" s="353">
        <v>630</v>
      </c>
      <c r="B1039" s="352">
        <v>300</v>
      </c>
      <c r="C1039" s="316">
        <v>300</v>
      </c>
      <c r="D1039" s="316"/>
      <c r="E1039" s="316"/>
      <c r="F1039" s="316"/>
      <c r="G1039" s="315" t="s">
        <v>342</v>
      </c>
      <c r="H1039" s="314"/>
      <c r="I1039" s="311"/>
      <c r="J1039" s="311"/>
      <c r="K1039" s="311"/>
      <c r="L1039" s="311"/>
      <c r="M1039" s="311"/>
      <c r="N1039" s="312"/>
      <c r="O1039" s="314"/>
      <c r="P1039" s="311">
        <v>0</v>
      </c>
      <c r="Q1039" s="312"/>
      <c r="R1039" s="314"/>
      <c r="S1039" s="311"/>
      <c r="T1039" s="311"/>
      <c r="U1039" s="311"/>
      <c r="V1039" s="311"/>
      <c r="W1039" s="311"/>
      <c r="X1039" s="311"/>
      <c r="Y1039" s="1356">
        <f t="shared" si="115"/>
        <v>0</v>
      </c>
      <c r="Z1039" s="1357">
        <f t="shared" si="116"/>
        <v>0</v>
      </c>
      <c r="AA1039" s="311">
        <f t="shared" si="117"/>
        <v>0</v>
      </c>
      <c r="AB1039" s="311">
        <f t="shared" si="118"/>
        <v>0</v>
      </c>
      <c r="AC1039" s="311">
        <f t="shared" si="119"/>
        <v>0</v>
      </c>
      <c r="AD1039" s="311">
        <f t="shared" si="120"/>
        <v>0</v>
      </c>
      <c r="AE1039" s="311">
        <f t="shared" si="121"/>
        <v>0</v>
      </c>
      <c r="AF1039" s="310"/>
      <c r="AG1039" s="841"/>
      <c r="AH1039" s="744"/>
      <c r="AI1039" s="292"/>
      <c r="AK1039" s="300"/>
      <c r="AS1039" s="452"/>
    </row>
    <row r="1040" spans="1:45" s="299" customFormat="1">
      <c r="A1040" s="353">
        <v>630</v>
      </c>
      <c r="B1040" s="352">
        <v>300</v>
      </c>
      <c r="C1040" s="316">
        <v>400</v>
      </c>
      <c r="D1040" s="316"/>
      <c r="E1040" s="316"/>
      <c r="F1040" s="316"/>
      <c r="G1040" s="315" t="s">
        <v>343</v>
      </c>
      <c r="H1040" s="314"/>
      <c r="I1040" s="311"/>
      <c r="J1040" s="311"/>
      <c r="K1040" s="311"/>
      <c r="L1040" s="311"/>
      <c r="M1040" s="311"/>
      <c r="N1040" s="312"/>
      <c r="O1040" s="314"/>
      <c r="P1040" s="311">
        <v>0</v>
      </c>
      <c r="Q1040" s="312"/>
      <c r="R1040" s="314"/>
      <c r="S1040" s="311"/>
      <c r="T1040" s="311"/>
      <c r="U1040" s="311"/>
      <c r="V1040" s="311"/>
      <c r="W1040" s="311"/>
      <c r="X1040" s="311"/>
      <c r="Y1040" s="1356">
        <f t="shared" si="115"/>
        <v>0</v>
      </c>
      <c r="Z1040" s="1357">
        <f t="shared" si="116"/>
        <v>0</v>
      </c>
      <c r="AA1040" s="311">
        <f t="shared" si="117"/>
        <v>0</v>
      </c>
      <c r="AB1040" s="311">
        <f t="shared" si="118"/>
        <v>0</v>
      </c>
      <c r="AC1040" s="311">
        <f t="shared" si="119"/>
        <v>0</v>
      </c>
      <c r="AD1040" s="311">
        <f t="shared" si="120"/>
        <v>0</v>
      </c>
      <c r="AE1040" s="311">
        <f t="shared" si="121"/>
        <v>0</v>
      </c>
      <c r="AF1040" s="310"/>
      <c r="AG1040" s="841"/>
      <c r="AH1040" s="744"/>
      <c r="AI1040" s="292"/>
      <c r="AK1040" s="300"/>
      <c r="AS1040" s="452"/>
    </row>
    <row r="1041" spans="1:45" s="299" customFormat="1" ht="27.6">
      <c r="A1041" s="353">
        <v>630</v>
      </c>
      <c r="B1041" s="352">
        <v>300</v>
      </c>
      <c r="C1041" s="316">
        <v>500</v>
      </c>
      <c r="D1041" s="316"/>
      <c r="E1041" s="316"/>
      <c r="F1041" s="316"/>
      <c r="G1041" s="315" t="s">
        <v>344</v>
      </c>
      <c r="H1041" s="314"/>
      <c r="I1041" s="311"/>
      <c r="J1041" s="311"/>
      <c r="K1041" s="311"/>
      <c r="L1041" s="311"/>
      <c r="M1041" s="311"/>
      <c r="N1041" s="312"/>
      <c r="O1041" s="314"/>
      <c r="P1041" s="311">
        <v>0</v>
      </c>
      <c r="Q1041" s="312"/>
      <c r="R1041" s="313">
        <v>7589.52</v>
      </c>
      <c r="S1041" s="311"/>
      <c r="T1041" s="311"/>
      <c r="U1041" s="311">
        <v>7589.52</v>
      </c>
      <c r="V1041" s="311"/>
      <c r="W1041" s="311"/>
      <c r="X1041" s="311">
        <v>12000</v>
      </c>
      <c r="Y1041" s="1356">
        <f t="shared" si="115"/>
        <v>7589.52</v>
      </c>
      <c r="Z1041" s="1357">
        <f t="shared" si="116"/>
        <v>0</v>
      </c>
      <c r="AA1041" s="311">
        <f t="shared" si="117"/>
        <v>0</v>
      </c>
      <c r="AB1041" s="311">
        <f t="shared" si="118"/>
        <v>7589.52</v>
      </c>
      <c r="AC1041" s="311">
        <f t="shared" si="119"/>
        <v>0</v>
      </c>
      <c r="AD1041" s="311">
        <f t="shared" si="120"/>
        <v>0</v>
      </c>
      <c r="AE1041" s="311">
        <f t="shared" si="121"/>
        <v>12000</v>
      </c>
      <c r="AF1041" s="310"/>
      <c r="AG1041" s="841"/>
      <c r="AH1041" s="744"/>
      <c r="AI1041" s="292"/>
      <c r="AK1041" s="300"/>
      <c r="AS1041" s="452"/>
    </row>
    <row r="1042" spans="1:45" s="299" customFormat="1">
      <c r="A1042" s="353">
        <v>630</v>
      </c>
      <c r="B1042" s="352">
        <v>300</v>
      </c>
      <c r="C1042" s="316">
        <v>600</v>
      </c>
      <c r="D1042" s="316"/>
      <c r="E1042" s="316"/>
      <c r="F1042" s="316"/>
      <c r="G1042" s="315" t="s">
        <v>345</v>
      </c>
      <c r="H1042" s="314"/>
      <c r="I1042" s="311"/>
      <c r="J1042" s="311"/>
      <c r="K1042" s="311"/>
      <c r="L1042" s="311"/>
      <c r="M1042" s="311"/>
      <c r="N1042" s="312"/>
      <c r="O1042" s="314"/>
      <c r="P1042" s="311">
        <v>0</v>
      </c>
      <c r="Q1042" s="312"/>
      <c r="R1042" s="313"/>
      <c r="S1042" s="311"/>
      <c r="T1042" s="311"/>
      <c r="U1042" s="311"/>
      <c r="V1042" s="311"/>
      <c r="W1042" s="311"/>
      <c r="X1042" s="311"/>
      <c r="Y1042" s="1356">
        <f t="shared" si="115"/>
        <v>0</v>
      </c>
      <c r="Z1042" s="1357">
        <f t="shared" si="116"/>
        <v>0</v>
      </c>
      <c r="AA1042" s="311">
        <f t="shared" si="117"/>
        <v>0</v>
      </c>
      <c r="AB1042" s="311">
        <f t="shared" si="118"/>
        <v>0</v>
      </c>
      <c r="AC1042" s="311">
        <f t="shared" si="119"/>
        <v>0</v>
      </c>
      <c r="AD1042" s="311">
        <f t="shared" si="120"/>
        <v>0</v>
      </c>
      <c r="AE1042" s="311">
        <f t="shared" si="121"/>
        <v>0</v>
      </c>
      <c r="AF1042" s="310"/>
      <c r="AG1042" s="841"/>
      <c r="AH1042" s="744"/>
      <c r="AI1042" s="292"/>
      <c r="AK1042" s="300"/>
      <c r="AS1042" s="452"/>
    </row>
    <row r="1043" spans="1:45" s="299" customFormat="1">
      <c r="A1043" s="353">
        <v>630</v>
      </c>
      <c r="B1043" s="352">
        <v>300</v>
      </c>
      <c r="C1043" s="316">
        <v>700</v>
      </c>
      <c r="D1043" s="316"/>
      <c r="E1043" s="316"/>
      <c r="F1043" s="316"/>
      <c r="G1043" s="315" t="s">
        <v>346</v>
      </c>
      <c r="H1043" s="314"/>
      <c r="I1043" s="311"/>
      <c r="J1043" s="311"/>
      <c r="K1043" s="311"/>
      <c r="L1043" s="311"/>
      <c r="M1043" s="311"/>
      <c r="N1043" s="312"/>
      <c r="O1043" s="314"/>
      <c r="P1043" s="311">
        <v>0</v>
      </c>
      <c r="Q1043" s="312"/>
      <c r="R1043" s="313">
        <v>25438</v>
      </c>
      <c r="S1043" s="311"/>
      <c r="T1043" s="311"/>
      <c r="U1043" s="311">
        <v>12000</v>
      </c>
      <c r="V1043" s="311"/>
      <c r="W1043" s="311"/>
      <c r="X1043" s="311">
        <v>12000</v>
      </c>
      <c r="Y1043" s="1356">
        <f t="shared" si="115"/>
        <v>25438</v>
      </c>
      <c r="Z1043" s="1357">
        <f t="shared" si="116"/>
        <v>0</v>
      </c>
      <c r="AA1043" s="311">
        <f t="shared" si="117"/>
        <v>0</v>
      </c>
      <c r="AB1043" s="311">
        <f t="shared" si="118"/>
        <v>12000</v>
      </c>
      <c r="AC1043" s="311">
        <f t="shared" si="119"/>
        <v>0</v>
      </c>
      <c r="AD1043" s="311">
        <f t="shared" si="120"/>
        <v>0</v>
      </c>
      <c r="AE1043" s="311">
        <f t="shared" si="121"/>
        <v>12000</v>
      </c>
      <c r="AF1043" s="310"/>
      <c r="AG1043" s="841"/>
      <c r="AH1043" s="744"/>
      <c r="AI1043" s="292"/>
      <c r="AK1043" s="300"/>
      <c r="AS1043" s="452"/>
    </row>
    <row r="1044" spans="1:45" s="299" customFormat="1">
      <c r="A1044" s="353">
        <v>630</v>
      </c>
      <c r="B1044" s="352">
        <v>300</v>
      </c>
      <c r="C1044" s="316">
        <v>800</v>
      </c>
      <c r="D1044" s="316"/>
      <c r="E1044" s="316"/>
      <c r="F1044" s="316"/>
      <c r="G1044" s="315" t="s">
        <v>347</v>
      </c>
      <c r="H1044" s="314"/>
      <c r="I1044" s="311"/>
      <c r="J1044" s="311"/>
      <c r="K1044" s="311"/>
      <c r="L1044" s="311"/>
      <c r="M1044" s="311"/>
      <c r="N1044" s="312"/>
      <c r="O1044" s="314"/>
      <c r="P1044" s="311">
        <v>0</v>
      </c>
      <c r="Q1044" s="312"/>
      <c r="R1044" s="313"/>
      <c r="S1044" s="311"/>
      <c r="T1044" s="311"/>
      <c r="U1044" s="311">
        <v>0</v>
      </c>
      <c r="V1044" s="311"/>
      <c r="W1044" s="311"/>
      <c r="X1044" s="311"/>
      <c r="Y1044" s="1356">
        <f t="shared" si="115"/>
        <v>0</v>
      </c>
      <c r="Z1044" s="1357">
        <f t="shared" si="116"/>
        <v>0</v>
      </c>
      <c r="AA1044" s="311">
        <f t="shared" si="117"/>
        <v>0</v>
      </c>
      <c r="AB1044" s="311">
        <f t="shared" si="118"/>
        <v>0</v>
      </c>
      <c r="AC1044" s="311">
        <f t="shared" si="119"/>
        <v>0</v>
      </c>
      <c r="AD1044" s="311">
        <f t="shared" si="120"/>
        <v>0</v>
      </c>
      <c r="AE1044" s="311">
        <f t="shared" si="121"/>
        <v>0</v>
      </c>
      <c r="AF1044" s="310"/>
      <c r="AG1044" s="841"/>
      <c r="AH1044" s="744"/>
      <c r="AI1044" s="292"/>
      <c r="AK1044" s="300"/>
      <c r="AS1044" s="452"/>
    </row>
    <row r="1045" spans="1:45" s="299" customFormat="1">
      <c r="A1045" s="353">
        <v>630</v>
      </c>
      <c r="B1045" s="352">
        <v>300</v>
      </c>
      <c r="C1045" s="317">
        <v>900</v>
      </c>
      <c r="D1045" s="317"/>
      <c r="E1045" s="317"/>
      <c r="F1045" s="317"/>
      <c r="G1045" s="323" t="s">
        <v>348</v>
      </c>
      <c r="H1045" s="322"/>
      <c r="I1045" s="320"/>
      <c r="J1045" s="320"/>
      <c r="K1045" s="320"/>
      <c r="L1045" s="320"/>
      <c r="M1045" s="320"/>
      <c r="N1045" s="321"/>
      <c r="O1045" s="322"/>
      <c r="P1045" s="320">
        <v>0</v>
      </c>
      <c r="Q1045" s="321"/>
      <c r="R1045" s="530"/>
      <c r="S1045" s="320"/>
      <c r="T1045" s="320"/>
      <c r="U1045" s="320">
        <v>0</v>
      </c>
      <c r="V1045" s="320"/>
      <c r="W1045" s="320"/>
      <c r="X1045" s="320"/>
      <c r="Y1045" s="1392">
        <f t="shared" si="115"/>
        <v>0</v>
      </c>
      <c r="Z1045" s="1389">
        <f t="shared" si="116"/>
        <v>0</v>
      </c>
      <c r="AA1045" s="320">
        <f t="shared" si="117"/>
        <v>0</v>
      </c>
      <c r="AB1045" s="320">
        <f t="shared" si="118"/>
        <v>0</v>
      </c>
      <c r="AC1045" s="320">
        <f t="shared" si="119"/>
        <v>0</v>
      </c>
      <c r="AD1045" s="320">
        <f t="shared" si="120"/>
        <v>0</v>
      </c>
      <c r="AE1045" s="320">
        <f t="shared" si="121"/>
        <v>0</v>
      </c>
      <c r="AF1045" s="310"/>
      <c r="AG1045" s="841"/>
      <c r="AH1045" s="744"/>
      <c r="AI1045" s="292"/>
      <c r="AK1045" s="300"/>
      <c r="AS1045" s="452"/>
    </row>
    <row r="1046" spans="1:45" s="299" customFormat="1">
      <c r="A1046" s="353">
        <v>630</v>
      </c>
      <c r="B1046" s="352">
        <v>300</v>
      </c>
      <c r="C1046" s="317">
        <v>900</v>
      </c>
      <c r="D1046" s="316">
        <v>100</v>
      </c>
      <c r="E1046" s="316"/>
      <c r="F1046" s="316"/>
      <c r="G1046" s="315" t="s">
        <v>349</v>
      </c>
      <c r="H1046" s="314"/>
      <c r="I1046" s="311"/>
      <c r="J1046" s="311"/>
      <c r="K1046" s="311"/>
      <c r="L1046" s="311"/>
      <c r="M1046" s="311"/>
      <c r="N1046" s="312"/>
      <c r="O1046" s="314"/>
      <c r="P1046" s="311">
        <v>0</v>
      </c>
      <c r="Q1046" s="312"/>
      <c r="R1046" s="313"/>
      <c r="S1046" s="311"/>
      <c r="T1046" s="311"/>
      <c r="U1046" s="311">
        <v>0</v>
      </c>
      <c r="V1046" s="311"/>
      <c r="W1046" s="311"/>
      <c r="X1046" s="311"/>
      <c r="Y1046" s="1356">
        <f t="shared" si="115"/>
        <v>0</v>
      </c>
      <c r="Z1046" s="1357">
        <f t="shared" si="116"/>
        <v>0</v>
      </c>
      <c r="AA1046" s="311">
        <f t="shared" si="117"/>
        <v>0</v>
      </c>
      <c r="AB1046" s="311">
        <f t="shared" si="118"/>
        <v>0</v>
      </c>
      <c r="AC1046" s="311">
        <f t="shared" si="119"/>
        <v>0</v>
      </c>
      <c r="AD1046" s="311">
        <f t="shared" si="120"/>
        <v>0</v>
      </c>
      <c r="AE1046" s="311">
        <f t="shared" si="121"/>
        <v>0</v>
      </c>
      <c r="AF1046" s="310"/>
      <c r="AG1046" s="841"/>
      <c r="AH1046" s="744"/>
      <c r="AI1046" s="292"/>
      <c r="AK1046" s="300"/>
      <c r="AS1046" s="452"/>
    </row>
    <row r="1047" spans="1:45" s="299" customFormat="1">
      <c r="A1047" s="353">
        <v>630</v>
      </c>
      <c r="B1047" s="352">
        <v>300</v>
      </c>
      <c r="C1047" s="317">
        <v>900</v>
      </c>
      <c r="D1047" s="316">
        <v>900</v>
      </c>
      <c r="E1047" s="316"/>
      <c r="F1047" s="316"/>
      <c r="G1047" s="315" t="s">
        <v>350</v>
      </c>
      <c r="H1047" s="314"/>
      <c r="I1047" s="311"/>
      <c r="J1047" s="311"/>
      <c r="K1047" s="311"/>
      <c r="L1047" s="311"/>
      <c r="M1047" s="311"/>
      <c r="N1047" s="312"/>
      <c r="O1047" s="314"/>
      <c r="P1047" s="311">
        <v>0</v>
      </c>
      <c r="Q1047" s="312"/>
      <c r="R1047" s="313"/>
      <c r="S1047" s="311"/>
      <c r="T1047" s="311"/>
      <c r="U1047" s="311">
        <v>0</v>
      </c>
      <c r="V1047" s="311"/>
      <c r="W1047" s="311"/>
      <c r="X1047" s="311"/>
      <c r="Y1047" s="1356">
        <f t="shared" si="115"/>
        <v>0</v>
      </c>
      <c r="Z1047" s="1357">
        <f t="shared" si="116"/>
        <v>0</v>
      </c>
      <c r="AA1047" s="311">
        <f t="shared" si="117"/>
        <v>0</v>
      </c>
      <c r="AB1047" s="311">
        <f t="shared" si="118"/>
        <v>0</v>
      </c>
      <c r="AC1047" s="311">
        <f t="shared" si="119"/>
        <v>0</v>
      </c>
      <c r="AD1047" s="311">
        <f t="shared" si="120"/>
        <v>0</v>
      </c>
      <c r="AE1047" s="311">
        <f t="shared" si="121"/>
        <v>0</v>
      </c>
      <c r="AF1047" s="310"/>
      <c r="AG1047" s="841"/>
      <c r="AH1047" s="744"/>
      <c r="AI1047" s="292"/>
      <c r="AK1047" s="300"/>
      <c r="AS1047" s="452"/>
    </row>
    <row r="1048" spans="1:45" s="299" customFormat="1" ht="27.6">
      <c r="A1048" s="353">
        <v>630</v>
      </c>
      <c r="B1048" s="352">
        <v>400</v>
      </c>
      <c r="C1048" s="317"/>
      <c r="D1048" s="352"/>
      <c r="E1048" s="352"/>
      <c r="F1048" s="352"/>
      <c r="G1048" s="323" t="s">
        <v>351</v>
      </c>
      <c r="H1048" s="322"/>
      <c r="I1048" s="320"/>
      <c r="J1048" s="320"/>
      <c r="K1048" s="320"/>
      <c r="L1048" s="320"/>
      <c r="M1048" s="320"/>
      <c r="N1048" s="321"/>
      <c r="O1048" s="322"/>
      <c r="P1048" s="320">
        <v>0</v>
      </c>
      <c r="Q1048" s="321"/>
      <c r="R1048" s="530"/>
      <c r="S1048" s="320"/>
      <c r="T1048" s="320"/>
      <c r="U1048" s="320">
        <v>0</v>
      </c>
      <c r="V1048" s="320"/>
      <c r="W1048" s="320"/>
      <c r="X1048" s="320"/>
      <c r="Y1048" s="1392">
        <f t="shared" si="115"/>
        <v>0</v>
      </c>
      <c r="Z1048" s="1389">
        <f t="shared" si="116"/>
        <v>0</v>
      </c>
      <c r="AA1048" s="320">
        <f t="shared" si="117"/>
        <v>0</v>
      </c>
      <c r="AB1048" s="320">
        <f t="shared" si="118"/>
        <v>0</v>
      </c>
      <c r="AC1048" s="320">
        <f t="shared" si="119"/>
        <v>0</v>
      </c>
      <c r="AD1048" s="320">
        <f t="shared" si="120"/>
        <v>0</v>
      </c>
      <c r="AE1048" s="320">
        <f t="shared" si="121"/>
        <v>0</v>
      </c>
      <c r="AF1048" s="355"/>
      <c r="AG1048" s="838"/>
      <c r="AH1048" s="744"/>
      <c r="AI1048" s="292"/>
      <c r="AK1048" s="300"/>
      <c r="AS1048" s="452"/>
    </row>
    <row r="1049" spans="1:45" s="299" customFormat="1" ht="27.6">
      <c r="A1049" s="353">
        <v>630</v>
      </c>
      <c r="B1049" s="352">
        <v>400</v>
      </c>
      <c r="C1049" s="357">
        <v>100</v>
      </c>
      <c r="D1049" s="357"/>
      <c r="E1049" s="357"/>
      <c r="F1049" s="357"/>
      <c r="G1049" s="315" t="s">
        <v>352</v>
      </c>
      <c r="H1049" s="314"/>
      <c r="I1049" s="311"/>
      <c r="J1049" s="311"/>
      <c r="K1049" s="311"/>
      <c r="L1049" s="311"/>
      <c r="M1049" s="311"/>
      <c r="N1049" s="312"/>
      <c r="O1049" s="314"/>
      <c r="P1049" s="311">
        <v>0</v>
      </c>
      <c r="Q1049" s="312"/>
      <c r="R1049" s="313">
        <v>84884.99</v>
      </c>
      <c r="S1049" s="311"/>
      <c r="T1049" s="311"/>
      <c r="U1049" s="311">
        <v>35468</v>
      </c>
      <c r="V1049" s="311"/>
      <c r="W1049" s="311"/>
      <c r="X1049" s="311">
        <v>35468</v>
      </c>
      <c r="Y1049" s="1356">
        <f t="shared" si="115"/>
        <v>84884.99</v>
      </c>
      <c r="Z1049" s="1357">
        <f t="shared" si="116"/>
        <v>0</v>
      </c>
      <c r="AA1049" s="311">
        <f t="shared" si="117"/>
        <v>0</v>
      </c>
      <c r="AB1049" s="311">
        <f t="shared" si="118"/>
        <v>35468</v>
      </c>
      <c r="AC1049" s="311">
        <f t="shared" si="119"/>
        <v>0</v>
      </c>
      <c r="AD1049" s="311">
        <f t="shared" si="120"/>
        <v>0</v>
      </c>
      <c r="AE1049" s="311">
        <f t="shared" si="121"/>
        <v>35468</v>
      </c>
      <c r="AF1049" s="355" t="s">
        <v>353</v>
      </c>
      <c r="AG1049" s="838"/>
      <c r="AH1049" s="744"/>
      <c r="AI1049" s="292"/>
      <c r="AK1049" s="300"/>
      <c r="AS1049" s="452"/>
    </row>
    <row r="1050" spans="1:45" s="299" customFormat="1" ht="27.6">
      <c r="A1050" s="353">
        <v>630</v>
      </c>
      <c r="B1050" s="352">
        <v>400</v>
      </c>
      <c r="C1050" s="357">
        <v>200</v>
      </c>
      <c r="D1050" s="357"/>
      <c r="E1050" s="357"/>
      <c r="F1050" s="357"/>
      <c r="G1050" s="315" t="s">
        <v>354</v>
      </c>
      <c r="H1050" s="314"/>
      <c r="I1050" s="311"/>
      <c r="J1050" s="311"/>
      <c r="K1050" s="311"/>
      <c r="L1050" s="311"/>
      <c r="M1050" s="311"/>
      <c r="N1050" s="312"/>
      <c r="O1050" s="314"/>
      <c r="P1050" s="311">
        <v>0</v>
      </c>
      <c r="Q1050" s="312"/>
      <c r="R1050" s="313">
        <v>535626</v>
      </c>
      <c r="S1050" s="311"/>
      <c r="T1050" s="311"/>
      <c r="U1050" s="311">
        <v>609924</v>
      </c>
      <c r="V1050" s="311"/>
      <c r="W1050" s="311"/>
      <c r="X1050" s="311">
        <v>609924</v>
      </c>
      <c r="Y1050" s="1356">
        <f t="shared" si="115"/>
        <v>535626</v>
      </c>
      <c r="Z1050" s="1357">
        <f t="shared" si="116"/>
        <v>0</v>
      </c>
      <c r="AA1050" s="311">
        <f t="shared" si="117"/>
        <v>0</v>
      </c>
      <c r="AB1050" s="311">
        <f t="shared" si="118"/>
        <v>609924</v>
      </c>
      <c r="AC1050" s="311">
        <f t="shared" si="119"/>
        <v>0</v>
      </c>
      <c r="AD1050" s="311">
        <f t="shared" si="120"/>
        <v>0</v>
      </c>
      <c r="AE1050" s="311">
        <f t="shared" si="121"/>
        <v>609924</v>
      </c>
      <c r="AF1050" s="355" t="s">
        <v>355</v>
      </c>
      <c r="AG1050" s="838"/>
      <c r="AH1050" s="744"/>
      <c r="AI1050" s="292"/>
      <c r="AK1050" s="300"/>
      <c r="AS1050" s="452"/>
    </row>
    <row r="1051" spans="1:45" s="299" customFormat="1" ht="27.6">
      <c r="A1051" s="353">
        <v>630</v>
      </c>
      <c r="B1051" s="352">
        <v>400</v>
      </c>
      <c r="C1051" s="357">
        <v>300</v>
      </c>
      <c r="D1051" s="357"/>
      <c r="E1051" s="357"/>
      <c r="F1051" s="357"/>
      <c r="G1051" s="315" t="s">
        <v>356</v>
      </c>
      <c r="H1051" s="314"/>
      <c r="I1051" s="311"/>
      <c r="J1051" s="311"/>
      <c r="K1051" s="311"/>
      <c r="L1051" s="311"/>
      <c r="M1051" s="311"/>
      <c r="N1051" s="312"/>
      <c r="O1051" s="314"/>
      <c r="P1051" s="311">
        <v>0</v>
      </c>
      <c r="Q1051" s="312"/>
      <c r="R1051" s="313"/>
      <c r="S1051" s="311"/>
      <c r="T1051" s="311"/>
      <c r="U1051" s="311">
        <v>0</v>
      </c>
      <c r="V1051" s="311"/>
      <c r="W1051" s="311"/>
      <c r="X1051" s="311">
        <v>0</v>
      </c>
      <c r="Y1051" s="1356">
        <f t="shared" si="115"/>
        <v>0</v>
      </c>
      <c r="Z1051" s="1357">
        <f t="shared" si="116"/>
        <v>0</v>
      </c>
      <c r="AA1051" s="311">
        <f t="shared" si="117"/>
        <v>0</v>
      </c>
      <c r="AB1051" s="311">
        <f t="shared" si="118"/>
        <v>0</v>
      </c>
      <c r="AC1051" s="311">
        <f t="shared" si="119"/>
        <v>0</v>
      </c>
      <c r="AD1051" s="311">
        <f t="shared" si="120"/>
        <v>0</v>
      </c>
      <c r="AE1051" s="311">
        <f t="shared" si="121"/>
        <v>0</v>
      </c>
      <c r="AF1051" s="355" t="s">
        <v>357</v>
      </c>
      <c r="AG1051" s="838"/>
      <c r="AH1051" s="744"/>
      <c r="AI1051" s="292"/>
      <c r="AK1051" s="300"/>
      <c r="AS1051" s="452"/>
    </row>
    <row r="1052" spans="1:45" s="299" customFormat="1" ht="41.4">
      <c r="A1052" s="353">
        <v>630</v>
      </c>
      <c r="B1052" s="352">
        <v>400</v>
      </c>
      <c r="C1052" s="357">
        <v>400</v>
      </c>
      <c r="D1052" s="357"/>
      <c r="E1052" s="357"/>
      <c r="F1052" s="357"/>
      <c r="G1052" s="315" t="s">
        <v>358</v>
      </c>
      <c r="H1052" s="314"/>
      <c r="I1052" s="311"/>
      <c r="J1052" s="311"/>
      <c r="K1052" s="311"/>
      <c r="L1052" s="311"/>
      <c r="M1052" s="311"/>
      <c r="N1052" s="312"/>
      <c r="O1052" s="314"/>
      <c r="P1052" s="311">
        <v>0</v>
      </c>
      <c r="Q1052" s="312"/>
      <c r="R1052" s="313">
        <v>90416.53</v>
      </c>
      <c r="S1052" s="311"/>
      <c r="T1052" s="311"/>
      <c r="U1052" s="311">
        <v>110101</v>
      </c>
      <c r="V1052" s="311"/>
      <c r="W1052" s="311"/>
      <c r="X1052" s="311">
        <v>110101</v>
      </c>
      <c r="Y1052" s="1356">
        <f t="shared" si="115"/>
        <v>90416.53</v>
      </c>
      <c r="Z1052" s="1357">
        <f t="shared" si="116"/>
        <v>0</v>
      </c>
      <c r="AA1052" s="311">
        <f t="shared" si="117"/>
        <v>0</v>
      </c>
      <c r="AB1052" s="311">
        <f t="shared" si="118"/>
        <v>110101</v>
      </c>
      <c r="AC1052" s="311">
        <f t="shared" si="119"/>
        <v>0</v>
      </c>
      <c r="AD1052" s="311">
        <f t="shared" si="120"/>
        <v>0</v>
      </c>
      <c r="AE1052" s="311">
        <f t="shared" si="121"/>
        <v>110101</v>
      </c>
      <c r="AF1052" s="355" t="s">
        <v>359</v>
      </c>
      <c r="AG1052" s="838"/>
      <c r="AH1052" s="744"/>
      <c r="AI1052" s="292"/>
      <c r="AK1052" s="300"/>
      <c r="AS1052" s="452"/>
    </row>
    <row r="1053" spans="1:45" s="299" customFormat="1" ht="69">
      <c r="A1053" s="353">
        <v>630</v>
      </c>
      <c r="B1053" s="352">
        <v>400</v>
      </c>
      <c r="C1053" s="352">
        <v>500</v>
      </c>
      <c r="D1053" s="357"/>
      <c r="E1053" s="357"/>
      <c r="F1053" s="357"/>
      <c r="G1053" s="315" t="s">
        <v>360</v>
      </c>
      <c r="H1053" s="314"/>
      <c r="I1053" s="311"/>
      <c r="J1053" s="311"/>
      <c r="K1053" s="311"/>
      <c r="L1053" s="311"/>
      <c r="M1053" s="311"/>
      <c r="N1053" s="312"/>
      <c r="O1053" s="314"/>
      <c r="P1053" s="311">
        <v>0</v>
      </c>
      <c r="Q1053" s="312"/>
      <c r="R1053" s="313">
        <v>62744.28</v>
      </c>
      <c r="S1053" s="311"/>
      <c r="T1053" s="311"/>
      <c r="U1053" s="311">
        <v>123737</v>
      </c>
      <c r="V1053" s="311"/>
      <c r="W1053" s="311"/>
      <c r="X1053" s="311">
        <v>123737</v>
      </c>
      <c r="Y1053" s="1356">
        <f t="shared" si="115"/>
        <v>62744.28</v>
      </c>
      <c r="Z1053" s="1357">
        <f t="shared" si="116"/>
        <v>0</v>
      </c>
      <c r="AA1053" s="311">
        <f t="shared" si="117"/>
        <v>0</v>
      </c>
      <c r="AB1053" s="311">
        <f t="shared" si="118"/>
        <v>123737</v>
      </c>
      <c r="AC1053" s="311">
        <f t="shared" si="119"/>
        <v>0</v>
      </c>
      <c r="AD1053" s="311">
        <f t="shared" si="120"/>
        <v>0</v>
      </c>
      <c r="AE1053" s="311">
        <f t="shared" si="121"/>
        <v>123737</v>
      </c>
      <c r="AF1053" s="355" t="s">
        <v>361</v>
      </c>
      <c r="AG1053" s="838"/>
      <c r="AH1053" s="744"/>
      <c r="AI1053" s="292"/>
      <c r="AK1053" s="300"/>
      <c r="AS1053" s="452"/>
    </row>
    <row r="1054" spans="1:45" s="299" customFormat="1" ht="27.6">
      <c r="A1054" s="353">
        <v>630</v>
      </c>
      <c r="B1054" s="352">
        <v>400</v>
      </c>
      <c r="C1054" s="357">
        <v>600</v>
      </c>
      <c r="D1054" s="357"/>
      <c r="E1054" s="357"/>
      <c r="F1054" s="357"/>
      <c r="G1054" s="315" t="s">
        <v>362</v>
      </c>
      <c r="H1054" s="314"/>
      <c r="I1054" s="311"/>
      <c r="J1054" s="311"/>
      <c r="K1054" s="311"/>
      <c r="L1054" s="311"/>
      <c r="M1054" s="311"/>
      <c r="N1054" s="312"/>
      <c r="O1054" s="314"/>
      <c r="P1054" s="311">
        <v>0</v>
      </c>
      <c r="Q1054" s="312"/>
      <c r="R1054" s="313">
        <v>8515.18</v>
      </c>
      <c r="S1054" s="311"/>
      <c r="T1054" s="311"/>
      <c r="U1054" s="311">
        <v>1265</v>
      </c>
      <c r="V1054" s="311"/>
      <c r="W1054" s="311"/>
      <c r="X1054" s="311">
        <v>1265</v>
      </c>
      <c r="Y1054" s="1356">
        <f t="shared" si="115"/>
        <v>8515.18</v>
      </c>
      <c r="Z1054" s="1357">
        <f t="shared" si="116"/>
        <v>0</v>
      </c>
      <c r="AA1054" s="311">
        <f t="shared" si="117"/>
        <v>0</v>
      </c>
      <c r="AB1054" s="311">
        <f t="shared" si="118"/>
        <v>1265</v>
      </c>
      <c r="AC1054" s="311">
        <f t="shared" si="119"/>
        <v>0</v>
      </c>
      <c r="AD1054" s="311">
        <f t="shared" si="120"/>
        <v>0</v>
      </c>
      <c r="AE1054" s="311">
        <f t="shared" si="121"/>
        <v>1265</v>
      </c>
      <c r="AF1054" s="355" t="s">
        <v>363</v>
      </c>
      <c r="AG1054" s="838"/>
      <c r="AH1054" s="744"/>
      <c r="AI1054" s="292"/>
      <c r="AK1054" s="300"/>
      <c r="AS1054" s="452"/>
    </row>
    <row r="1055" spans="1:45" s="299" customFormat="1" ht="41.4">
      <c r="A1055" s="353">
        <v>630</v>
      </c>
      <c r="B1055" s="352">
        <v>400</v>
      </c>
      <c r="C1055" s="352">
        <v>700</v>
      </c>
      <c r="D1055" s="357"/>
      <c r="E1055" s="357"/>
      <c r="F1055" s="357"/>
      <c r="G1055" s="315" t="s">
        <v>364</v>
      </c>
      <c r="H1055" s="314"/>
      <c r="I1055" s="311"/>
      <c r="J1055" s="311"/>
      <c r="K1055" s="311"/>
      <c r="L1055" s="311"/>
      <c r="M1055" s="311"/>
      <c r="N1055" s="312"/>
      <c r="O1055" s="314"/>
      <c r="P1055" s="311">
        <v>0</v>
      </c>
      <c r="Q1055" s="312"/>
      <c r="R1055" s="313"/>
      <c r="S1055" s="311"/>
      <c r="T1055" s="311"/>
      <c r="U1055" s="311"/>
      <c r="V1055" s="311"/>
      <c r="W1055" s="311"/>
      <c r="X1055" s="311"/>
      <c r="Y1055" s="1356">
        <f t="shared" si="115"/>
        <v>0</v>
      </c>
      <c r="Z1055" s="1357">
        <f t="shared" si="116"/>
        <v>0</v>
      </c>
      <c r="AA1055" s="311">
        <f t="shared" si="117"/>
        <v>0</v>
      </c>
      <c r="AB1055" s="311">
        <f t="shared" si="118"/>
        <v>0</v>
      </c>
      <c r="AC1055" s="311">
        <f t="shared" si="119"/>
        <v>0</v>
      </c>
      <c r="AD1055" s="311">
        <f t="shared" si="120"/>
        <v>0</v>
      </c>
      <c r="AE1055" s="311">
        <f t="shared" si="121"/>
        <v>0</v>
      </c>
      <c r="AF1055" s="355" t="s">
        <v>365</v>
      </c>
      <c r="AG1055" s="838"/>
      <c r="AH1055" s="744"/>
      <c r="AI1055" s="292"/>
      <c r="AK1055" s="300"/>
      <c r="AS1055" s="452"/>
    </row>
    <row r="1056" spans="1:45" s="299" customFormat="1">
      <c r="A1056" s="338">
        <v>640</v>
      </c>
      <c r="B1056" s="337">
        <v>0</v>
      </c>
      <c r="C1056" s="337">
        <v>0</v>
      </c>
      <c r="D1056" s="337">
        <v>0</v>
      </c>
      <c r="E1056" s="337">
        <v>0</v>
      </c>
      <c r="F1056" s="337">
        <v>0</v>
      </c>
      <c r="G1056" s="336" t="s">
        <v>366</v>
      </c>
      <c r="H1056" s="334"/>
      <c r="I1056" s="335"/>
      <c r="J1056" s="335"/>
      <c r="K1056" s="335"/>
      <c r="L1056" s="335"/>
      <c r="M1056" s="335"/>
      <c r="N1056" s="332"/>
      <c r="O1056" s="334"/>
      <c r="P1056" s="331">
        <v>0</v>
      </c>
      <c r="Q1056" s="332"/>
      <c r="R1056" s="333"/>
      <c r="S1056" s="331"/>
      <c r="T1056" s="331"/>
      <c r="U1056" s="331"/>
      <c r="V1056" s="331"/>
      <c r="W1056" s="331"/>
      <c r="X1056" s="331"/>
      <c r="Y1056" s="1352">
        <f t="shared" si="115"/>
        <v>0</v>
      </c>
      <c r="Z1056" s="1353">
        <f t="shared" si="116"/>
        <v>0</v>
      </c>
      <c r="AA1056" s="331">
        <f t="shared" si="117"/>
        <v>0</v>
      </c>
      <c r="AB1056" s="331">
        <f t="shared" si="118"/>
        <v>0</v>
      </c>
      <c r="AC1056" s="331">
        <f t="shared" si="119"/>
        <v>0</v>
      </c>
      <c r="AD1056" s="331">
        <f t="shared" si="120"/>
        <v>0</v>
      </c>
      <c r="AE1056" s="331">
        <f t="shared" si="121"/>
        <v>0</v>
      </c>
      <c r="AF1056" s="330"/>
      <c r="AG1056" s="837"/>
      <c r="AH1056" s="744">
        <f>SUM(Y1056:Y1098)</f>
        <v>779235.57000000007</v>
      </c>
      <c r="AI1056" s="292" t="s">
        <v>2252</v>
      </c>
      <c r="AK1056" s="300"/>
      <c r="AS1056" s="452"/>
    </row>
    <row r="1057" spans="1:45" s="740" customFormat="1">
      <c r="A1057" s="736">
        <v>640</v>
      </c>
      <c r="B1057" s="737">
        <v>100</v>
      </c>
      <c r="C1057" s="737"/>
      <c r="D1057" s="737"/>
      <c r="E1057" s="737"/>
      <c r="F1057" s="737"/>
      <c r="G1057" s="738" t="s">
        <v>367</v>
      </c>
      <c r="H1057" s="314"/>
      <c r="I1057" s="311"/>
      <c r="J1057" s="311"/>
      <c r="K1057" s="311"/>
      <c r="L1057" s="311"/>
      <c r="M1057" s="311"/>
      <c r="N1057" s="312"/>
      <c r="O1057" s="314"/>
      <c r="P1057" s="311">
        <v>0</v>
      </c>
      <c r="Q1057" s="312"/>
      <c r="R1057" s="313">
        <v>6500</v>
      </c>
      <c r="S1057" s="326"/>
      <c r="T1057" s="326"/>
      <c r="U1057" s="326">
        <v>6500</v>
      </c>
      <c r="V1057" s="326"/>
      <c r="W1057" s="326"/>
      <c r="X1057" s="326">
        <v>115000</v>
      </c>
      <c r="Y1057" s="1356">
        <f t="shared" si="115"/>
        <v>6500</v>
      </c>
      <c r="Z1057" s="1351">
        <f t="shared" si="116"/>
        <v>0</v>
      </c>
      <c r="AA1057" s="326">
        <f t="shared" si="117"/>
        <v>0</v>
      </c>
      <c r="AB1057" s="326">
        <f t="shared" si="118"/>
        <v>6500</v>
      </c>
      <c r="AC1057" s="326">
        <f t="shared" si="119"/>
        <v>0</v>
      </c>
      <c r="AD1057" s="326">
        <f t="shared" si="120"/>
        <v>0</v>
      </c>
      <c r="AE1057" s="326">
        <f t="shared" si="121"/>
        <v>115000</v>
      </c>
      <c r="AF1057" s="739" t="s">
        <v>368</v>
      </c>
      <c r="AG1057" s="838"/>
      <c r="AH1057" s="367"/>
      <c r="AK1057" s="741"/>
      <c r="AS1057" s="367"/>
    </row>
    <row r="1058" spans="1:45" s="299" customFormat="1" ht="27.6">
      <c r="A1058" s="353">
        <v>640</v>
      </c>
      <c r="B1058" s="352">
        <v>200</v>
      </c>
      <c r="C1058" s="352"/>
      <c r="D1058" s="352"/>
      <c r="E1058" s="352"/>
      <c r="F1058" s="352"/>
      <c r="G1058" s="323" t="s">
        <v>369</v>
      </c>
      <c r="H1058" s="322"/>
      <c r="I1058" s="320"/>
      <c r="J1058" s="320"/>
      <c r="K1058" s="320"/>
      <c r="L1058" s="320"/>
      <c r="M1058" s="320"/>
      <c r="N1058" s="321"/>
      <c r="O1058" s="322"/>
      <c r="P1058" s="320">
        <v>0</v>
      </c>
      <c r="Q1058" s="321"/>
      <c r="R1058" s="530"/>
      <c r="S1058" s="320"/>
      <c r="T1058" s="320"/>
      <c r="U1058" s="320"/>
      <c r="V1058" s="320"/>
      <c r="W1058" s="320"/>
      <c r="X1058" s="320"/>
      <c r="Y1058" s="1392">
        <f t="shared" si="115"/>
        <v>0</v>
      </c>
      <c r="Z1058" s="1389">
        <f t="shared" si="116"/>
        <v>0</v>
      </c>
      <c r="AA1058" s="320">
        <f t="shared" si="117"/>
        <v>0</v>
      </c>
      <c r="AB1058" s="320">
        <f t="shared" si="118"/>
        <v>0</v>
      </c>
      <c r="AC1058" s="320">
        <f t="shared" si="119"/>
        <v>0</v>
      </c>
      <c r="AD1058" s="320">
        <f t="shared" si="120"/>
        <v>0</v>
      </c>
      <c r="AE1058" s="320">
        <f t="shared" si="121"/>
        <v>0</v>
      </c>
      <c r="AF1058" s="355"/>
      <c r="AG1058" s="838"/>
      <c r="AH1058" s="744"/>
      <c r="AI1058" s="292"/>
      <c r="AK1058" s="300"/>
      <c r="AS1058" s="452"/>
    </row>
    <row r="1059" spans="1:45" s="299" customFormat="1" ht="41.4">
      <c r="A1059" s="353">
        <v>640</v>
      </c>
      <c r="B1059" s="352">
        <v>200</v>
      </c>
      <c r="C1059" s="357">
        <v>100</v>
      </c>
      <c r="D1059" s="357"/>
      <c r="E1059" s="357"/>
      <c r="F1059" s="357"/>
      <c r="G1059" s="315" t="s">
        <v>370</v>
      </c>
      <c r="H1059" s="314"/>
      <c r="I1059" s="311"/>
      <c r="J1059" s="311"/>
      <c r="K1059" s="311"/>
      <c r="L1059" s="311"/>
      <c r="M1059" s="311"/>
      <c r="N1059" s="312"/>
      <c r="O1059" s="314"/>
      <c r="P1059" s="311">
        <v>0</v>
      </c>
      <c r="Q1059" s="312"/>
      <c r="R1059" s="313"/>
      <c r="S1059" s="311"/>
      <c r="T1059" s="311"/>
      <c r="U1059" s="311"/>
      <c r="V1059" s="311"/>
      <c r="W1059" s="311"/>
      <c r="X1059" s="311"/>
      <c r="Y1059" s="1356">
        <f t="shared" si="115"/>
        <v>0</v>
      </c>
      <c r="Z1059" s="1357">
        <f t="shared" si="116"/>
        <v>0</v>
      </c>
      <c r="AA1059" s="311">
        <f t="shared" si="117"/>
        <v>0</v>
      </c>
      <c r="AB1059" s="311">
        <f t="shared" si="118"/>
        <v>0</v>
      </c>
      <c r="AC1059" s="311">
        <f t="shared" si="119"/>
        <v>0</v>
      </c>
      <c r="AD1059" s="311">
        <f t="shared" si="120"/>
        <v>0</v>
      </c>
      <c r="AE1059" s="311">
        <f t="shared" si="121"/>
        <v>0</v>
      </c>
      <c r="AF1059" s="355" t="s">
        <v>371</v>
      </c>
      <c r="AG1059" s="838"/>
      <c r="AH1059" s="744"/>
      <c r="AI1059" s="292"/>
      <c r="AK1059" s="300"/>
      <c r="AS1059" s="452"/>
    </row>
    <row r="1060" spans="1:45" s="299" customFormat="1" ht="27.6">
      <c r="A1060" s="353">
        <v>640</v>
      </c>
      <c r="B1060" s="352">
        <v>200</v>
      </c>
      <c r="C1060" s="357">
        <v>200</v>
      </c>
      <c r="D1060" s="357"/>
      <c r="E1060" s="357"/>
      <c r="F1060" s="357"/>
      <c r="G1060" s="315" t="s">
        <v>372</v>
      </c>
      <c r="H1060" s="314"/>
      <c r="I1060" s="311"/>
      <c r="J1060" s="311"/>
      <c r="K1060" s="311"/>
      <c r="L1060" s="311"/>
      <c r="M1060" s="311"/>
      <c r="N1060" s="312"/>
      <c r="O1060" s="314"/>
      <c r="P1060" s="311">
        <v>0</v>
      </c>
      <c r="Q1060" s="312"/>
      <c r="R1060" s="313"/>
      <c r="S1060" s="311"/>
      <c r="T1060" s="311"/>
      <c r="U1060" s="311"/>
      <c r="V1060" s="311"/>
      <c r="W1060" s="311"/>
      <c r="X1060" s="311"/>
      <c r="Y1060" s="1356">
        <f t="shared" si="115"/>
        <v>0</v>
      </c>
      <c r="Z1060" s="1357">
        <f t="shared" si="116"/>
        <v>0</v>
      </c>
      <c r="AA1060" s="311">
        <f t="shared" si="117"/>
        <v>0</v>
      </c>
      <c r="AB1060" s="311">
        <f t="shared" si="118"/>
        <v>0</v>
      </c>
      <c r="AC1060" s="311">
        <f t="shared" si="119"/>
        <v>0</v>
      </c>
      <c r="AD1060" s="311">
        <f t="shared" si="120"/>
        <v>0</v>
      </c>
      <c r="AE1060" s="311">
        <f t="shared" si="121"/>
        <v>0</v>
      </c>
      <c r="AF1060" s="355" t="s">
        <v>373</v>
      </c>
      <c r="AG1060" s="838"/>
      <c r="AH1060" s="744"/>
      <c r="AI1060" s="292"/>
      <c r="AK1060" s="300"/>
      <c r="AS1060" s="452"/>
    </row>
    <row r="1061" spans="1:45" s="299" customFormat="1" ht="41.4">
      <c r="A1061" s="353">
        <v>640</v>
      </c>
      <c r="B1061" s="352">
        <v>300</v>
      </c>
      <c r="C1061" s="352"/>
      <c r="D1061" s="352"/>
      <c r="E1061" s="352"/>
      <c r="F1061" s="352"/>
      <c r="G1061" s="323" t="s">
        <v>374</v>
      </c>
      <c r="H1061" s="322"/>
      <c r="I1061" s="320"/>
      <c r="J1061" s="320"/>
      <c r="K1061" s="320"/>
      <c r="L1061" s="320"/>
      <c r="M1061" s="320"/>
      <c r="N1061" s="321"/>
      <c r="O1061" s="322"/>
      <c r="P1061" s="320">
        <v>0</v>
      </c>
      <c r="Q1061" s="321"/>
      <c r="R1061" s="530"/>
      <c r="S1061" s="320"/>
      <c r="T1061" s="320"/>
      <c r="U1061" s="320"/>
      <c r="V1061" s="320"/>
      <c r="W1061" s="320"/>
      <c r="X1061" s="320"/>
      <c r="Y1061" s="1392">
        <f t="shared" si="115"/>
        <v>0</v>
      </c>
      <c r="Z1061" s="1389">
        <f t="shared" si="116"/>
        <v>0</v>
      </c>
      <c r="AA1061" s="320">
        <f t="shared" si="117"/>
        <v>0</v>
      </c>
      <c r="AB1061" s="320">
        <f t="shared" si="118"/>
        <v>0</v>
      </c>
      <c r="AC1061" s="320">
        <f t="shared" si="119"/>
        <v>0</v>
      </c>
      <c r="AD1061" s="320">
        <f t="shared" si="120"/>
        <v>0</v>
      </c>
      <c r="AE1061" s="320">
        <f t="shared" si="121"/>
        <v>0</v>
      </c>
      <c r="AF1061" s="355"/>
      <c r="AG1061" s="838"/>
      <c r="AH1061" s="744"/>
      <c r="AI1061" s="292"/>
      <c r="AK1061" s="300"/>
      <c r="AS1061" s="452"/>
    </row>
    <row r="1062" spans="1:45" s="299" customFormat="1" ht="69">
      <c r="A1062" s="353">
        <v>640</v>
      </c>
      <c r="B1062" s="352">
        <v>300</v>
      </c>
      <c r="C1062" s="352">
        <v>100</v>
      </c>
      <c r="D1062" s="357"/>
      <c r="E1062" s="357"/>
      <c r="F1062" s="357"/>
      <c r="G1062" s="315" t="s">
        <v>375</v>
      </c>
      <c r="H1062" s="314"/>
      <c r="I1062" s="311"/>
      <c r="J1062" s="311"/>
      <c r="K1062" s="311"/>
      <c r="L1062" s="311"/>
      <c r="M1062" s="311"/>
      <c r="N1062" s="312"/>
      <c r="O1062" s="314"/>
      <c r="P1062" s="311">
        <v>0</v>
      </c>
      <c r="Q1062" s="312"/>
      <c r="R1062" s="313"/>
      <c r="S1062" s="311"/>
      <c r="T1062" s="311"/>
      <c r="U1062" s="311"/>
      <c r="V1062" s="311"/>
      <c r="W1062" s="311"/>
      <c r="X1062" s="311"/>
      <c r="Y1062" s="1356">
        <f t="shared" si="115"/>
        <v>0</v>
      </c>
      <c r="Z1062" s="1357">
        <f t="shared" si="116"/>
        <v>0</v>
      </c>
      <c r="AA1062" s="311">
        <f t="shared" si="117"/>
        <v>0</v>
      </c>
      <c r="AB1062" s="311">
        <f t="shared" si="118"/>
        <v>0</v>
      </c>
      <c r="AC1062" s="311">
        <f t="shared" si="119"/>
        <v>0</v>
      </c>
      <c r="AD1062" s="311">
        <f t="shared" si="120"/>
        <v>0</v>
      </c>
      <c r="AE1062" s="311">
        <f t="shared" si="121"/>
        <v>0</v>
      </c>
      <c r="AF1062" s="355" t="s">
        <v>376</v>
      </c>
      <c r="AG1062" s="838"/>
      <c r="AH1062" s="744"/>
      <c r="AI1062" s="292"/>
      <c r="AK1062" s="300"/>
      <c r="AS1062" s="452"/>
    </row>
    <row r="1063" spans="1:45" s="299" customFormat="1" ht="41.4">
      <c r="A1063" s="353">
        <v>640</v>
      </c>
      <c r="B1063" s="352">
        <v>300</v>
      </c>
      <c r="C1063" s="352">
        <v>200</v>
      </c>
      <c r="D1063" s="357"/>
      <c r="E1063" s="357"/>
      <c r="F1063" s="357"/>
      <c r="G1063" s="315" t="s">
        <v>377</v>
      </c>
      <c r="H1063" s="314"/>
      <c r="I1063" s="311"/>
      <c r="J1063" s="311"/>
      <c r="K1063" s="311"/>
      <c r="L1063" s="311"/>
      <c r="M1063" s="311"/>
      <c r="N1063" s="312"/>
      <c r="O1063" s="314"/>
      <c r="P1063" s="311">
        <v>0</v>
      </c>
      <c r="Q1063" s="312"/>
      <c r="R1063" s="313"/>
      <c r="S1063" s="311"/>
      <c r="T1063" s="311"/>
      <c r="U1063" s="311"/>
      <c r="V1063" s="311"/>
      <c r="W1063" s="311"/>
      <c r="X1063" s="311"/>
      <c r="Y1063" s="1356">
        <f t="shared" si="115"/>
        <v>0</v>
      </c>
      <c r="Z1063" s="1357">
        <f t="shared" si="116"/>
        <v>0</v>
      </c>
      <c r="AA1063" s="311">
        <f t="shared" si="117"/>
        <v>0</v>
      </c>
      <c r="AB1063" s="311">
        <f t="shared" si="118"/>
        <v>0</v>
      </c>
      <c r="AC1063" s="311">
        <f t="shared" si="119"/>
        <v>0</v>
      </c>
      <c r="AD1063" s="311">
        <f t="shared" si="120"/>
        <v>0</v>
      </c>
      <c r="AE1063" s="311">
        <f t="shared" si="121"/>
        <v>0</v>
      </c>
      <c r="AF1063" s="355" t="s">
        <v>378</v>
      </c>
      <c r="AG1063" s="838"/>
      <c r="AH1063" s="744"/>
      <c r="AI1063" s="292"/>
      <c r="AK1063" s="300"/>
      <c r="AS1063" s="452"/>
    </row>
    <row r="1064" spans="1:45" s="299" customFormat="1" ht="41.4">
      <c r="A1064" s="353">
        <v>640</v>
      </c>
      <c r="B1064" s="352">
        <v>300</v>
      </c>
      <c r="C1064" s="352">
        <v>300</v>
      </c>
      <c r="D1064" s="357"/>
      <c r="E1064" s="357"/>
      <c r="F1064" s="357"/>
      <c r="G1064" s="323" t="s">
        <v>379</v>
      </c>
      <c r="H1064" s="322"/>
      <c r="I1064" s="320"/>
      <c r="J1064" s="320"/>
      <c r="K1064" s="320"/>
      <c r="L1064" s="320"/>
      <c r="M1064" s="320"/>
      <c r="N1064" s="321"/>
      <c r="O1064" s="322"/>
      <c r="P1064" s="320">
        <v>0</v>
      </c>
      <c r="Q1064" s="321"/>
      <c r="R1064" s="530"/>
      <c r="S1064" s="320"/>
      <c r="T1064" s="320"/>
      <c r="U1064" s="320"/>
      <c r="V1064" s="320"/>
      <c r="W1064" s="320"/>
      <c r="X1064" s="320"/>
      <c r="Y1064" s="1392">
        <f t="shared" si="115"/>
        <v>0</v>
      </c>
      <c r="Z1064" s="1389">
        <f t="shared" si="116"/>
        <v>0</v>
      </c>
      <c r="AA1064" s="320">
        <f t="shared" si="117"/>
        <v>0</v>
      </c>
      <c r="AB1064" s="320">
        <f t="shared" si="118"/>
        <v>0</v>
      </c>
      <c r="AC1064" s="320">
        <f t="shared" si="119"/>
        <v>0</v>
      </c>
      <c r="AD1064" s="320">
        <f t="shared" si="120"/>
        <v>0</v>
      </c>
      <c r="AE1064" s="320">
        <f t="shared" si="121"/>
        <v>0</v>
      </c>
      <c r="AF1064" s="355" t="s">
        <v>380</v>
      </c>
      <c r="AG1064" s="838"/>
      <c r="AH1064" s="744"/>
      <c r="AI1064" s="292"/>
      <c r="AK1064" s="300"/>
      <c r="AS1064" s="452"/>
    </row>
    <row r="1065" spans="1:45" s="299" customFormat="1" ht="27.6">
      <c r="A1065" s="353">
        <v>640</v>
      </c>
      <c r="B1065" s="352">
        <v>300</v>
      </c>
      <c r="C1065" s="352">
        <v>300</v>
      </c>
      <c r="D1065" s="357">
        <v>100</v>
      </c>
      <c r="E1065" s="357"/>
      <c r="F1065" s="357"/>
      <c r="G1065" s="315" t="s">
        <v>342</v>
      </c>
      <c r="H1065" s="314"/>
      <c r="I1065" s="311"/>
      <c r="J1065" s="311"/>
      <c r="K1065" s="311"/>
      <c r="L1065" s="311"/>
      <c r="M1065" s="311"/>
      <c r="N1065" s="312"/>
      <c r="O1065" s="314"/>
      <c r="P1065" s="311">
        <v>0</v>
      </c>
      <c r="Q1065" s="312"/>
      <c r="R1065" s="313">
        <v>142550</v>
      </c>
      <c r="S1065" s="311"/>
      <c r="T1065" s="311"/>
      <c r="U1065" s="311">
        <v>164654.96</v>
      </c>
      <c r="V1065" s="311"/>
      <c r="W1065" s="311"/>
      <c r="X1065" s="311">
        <v>142000</v>
      </c>
      <c r="Y1065" s="1356">
        <f t="shared" si="115"/>
        <v>142550</v>
      </c>
      <c r="Z1065" s="1357">
        <f t="shared" si="116"/>
        <v>0</v>
      </c>
      <c r="AA1065" s="311">
        <f t="shared" si="117"/>
        <v>0</v>
      </c>
      <c r="AB1065" s="311">
        <f t="shared" si="118"/>
        <v>164654.96</v>
      </c>
      <c r="AC1065" s="311">
        <f t="shared" si="119"/>
        <v>0</v>
      </c>
      <c r="AD1065" s="311">
        <f t="shared" si="120"/>
        <v>0</v>
      </c>
      <c r="AE1065" s="311">
        <f t="shared" si="121"/>
        <v>142000</v>
      </c>
      <c r="AF1065" s="355"/>
      <c r="AG1065" s="838"/>
      <c r="AH1065" s="744"/>
      <c r="AI1065" s="292"/>
      <c r="AK1065" s="300"/>
      <c r="AS1065" s="452"/>
    </row>
    <row r="1066" spans="1:45" s="299" customFormat="1">
      <c r="A1066" s="353">
        <v>640</v>
      </c>
      <c r="B1066" s="352">
        <v>300</v>
      </c>
      <c r="C1066" s="352">
        <v>300</v>
      </c>
      <c r="D1066" s="357">
        <v>200</v>
      </c>
      <c r="E1066" s="357"/>
      <c r="F1066" s="357"/>
      <c r="G1066" s="315" t="s">
        <v>381</v>
      </c>
      <c r="H1066" s="314"/>
      <c r="I1066" s="311"/>
      <c r="J1066" s="311"/>
      <c r="K1066" s="311"/>
      <c r="L1066" s="311"/>
      <c r="M1066" s="311"/>
      <c r="N1066" s="312"/>
      <c r="O1066" s="314"/>
      <c r="P1066" s="311">
        <v>0</v>
      </c>
      <c r="Q1066" s="312"/>
      <c r="R1066" s="313"/>
      <c r="S1066" s="311"/>
      <c r="T1066" s="311"/>
      <c r="U1066" s="311"/>
      <c r="V1066" s="311"/>
      <c r="W1066" s="311"/>
      <c r="X1066" s="311">
        <v>0</v>
      </c>
      <c r="Y1066" s="1356">
        <f t="shared" si="115"/>
        <v>0</v>
      </c>
      <c r="Z1066" s="1357">
        <f t="shared" si="116"/>
        <v>0</v>
      </c>
      <c r="AA1066" s="311">
        <f t="shared" si="117"/>
        <v>0</v>
      </c>
      <c r="AB1066" s="311">
        <f t="shared" si="118"/>
        <v>0</v>
      </c>
      <c r="AC1066" s="311">
        <f t="shared" si="119"/>
        <v>0</v>
      </c>
      <c r="AD1066" s="311">
        <f t="shared" si="120"/>
        <v>0</v>
      </c>
      <c r="AE1066" s="311">
        <f t="shared" si="121"/>
        <v>0</v>
      </c>
      <c r="AF1066" s="355"/>
      <c r="AG1066" s="838"/>
      <c r="AH1066" s="744"/>
      <c r="AI1066" s="292"/>
      <c r="AK1066" s="300"/>
      <c r="AS1066" s="452"/>
    </row>
    <row r="1067" spans="1:45" s="299" customFormat="1">
      <c r="A1067" s="353">
        <v>640</v>
      </c>
      <c r="B1067" s="352">
        <v>300</v>
      </c>
      <c r="C1067" s="352">
        <v>300</v>
      </c>
      <c r="D1067" s="357">
        <v>900</v>
      </c>
      <c r="E1067" s="357"/>
      <c r="F1067" s="357"/>
      <c r="G1067" s="315" t="s">
        <v>382</v>
      </c>
      <c r="H1067" s="314"/>
      <c r="I1067" s="311"/>
      <c r="J1067" s="311"/>
      <c r="K1067" s="311"/>
      <c r="L1067" s="311"/>
      <c r="M1067" s="311"/>
      <c r="N1067" s="312"/>
      <c r="O1067" s="314"/>
      <c r="P1067" s="311">
        <v>0</v>
      </c>
      <c r="Q1067" s="312"/>
      <c r="R1067" s="313">
        <v>62729.39</v>
      </c>
      <c r="S1067" s="834"/>
      <c r="T1067" s="311"/>
      <c r="U1067" s="311">
        <v>86110</v>
      </c>
      <c r="V1067" s="311"/>
      <c r="W1067" s="311"/>
      <c r="X1067" s="311">
        <v>107702</v>
      </c>
      <c r="Y1067" s="1356">
        <f t="shared" si="115"/>
        <v>62729.39</v>
      </c>
      <c r="Z1067" s="1357">
        <f t="shared" si="116"/>
        <v>0</v>
      </c>
      <c r="AA1067" s="311">
        <f t="shared" si="117"/>
        <v>0</v>
      </c>
      <c r="AB1067" s="311">
        <f t="shared" si="118"/>
        <v>86110</v>
      </c>
      <c r="AC1067" s="311">
        <f t="shared" si="119"/>
        <v>0</v>
      </c>
      <c r="AD1067" s="311">
        <f t="shared" si="120"/>
        <v>0</v>
      </c>
      <c r="AE1067" s="311">
        <f t="shared" si="121"/>
        <v>107702</v>
      </c>
      <c r="AF1067" s="355"/>
      <c r="AG1067" s="838">
        <v>-36000</v>
      </c>
      <c r="AH1067" s="744"/>
      <c r="AI1067" s="292"/>
      <c r="AK1067" s="300"/>
      <c r="AS1067" s="452"/>
    </row>
    <row r="1068" spans="1:45" s="299" customFormat="1" ht="27.6">
      <c r="A1068" s="353">
        <v>640</v>
      </c>
      <c r="B1068" s="352">
        <v>300</v>
      </c>
      <c r="C1068" s="352">
        <v>400</v>
      </c>
      <c r="D1068" s="352"/>
      <c r="E1068" s="352"/>
      <c r="F1068" s="352"/>
      <c r="G1068" s="323" t="s">
        <v>383</v>
      </c>
      <c r="H1068" s="314"/>
      <c r="I1068" s="311"/>
      <c r="J1068" s="311"/>
      <c r="K1068" s="311"/>
      <c r="L1068" s="311"/>
      <c r="M1068" s="311"/>
      <c r="N1068" s="312"/>
      <c r="O1068" s="314"/>
      <c r="P1068" s="311">
        <v>0</v>
      </c>
      <c r="Q1068" s="312"/>
      <c r="R1068" s="313"/>
      <c r="S1068" s="326"/>
      <c r="T1068" s="326"/>
      <c r="U1068" s="326"/>
      <c r="V1068" s="326"/>
      <c r="W1068" s="326"/>
      <c r="X1068" s="326"/>
      <c r="Y1068" s="1356">
        <f t="shared" si="115"/>
        <v>0</v>
      </c>
      <c r="Z1068" s="1351">
        <f t="shared" si="116"/>
        <v>0</v>
      </c>
      <c r="AA1068" s="326">
        <f t="shared" si="117"/>
        <v>0</v>
      </c>
      <c r="AB1068" s="326">
        <f t="shared" si="118"/>
        <v>0</v>
      </c>
      <c r="AC1068" s="326">
        <f t="shared" si="119"/>
        <v>0</v>
      </c>
      <c r="AD1068" s="326">
        <f t="shared" si="120"/>
        <v>0</v>
      </c>
      <c r="AE1068" s="326">
        <f t="shared" si="121"/>
        <v>0</v>
      </c>
      <c r="AF1068" s="355" t="s">
        <v>384</v>
      </c>
      <c r="AG1068" s="838"/>
      <c r="AH1068" s="744"/>
      <c r="AI1068" s="292"/>
      <c r="AK1068" s="300"/>
      <c r="AS1068" s="452"/>
    </row>
    <row r="1069" spans="1:45" s="299" customFormat="1" ht="27.6">
      <c r="A1069" s="353">
        <v>640</v>
      </c>
      <c r="B1069" s="352">
        <v>400</v>
      </c>
      <c r="C1069" s="352"/>
      <c r="D1069" s="352"/>
      <c r="E1069" s="352"/>
      <c r="F1069" s="352"/>
      <c r="G1069" s="323" t="s">
        <v>385</v>
      </c>
      <c r="H1069" s="322"/>
      <c r="I1069" s="320"/>
      <c r="J1069" s="320"/>
      <c r="K1069" s="320"/>
      <c r="L1069" s="320"/>
      <c r="M1069" s="320"/>
      <c r="N1069" s="321"/>
      <c r="O1069" s="322"/>
      <c r="P1069" s="320">
        <v>0</v>
      </c>
      <c r="Q1069" s="321"/>
      <c r="R1069" s="530"/>
      <c r="S1069" s="320"/>
      <c r="T1069" s="320"/>
      <c r="U1069" s="320"/>
      <c r="V1069" s="320"/>
      <c r="W1069" s="320"/>
      <c r="X1069" s="320"/>
      <c r="Y1069" s="1392">
        <f t="shared" si="115"/>
        <v>0</v>
      </c>
      <c r="Z1069" s="1389">
        <f t="shared" si="116"/>
        <v>0</v>
      </c>
      <c r="AA1069" s="320">
        <f t="shared" si="117"/>
        <v>0</v>
      </c>
      <c r="AB1069" s="320">
        <f t="shared" si="118"/>
        <v>0</v>
      </c>
      <c r="AC1069" s="320">
        <f t="shared" si="119"/>
        <v>0</v>
      </c>
      <c r="AD1069" s="320">
        <f t="shared" si="120"/>
        <v>0</v>
      </c>
      <c r="AE1069" s="320">
        <f t="shared" si="121"/>
        <v>0</v>
      </c>
      <c r="AF1069" s="355" t="s">
        <v>386</v>
      </c>
      <c r="AG1069" s="838"/>
      <c r="AH1069" s="744"/>
      <c r="AI1069" s="292"/>
      <c r="AK1069" s="300"/>
      <c r="AS1069" s="452"/>
    </row>
    <row r="1070" spans="1:45" s="299" customFormat="1" ht="55.2">
      <c r="A1070" s="353">
        <v>640</v>
      </c>
      <c r="B1070" s="352">
        <v>400</v>
      </c>
      <c r="C1070" s="357">
        <v>100</v>
      </c>
      <c r="D1070" s="357"/>
      <c r="E1070" s="357"/>
      <c r="F1070" s="357"/>
      <c r="G1070" s="315" t="s">
        <v>387</v>
      </c>
      <c r="H1070" s="314"/>
      <c r="I1070" s="311"/>
      <c r="J1070" s="311"/>
      <c r="K1070" s="311"/>
      <c r="L1070" s="311"/>
      <c r="M1070" s="311"/>
      <c r="N1070" s="312"/>
      <c r="O1070" s="314"/>
      <c r="P1070" s="311">
        <v>0</v>
      </c>
      <c r="Q1070" s="312"/>
      <c r="R1070" s="313">
        <v>64827.19</v>
      </c>
      <c r="S1070" s="311"/>
      <c r="T1070" s="311"/>
      <c r="U1070" s="311">
        <v>62999.281496478863</v>
      </c>
      <c r="V1070" s="311"/>
      <c r="W1070" s="311"/>
      <c r="X1070" s="311">
        <v>34950</v>
      </c>
      <c r="Y1070" s="1356">
        <f t="shared" si="115"/>
        <v>64827.19</v>
      </c>
      <c r="Z1070" s="1357">
        <f t="shared" si="116"/>
        <v>0</v>
      </c>
      <c r="AA1070" s="311">
        <f t="shared" si="117"/>
        <v>0</v>
      </c>
      <c r="AB1070" s="311">
        <f t="shared" si="118"/>
        <v>62999.281496478863</v>
      </c>
      <c r="AC1070" s="311">
        <f t="shared" si="119"/>
        <v>0</v>
      </c>
      <c r="AD1070" s="311">
        <f t="shared" si="120"/>
        <v>0</v>
      </c>
      <c r="AE1070" s="311">
        <f t="shared" si="121"/>
        <v>34950</v>
      </c>
      <c r="AF1070" s="355" t="s">
        <v>388</v>
      </c>
      <c r="AG1070" s="838"/>
      <c r="AH1070" s="744"/>
      <c r="AI1070" s="292"/>
      <c r="AK1070" s="300"/>
      <c r="AS1070" s="452"/>
    </row>
    <row r="1071" spans="1:45" s="299" customFormat="1" ht="27.6">
      <c r="A1071" s="353">
        <v>640</v>
      </c>
      <c r="B1071" s="352">
        <v>400</v>
      </c>
      <c r="C1071" s="357">
        <v>200</v>
      </c>
      <c r="D1071" s="357"/>
      <c r="E1071" s="357"/>
      <c r="F1071" s="357"/>
      <c r="G1071" s="315" t="s">
        <v>389</v>
      </c>
      <c r="H1071" s="314"/>
      <c r="I1071" s="311"/>
      <c r="J1071" s="311"/>
      <c r="K1071" s="311"/>
      <c r="L1071" s="311"/>
      <c r="M1071" s="311"/>
      <c r="N1071" s="312"/>
      <c r="O1071" s="314"/>
      <c r="P1071" s="311">
        <v>0</v>
      </c>
      <c r="Q1071" s="312"/>
      <c r="R1071" s="313"/>
      <c r="S1071" s="311"/>
      <c r="T1071" s="311"/>
      <c r="U1071" s="311"/>
      <c r="V1071" s="311"/>
      <c r="W1071" s="311"/>
      <c r="X1071" s="311"/>
      <c r="Y1071" s="1356">
        <f t="shared" si="115"/>
        <v>0</v>
      </c>
      <c r="Z1071" s="1357">
        <f t="shared" si="116"/>
        <v>0</v>
      </c>
      <c r="AA1071" s="311">
        <f t="shared" si="117"/>
        <v>0</v>
      </c>
      <c r="AB1071" s="311">
        <f t="shared" si="118"/>
        <v>0</v>
      </c>
      <c r="AC1071" s="311">
        <f t="shared" si="119"/>
        <v>0</v>
      </c>
      <c r="AD1071" s="311">
        <f t="shared" si="120"/>
        <v>0</v>
      </c>
      <c r="AE1071" s="311">
        <f t="shared" si="121"/>
        <v>0</v>
      </c>
      <c r="AF1071" s="355" t="s">
        <v>390</v>
      </c>
      <c r="AG1071" s="838"/>
      <c r="AH1071" s="744"/>
      <c r="AI1071" s="292"/>
      <c r="AK1071" s="300"/>
      <c r="AS1071" s="452"/>
    </row>
    <row r="1072" spans="1:45" s="299" customFormat="1" ht="27.6">
      <c r="A1072" s="353">
        <v>640</v>
      </c>
      <c r="B1072" s="352">
        <v>400</v>
      </c>
      <c r="C1072" s="352">
        <v>300</v>
      </c>
      <c r="D1072" s="352"/>
      <c r="E1072" s="352"/>
      <c r="F1072" s="352"/>
      <c r="G1072" s="323" t="s">
        <v>391</v>
      </c>
      <c r="H1072" s="322"/>
      <c r="I1072" s="320"/>
      <c r="J1072" s="320"/>
      <c r="K1072" s="320"/>
      <c r="L1072" s="320"/>
      <c r="M1072" s="320"/>
      <c r="N1072" s="321"/>
      <c r="O1072" s="322"/>
      <c r="P1072" s="320">
        <v>0</v>
      </c>
      <c r="Q1072" s="321"/>
      <c r="R1072" s="322"/>
      <c r="S1072" s="320"/>
      <c r="T1072" s="320"/>
      <c r="U1072" s="320"/>
      <c r="V1072" s="320"/>
      <c r="W1072" s="320"/>
      <c r="X1072" s="320"/>
      <c r="Y1072" s="1392">
        <f t="shared" si="115"/>
        <v>0</v>
      </c>
      <c r="Z1072" s="1389">
        <f t="shared" si="116"/>
        <v>0</v>
      </c>
      <c r="AA1072" s="320">
        <f t="shared" si="117"/>
        <v>0</v>
      </c>
      <c r="AB1072" s="320">
        <f t="shared" si="118"/>
        <v>0</v>
      </c>
      <c r="AC1072" s="320">
        <f t="shared" si="119"/>
        <v>0</v>
      </c>
      <c r="AD1072" s="320">
        <f t="shared" si="120"/>
        <v>0</v>
      </c>
      <c r="AE1072" s="320">
        <f t="shared" si="121"/>
        <v>0</v>
      </c>
      <c r="AF1072" s="355" t="s">
        <v>392</v>
      </c>
      <c r="AG1072" s="838"/>
      <c r="AH1072" s="744"/>
      <c r="AI1072" s="292"/>
      <c r="AK1072" s="300"/>
      <c r="AS1072" s="452"/>
    </row>
    <row r="1073" spans="1:45" s="299" customFormat="1" ht="27.6">
      <c r="A1073" s="353">
        <v>640</v>
      </c>
      <c r="B1073" s="352">
        <v>400</v>
      </c>
      <c r="C1073" s="352">
        <v>300</v>
      </c>
      <c r="D1073" s="316">
        <v>100</v>
      </c>
      <c r="E1073" s="316"/>
      <c r="F1073" s="316"/>
      <c r="G1073" s="315" t="s">
        <v>393</v>
      </c>
      <c r="H1073" s="314"/>
      <c r="I1073" s="311"/>
      <c r="J1073" s="311"/>
      <c r="K1073" s="311"/>
      <c r="L1073" s="311"/>
      <c r="M1073" s="311"/>
      <c r="N1073" s="312"/>
      <c r="O1073" s="314"/>
      <c r="P1073" s="311">
        <v>0</v>
      </c>
      <c r="Q1073" s="312"/>
      <c r="R1073" s="314"/>
      <c r="S1073" s="326"/>
      <c r="T1073" s="326"/>
      <c r="U1073" s="326"/>
      <c r="V1073" s="326"/>
      <c r="W1073" s="326"/>
      <c r="X1073" s="326"/>
      <c r="Y1073" s="1356">
        <f t="shared" si="115"/>
        <v>0</v>
      </c>
      <c r="Z1073" s="1351">
        <f t="shared" si="116"/>
        <v>0</v>
      </c>
      <c r="AA1073" s="326">
        <f t="shared" si="117"/>
        <v>0</v>
      </c>
      <c r="AB1073" s="326">
        <f t="shared" si="118"/>
        <v>0</v>
      </c>
      <c r="AC1073" s="326">
        <f t="shared" si="119"/>
        <v>0</v>
      </c>
      <c r="AD1073" s="326">
        <f t="shared" si="120"/>
        <v>0</v>
      </c>
      <c r="AE1073" s="326">
        <f t="shared" si="121"/>
        <v>0</v>
      </c>
      <c r="AF1073" s="310"/>
      <c r="AG1073" s="841"/>
      <c r="AH1073" s="744"/>
      <c r="AI1073" s="292"/>
      <c r="AK1073" s="300"/>
      <c r="AS1073" s="452"/>
    </row>
    <row r="1074" spans="1:45" s="299" customFormat="1" ht="27.6">
      <c r="A1074" s="353">
        <v>640</v>
      </c>
      <c r="B1074" s="352">
        <v>400</v>
      </c>
      <c r="C1074" s="352">
        <v>300</v>
      </c>
      <c r="D1074" s="316">
        <v>200</v>
      </c>
      <c r="E1074" s="316"/>
      <c r="F1074" s="316"/>
      <c r="G1074" s="315" t="s">
        <v>394</v>
      </c>
      <c r="H1074" s="314"/>
      <c r="I1074" s="311"/>
      <c r="J1074" s="311"/>
      <c r="K1074" s="311"/>
      <c r="L1074" s="311"/>
      <c r="M1074" s="311"/>
      <c r="N1074" s="312"/>
      <c r="O1074" s="314"/>
      <c r="P1074" s="311">
        <v>0</v>
      </c>
      <c r="Q1074" s="312"/>
      <c r="R1074" s="314"/>
      <c r="S1074" s="326"/>
      <c r="T1074" s="326"/>
      <c r="U1074" s="326"/>
      <c r="V1074" s="326"/>
      <c r="W1074" s="326"/>
      <c r="X1074" s="326"/>
      <c r="Y1074" s="1356">
        <f t="shared" si="115"/>
        <v>0</v>
      </c>
      <c r="Z1074" s="1351">
        <f t="shared" si="116"/>
        <v>0</v>
      </c>
      <c r="AA1074" s="326">
        <f t="shared" si="117"/>
        <v>0</v>
      </c>
      <c r="AB1074" s="326">
        <f t="shared" si="118"/>
        <v>0</v>
      </c>
      <c r="AC1074" s="326">
        <f t="shared" si="119"/>
        <v>0</v>
      </c>
      <c r="AD1074" s="326">
        <f t="shared" si="120"/>
        <v>0</v>
      </c>
      <c r="AE1074" s="326">
        <f t="shared" si="121"/>
        <v>0</v>
      </c>
      <c r="AF1074" s="310"/>
      <c r="AG1074" s="841"/>
      <c r="AH1074" s="744"/>
      <c r="AI1074" s="292"/>
      <c r="AK1074" s="300"/>
      <c r="AS1074" s="452"/>
    </row>
    <row r="1075" spans="1:45" s="299" customFormat="1" ht="27.6">
      <c r="A1075" s="353">
        <v>640</v>
      </c>
      <c r="B1075" s="352">
        <v>400</v>
      </c>
      <c r="C1075" s="352">
        <v>300</v>
      </c>
      <c r="D1075" s="316">
        <v>300</v>
      </c>
      <c r="E1075" s="316"/>
      <c r="F1075" s="316"/>
      <c r="G1075" s="315" t="s">
        <v>395</v>
      </c>
      <c r="H1075" s="314"/>
      <c r="I1075" s="311"/>
      <c r="J1075" s="311"/>
      <c r="K1075" s="311"/>
      <c r="L1075" s="311"/>
      <c r="M1075" s="311"/>
      <c r="N1075" s="312"/>
      <c r="O1075" s="314"/>
      <c r="P1075" s="311">
        <v>0</v>
      </c>
      <c r="Q1075" s="312"/>
      <c r="R1075" s="314">
        <v>61046.84</v>
      </c>
      <c r="S1075" s="311"/>
      <c r="T1075" s="311"/>
      <c r="U1075" s="311">
        <v>61046.84</v>
      </c>
      <c r="V1075" s="311"/>
      <c r="W1075" s="311"/>
      <c r="X1075" s="311">
        <v>50000</v>
      </c>
      <c r="Y1075" s="1356">
        <f t="shared" si="115"/>
        <v>61046.84</v>
      </c>
      <c r="Z1075" s="1357">
        <f t="shared" si="116"/>
        <v>0</v>
      </c>
      <c r="AA1075" s="311">
        <f t="shared" si="117"/>
        <v>0</v>
      </c>
      <c r="AB1075" s="311">
        <f t="shared" si="118"/>
        <v>61046.84</v>
      </c>
      <c r="AC1075" s="311">
        <f t="shared" si="119"/>
        <v>0</v>
      </c>
      <c r="AD1075" s="311">
        <f t="shared" si="120"/>
        <v>0</v>
      </c>
      <c r="AE1075" s="311">
        <f t="shared" si="121"/>
        <v>50000</v>
      </c>
      <c r="AF1075" s="310"/>
      <c r="AG1075" s="841"/>
      <c r="AH1075" s="744"/>
      <c r="AI1075" s="292"/>
      <c r="AK1075" s="300"/>
      <c r="AS1075" s="452"/>
    </row>
    <row r="1076" spans="1:45" s="299" customFormat="1" ht="27.6">
      <c r="A1076" s="353">
        <v>640</v>
      </c>
      <c r="B1076" s="352">
        <v>400</v>
      </c>
      <c r="C1076" s="352">
        <v>300</v>
      </c>
      <c r="D1076" s="316">
        <v>400</v>
      </c>
      <c r="E1076" s="316"/>
      <c r="F1076" s="316"/>
      <c r="G1076" s="315" t="s">
        <v>396</v>
      </c>
      <c r="H1076" s="314"/>
      <c r="I1076" s="311"/>
      <c r="J1076" s="311"/>
      <c r="K1076" s="311"/>
      <c r="L1076" s="311"/>
      <c r="M1076" s="311"/>
      <c r="N1076" s="312"/>
      <c r="O1076" s="314"/>
      <c r="P1076" s="311">
        <v>0</v>
      </c>
      <c r="Q1076" s="312"/>
      <c r="R1076" s="314">
        <v>35</v>
      </c>
      <c r="S1076" s="311"/>
      <c r="T1076" s="311"/>
      <c r="U1076" s="311"/>
      <c r="V1076" s="311"/>
      <c r="W1076" s="311"/>
      <c r="X1076" s="311">
        <v>0</v>
      </c>
      <c r="Y1076" s="1356">
        <f t="shared" si="115"/>
        <v>35</v>
      </c>
      <c r="Z1076" s="1357">
        <f t="shared" si="116"/>
        <v>0</v>
      </c>
      <c r="AA1076" s="311">
        <f t="shared" si="117"/>
        <v>0</v>
      </c>
      <c r="AB1076" s="311">
        <f t="shared" si="118"/>
        <v>0</v>
      </c>
      <c r="AC1076" s="311">
        <f t="shared" si="119"/>
        <v>0</v>
      </c>
      <c r="AD1076" s="311">
        <f t="shared" si="120"/>
        <v>0</v>
      </c>
      <c r="AE1076" s="311">
        <f t="shared" si="121"/>
        <v>0</v>
      </c>
      <c r="AF1076" s="310"/>
      <c r="AG1076" s="841"/>
      <c r="AH1076" s="744"/>
      <c r="AI1076" s="292"/>
      <c r="AK1076" s="300"/>
      <c r="AS1076" s="452"/>
    </row>
    <row r="1077" spans="1:45" s="299" customFormat="1" ht="27.6">
      <c r="A1077" s="353">
        <v>640</v>
      </c>
      <c r="B1077" s="352">
        <v>400</v>
      </c>
      <c r="C1077" s="352">
        <v>300</v>
      </c>
      <c r="D1077" s="316">
        <v>500</v>
      </c>
      <c r="E1077" s="316"/>
      <c r="F1077" s="316"/>
      <c r="G1077" s="315" t="s">
        <v>397</v>
      </c>
      <c r="H1077" s="314"/>
      <c r="I1077" s="311"/>
      <c r="J1077" s="311"/>
      <c r="K1077" s="311"/>
      <c r="L1077" s="311"/>
      <c r="M1077" s="311"/>
      <c r="N1077" s="312"/>
      <c r="O1077" s="314"/>
      <c r="P1077" s="311">
        <v>0</v>
      </c>
      <c r="Q1077" s="312"/>
      <c r="R1077" s="314"/>
      <c r="S1077" s="311"/>
      <c r="T1077" s="311"/>
      <c r="U1077" s="311"/>
      <c r="V1077" s="311"/>
      <c r="W1077" s="311"/>
      <c r="X1077" s="311">
        <v>0</v>
      </c>
      <c r="Y1077" s="1356">
        <f t="shared" si="115"/>
        <v>0</v>
      </c>
      <c r="Z1077" s="1357">
        <f t="shared" si="116"/>
        <v>0</v>
      </c>
      <c r="AA1077" s="311">
        <f t="shared" si="117"/>
        <v>0</v>
      </c>
      <c r="AB1077" s="311">
        <f t="shared" si="118"/>
        <v>0</v>
      </c>
      <c r="AC1077" s="311">
        <f t="shared" si="119"/>
        <v>0</v>
      </c>
      <c r="AD1077" s="311">
        <f t="shared" si="120"/>
        <v>0</v>
      </c>
      <c r="AE1077" s="311">
        <f t="shared" si="121"/>
        <v>0</v>
      </c>
      <c r="AF1077" s="310"/>
      <c r="AG1077" s="841"/>
      <c r="AH1077" s="744"/>
      <c r="AI1077" s="292"/>
      <c r="AK1077" s="300"/>
      <c r="AS1077" s="452"/>
    </row>
    <row r="1078" spans="1:45" s="299" customFormat="1" ht="27.6">
      <c r="A1078" s="353">
        <v>640</v>
      </c>
      <c r="B1078" s="352">
        <v>400</v>
      </c>
      <c r="C1078" s="352">
        <v>300</v>
      </c>
      <c r="D1078" s="316">
        <v>900</v>
      </c>
      <c r="E1078" s="316"/>
      <c r="F1078" s="316"/>
      <c r="G1078" s="315" t="s">
        <v>391</v>
      </c>
      <c r="H1078" s="314"/>
      <c r="I1078" s="311"/>
      <c r="J1078" s="311"/>
      <c r="K1078" s="311"/>
      <c r="L1078" s="311"/>
      <c r="M1078" s="311"/>
      <c r="N1078" s="312"/>
      <c r="O1078" s="314"/>
      <c r="P1078" s="311">
        <v>0</v>
      </c>
      <c r="Q1078" s="312"/>
      <c r="R1078" s="314">
        <v>80510.02</v>
      </c>
      <c r="S1078" s="311"/>
      <c r="T1078" s="311"/>
      <c r="U1078" s="311">
        <v>85000</v>
      </c>
      <c r="V1078" s="311"/>
      <c r="W1078" s="311"/>
      <c r="X1078" s="311">
        <v>152000</v>
      </c>
      <c r="Y1078" s="1356">
        <f t="shared" si="115"/>
        <v>80510.02</v>
      </c>
      <c r="Z1078" s="1357">
        <f t="shared" si="116"/>
        <v>0</v>
      </c>
      <c r="AA1078" s="311">
        <f t="shared" si="117"/>
        <v>0</v>
      </c>
      <c r="AB1078" s="311">
        <f t="shared" si="118"/>
        <v>85000</v>
      </c>
      <c r="AC1078" s="311">
        <f t="shared" si="119"/>
        <v>0</v>
      </c>
      <c r="AD1078" s="311">
        <f t="shared" si="120"/>
        <v>0</v>
      </c>
      <c r="AE1078" s="311">
        <f t="shared" si="121"/>
        <v>152000</v>
      </c>
      <c r="AF1078" s="310"/>
      <c r="AG1078" s="841"/>
      <c r="AH1078" s="744"/>
      <c r="AI1078" s="292"/>
      <c r="AK1078" s="300"/>
      <c r="AS1078" s="452"/>
    </row>
    <row r="1079" spans="1:45" s="299" customFormat="1" ht="27.6">
      <c r="A1079" s="353">
        <v>640</v>
      </c>
      <c r="B1079" s="352">
        <v>500</v>
      </c>
      <c r="C1079" s="352"/>
      <c r="D1079" s="352"/>
      <c r="E1079" s="352"/>
      <c r="F1079" s="352"/>
      <c r="G1079" s="323" t="s">
        <v>398</v>
      </c>
      <c r="H1079" s="322"/>
      <c r="I1079" s="320"/>
      <c r="J1079" s="320"/>
      <c r="K1079" s="320"/>
      <c r="L1079" s="320"/>
      <c r="M1079" s="320"/>
      <c r="N1079" s="321"/>
      <c r="O1079" s="322"/>
      <c r="P1079" s="320">
        <v>0</v>
      </c>
      <c r="Q1079" s="321"/>
      <c r="R1079" s="322"/>
      <c r="S1079" s="320"/>
      <c r="T1079" s="320"/>
      <c r="U1079" s="320"/>
      <c r="V1079" s="320"/>
      <c r="W1079" s="320"/>
      <c r="X1079" s="320"/>
      <c r="Y1079" s="1392">
        <f t="shared" si="115"/>
        <v>0</v>
      </c>
      <c r="Z1079" s="1389">
        <f t="shared" si="116"/>
        <v>0</v>
      </c>
      <c r="AA1079" s="320">
        <f t="shared" si="117"/>
        <v>0</v>
      </c>
      <c r="AB1079" s="320">
        <f t="shared" si="118"/>
        <v>0</v>
      </c>
      <c r="AC1079" s="320">
        <f t="shared" si="119"/>
        <v>0</v>
      </c>
      <c r="AD1079" s="320">
        <f t="shared" si="120"/>
        <v>0</v>
      </c>
      <c r="AE1079" s="320">
        <f t="shared" si="121"/>
        <v>0</v>
      </c>
      <c r="AF1079" s="355" t="s">
        <v>399</v>
      </c>
      <c r="AG1079" s="838"/>
      <c r="AH1079" s="744"/>
      <c r="AI1079" s="292"/>
      <c r="AK1079" s="300"/>
      <c r="AS1079" s="452"/>
    </row>
    <row r="1080" spans="1:45" s="299" customFormat="1" ht="27.6">
      <c r="A1080" s="353">
        <v>640</v>
      </c>
      <c r="B1080" s="352">
        <v>500</v>
      </c>
      <c r="C1080" s="352">
        <v>100</v>
      </c>
      <c r="D1080" s="352"/>
      <c r="E1080" s="352"/>
      <c r="F1080" s="352"/>
      <c r="G1080" s="323" t="s">
        <v>400</v>
      </c>
      <c r="H1080" s="322"/>
      <c r="I1080" s="320"/>
      <c r="J1080" s="320"/>
      <c r="K1080" s="320"/>
      <c r="L1080" s="320"/>
      <c r="M1080" s="320"/>
      <c r="N1080" s="321"/>
      <c r="O1080" s="322"/>
      <c r="P1080" s="320">
        <v>0</v>
      </c>
      <c r="Q1080" s="321"/>
      <c r="R1080" s="322"/>
      <c r="S1080" s="320"/>
      <c r="T1080" s="320"/>
      <c r="U1080" s="320"/>
      <c r="V1080" s="320"/>
      <c r="W1080" s="320"/>
      <c r="X1080" s="320"/>
      <c r="Y1080" s="1392">
        <f t="shared" si="115"/>
        <v>0</v>
      </c>
      <c r="Z1080" s="1389">
        <f t="shared" si="116"/>
        <v>0</v>
      </c>
      <c r="AA1080" s="320">
        <f t="shared" si="117"/>
        <v>0</v>
      </c>
      <c r="AB1080" s="320">
        <f t="shared" si="118"/>
        <v>0</v>
      </c>
      <c r="AC1080" s="320">
        <f t="shared" si="119"/>
        <v>0</v>
      </c>
      <c r="AD1080" s="320">
        <f t="shared" si="120"/>
        <v>0</v>
      </c>
      <c r="AE1080" s="320">
        <f t="shared" si="121"/>
        <v>0</v>
      </c>
      <c r="AF1080" s="355" t="s">
        <v>401</v>
      </c>
      <c r="AG1080" s="838"/>
      <c r="AH1080" s="744"/>
      <c r="AI1080" s="292"/>
      <c r="AK1080" s="300"/>
      <c r="AS1080" s="452"/>
    </row>
    <row r="1081" spans="1:45" s="299" customFormat="1" ht="41.4">
      <c r="A1081" s="353">
        <v>640</v>
      </c>
      <c r="B1081" s="352">
        <v>500</v>
      </c>
      <c r="C1081" s="352">
        <v>100</v>
      </c>
      <c r="D1081" s="357">
        <v>100</v>
      </c>
      <c r="E1081" s="357"/>
      <c r="F1081" s="357"/>
      <c r="G1081" s="315" t="s">
        <v>402</v>
      </c>
      <c r="H1081" s="314"/>
      <c r="I1081" s="311"/>
      <c r="J1081" s="311"/>
      <c r="K1081" s="311"/>
      <c r="L1081" s="311"/>
      <c r="M1081" s="311"/>
      <c r="N1081" s="312"/>
      <c r="O1081" s="314"/>
      <c r="P1081" s="311">
        <v>0</v>
      </c>
      <c r="Q1081" s="312"/>
      <c r="R1081" s="314"/>
      <c r="S1081" s="311"/>
      <c r="T1081" s="311"/>
      <c r="U1081" s="311"/>
      <c r="V1081" s="311"/>
      <c r="W1081" s="311"/>
      <c r="X1081" s="311">
        <v>21837</v>
      </c>
      <c r="Y1081" s="1356">
        <f t="shared" si="115"/>
        <v>0</v>
      </c>
      <c r="Z1081" s="1357">
        <f t="shared" si="116"/>
        <v>0</v>
      </c>
      <c r="AA1081" s="311">
        <f t="shared" si="117"/>
        <v>0</v>
      </c>
      <c r="AB1081" s="311">
        <f t="shared" si="118"/>
        <v>0</v>
      </c>
      <c r="AC1081" s="311">
        <f t="shared" si="119"/>
        <v>0</v>
      </c>
      <c r="AD1081" s="311">
        <f t="shared" si="120"/>
        <v>0</v>
      </c>
      <c r="AE1081" s="311">
        <f t="shared" si="121"/>
        <v>21837</v>
      </c>
      <c r="AF1081" s="355" t="s">
        <v>403</v>
      </c>
      <c r="AG1081" s="838"/>
      <c r="AH1081" s="744"/>
      <c r="AI1081" s="292"/>
      <c r="AK1081" s="300"/>
      <c r="AS1081" s="452"/>
    </row>
    <row r="1082" spans="1:45" s="299" customFormat="1" ht="41.4">
      <c r="A1082" s="353">
        <v>640</v>
      </c>
      <c r="B1082" s="352">
        <v>500</v>
      </c>
      <c r="C1082" s="352">
        <v>100</v>
      </c>
      <c r="D1082" s="357">
        <v>200</v>
      </c>
      <c r="E1082" s="357"/>
      <c r="F1082" s="357"/>
      <c r="G1082" s="315" t="s">
        <v>404</v>
      </c>
      <c r="H1082" s="314"/>
      <c r="I1082" s="311"/>
      <c r="J1082" s="311"/>
      <c r="K1082" s="311"/>
      <c r="L1082" s="311"/>
      <c r="M1082" s="311"/>
      <c r="N1082" s="312"/>
      <c r="O1082" s="314"/>
      <c r="P1082" s="311">
        <v>0</v>
      </c>
      <c r="Q1082" s="312"/>
      <c r="R1082" s="314">
        <v>239964.65</v>
      </c>
      <c r="S1082" s="311"/>
      <c r="T1082" s="311"/>
      <c r="U1082" s="311">
        <v>239964.65</v>
      </c>
      <c r="V1082" s="311"/>
      <c r="W1082" s="311"/>
      <c r="X1082" s="311">
        <v>234241</v>
      </c>
      <c r="Y1082" s="1356">
        <f t="shared" si="115"/>
        <v>239964.65</v>
      </c>
      <c r="Z1082" s="1357">
        <f t="shared" si="116"/>
        <v>0</v>
      </c>
      <c r="AA1082" s="311">
        <f t="shared" si="117"/>
        <v>0</v>
      </c>
      <c r="AB1082" s="311">
        <f t="shared" si="118"/>
        <v>239964.65</v>
      </c>
      <c r="AC1082" s="311">
        <f t="shared" si="119"/>
        <v>0</v>
      </c>
      <c r="AD1082" s="311">
        <f t="shared" si="120"/>
        <v>0</v>
      </c>
      <c r="AE1082" s="311">
        <f t="shared" si="121"/>
        <v>234241</v>
      </c>
      <c r="AF1082" s="355" t="s">
        <v>405</v>
      </c>
      <c r="AG1082" s="838"/>
      <c r="AH1082" s="744"/>
      <c r="AI1082" s="292"/>
      <c r="AK1082" s="300"/>
      <c r="AS1082" s="452"/>
    </row>
    <row r="1083" spans="1:45" s="299" customFormat="1">
      <c r="A1083" s="353">
        <v>640</v>
      </c>
      <c r="B1083" s="352">
        <v>500</v>
      </c>
      <c r="C1083" s="352">
        <v>100</v>
      </c>
      <c r="D1083" s="357">
        <v>300</v>
      </c>
      <c r="E1083" s="357"/>
      <c r="F1083" s="357"/>
      <c r="G1083" s="315" t="s">
        <v>406</v>
      </c>
      <c r="H1083" s="314"/>
      <c r="I1083" s="311"/>
      <c r="J1083" s="311"/>
      <c r="K1083" s="311"/>
      <c r="L1083" s="311"/>
      <c r="M1083" s="311"/>
      <c r="N1083" s="312"/>
      <c r="O1083" s="314"/>
      <c r="P1083" s="311">
        <v>0</v>
      </c>
      <c r="Q1083" s="312"/>
      <c r="R1083" s="314">
        <v>48867.35</v>
      </c>
      <c r="S1083" s="311"/>
      <c r="T1083" s="311"/>
      <c r="U1083" s="311">
        <v>48867.35</v>
      </c>
      <c r="V1083" s="311"/>
      <c r="W1083" s="311"/>
      <c r="X1083" s="311">
        <v>32755</v>
      </c>
      <c r="Y1083" s="1356">
        <f t="shared" si="115"/>
        <v>48867.35</v>
      </c>
      <c r="Z1083" s="1357">
        <f t="shared" si="116"/>
        <v>0</v>
      </c>
      <c r="AA1083" s="311">
        <f t="shared" si="117"/>
        <v>0</v>
      </c>
      <c r="AB1083" s="311">
        <f t="shared" si="118"/>
        <v>48867.35</v>
      </c>
      <c r="AC1083" s="311">
        <f t="shared" si="119"/>
        <v>0</v>
      </c>
      <c r="AD1083" s="311">
        <f t="shared" si="120"/>
        <v>0</v>
      </c>
      <c r="AE1083" s="311">
        <f t="shared" si="121"/>
        <v>32755</v>
      </c>
      <c r="AF1083" s="355" t="s">
        <v>407</v>
      </c>
      <c r="AG1083" s="838"/>
      <c r="AH1083" s="744"/>
      <c r="AI1083" s="292"/>
      <c r="AK1083" s="300"/>
      <c r="AS1083" s="452"/>
    </row>
    <row r="1084" spans="1:45" s="299" customFormat="1" ht="27.6">
      <c r="A1084" s="353">
        <v>640</v>
      </c>
      <c r="B1084" s="352">
        <v>500</v>
      </c>
      <c r="C1084" s="352">
        <v>150</v>
      </c>
      <c r="D1084" s="357"/>
      <c r="E1084" s="357"/>
      <c r="F1084" s="357"/>
      <c r="G1084" s="315" t="s">
        <v>408</v>
      </c>
      <c r="H1084" s="314"/>
      <c r="I1084" s="311"/>
      <c r="J1084" s="311"/>
      <c r="K1084" s="311"/>
      <c r="L1084" s="311"/>
      <c r="M1084" s="311"/>
      <c r="N1084" s="312"/>
      <c r="O1084" s="314"/>
      <c r="P1084" s="311">
        <v>0</v>
      </c>
      <c r="Q1084" s="312"/>
      <c r="R1084" s="314"/>
      <c r="S1084" s="311"/>
      <c r="T1084" s="311"/>
      <c r="U1084" s="311"/>
      <c r="V1084" s="311"/>
      <c r="W1084" s="311"/>
      <c r="X1084" s="311"/>
      <c r="Y1084" s="1356">
        <f t="shared" si="115"/>
        <v>0</v>
      </c>
      <c r="Z1084" s="1357">
        <f t="shared" si="116"/>
        <v>0</v>
      </c>
      <c r="AA1084" s="311">
        <f t="shared" si="117"/>
        <v>0</v>
      </c>
      <c r="AB1084" s="311">
        <f t="shared" si="118"/>
        <v>0</v>
      </c>
      <c r="AC1084" s="311">
        <f t="shared" si="119"/>
        <v>0</v>
      </c>
      <c r="AD1084" s="311">
        <f t="shared" si="120"/>
        <v>0</v>
      </c>
      <c r="AE1084" s="311">
        <f t="shared" si="121"/>
        <v>0</v>
      </c>
      <c r="AF1084" s="355" t="s">
        <v>409</v>
      </c>
      <c r="AG1084" s="838"/>
      <c r="AH1084" s="744"/>
      <c r="AI1084" s="292"/>
      <c r="AK1084" s="300"/>
      <c r="AS1084" s="452"/>
    </row>
    <row r="1085" spans="1:45" s="299" customFormat="1" ht="27.6">
      <c r="A1085" s="353">
        <v>640</v>
      </c>
      <c r="B1085" s="352">
        <v>500</v>
      </c>
      <c r="C1085" s="352">
        <v>200</v>
      </c>
      <c r="D1085" s="352"/>
      <c r="E1085" s="352"/>
      <c r="F1085" s="352"/>
      <c r="G1085" s="323" t="s">
        <v>410</v>
      </c>
      <c r="H1085" s="322"/>
      <c r="I1085" s="320"/>
      <c r="J1085" s="320"/>
      <c r="K1085" s="320"/>
      <c r="L1085" s="320"/>
      <c r="M1085" s="320"/>
      <c r="N1085" s="321"/>
      <c r="O1085" s="322"/>
      <c r="P1085" s="320">
        <v>0</v>
      </c>
      <c r="Q1085" s="321"/>
      <c r="R1085" s="322"/>
      <c r="S1085" s="320"/>
      <c r="T1085" s="320"/>
      <c r="U1085" s="320"/>
      <c r="V1085" s="320"/>
      <c r="W1085" s="320"/>
      <c r="X1085" s="320"/>
      <c r="Y1085" s="1392">
        <f t="shared" si="115"/>
        <v>0</v>
      </c>
      <c r="Z1085" s="1389">
        <f t="shared" si="116"/>
        <v>0</v>
      </c>
      <c r="AA1085" s="320">
        <f t="shared" si="117"/>
        <v>0</v>
      </c>
      <c r="AB1085" s="320">
        <f t="shared" si="118"/>
        <v>0</v>
      </c>
      <c r="AC1085" s="320">
        <f t="shared" si="119"/>
        <v>0</v>
      </c>
      <c r="AD1085" s="320">
        <f t="shared" si="120"/>
        <v>0</v>
      </c>
      <c r="AE1085" s="320">
        <f t="shared" si="121"/>
        <v>0</v>
      </c>
      <c r="AF1085" s="355" t="s">
        <v>411</v>
      </c>
      <c r="AG1085" s="838"/>
      <c r="AH1085" s="744"/>
      <c r="AI1085" s="292"/>
      <c r="AK1085" s="300"/>
      <c r="AS1085" s="452"/>
    </row>
    <row r="1086" spans="1:45" s="299" customFormat="1">
      <c r="A1086" s="353">
        <v>640</v>
      </c>
      <c r="B1086" s="352">
        <v>500</v>
      </c>
      <c r="C1086" s="352">
        <v>200</v>
      </c>
      <c r="D1086" s="316">
        <v>50</v>
      </c>
      <c r="E1086" s="316"/>
      <c r="F1086" s="316"/>
      <c r="G1086" s="315" t="s">
        <v>412</v>
      </c>
      <c r="H1086" s="314"/>
      <c r="I1086" s="311"/>
      <c r="J1086" s="311"/>
      <c r="K1086" s="311"/>
      <c r="L1086" s="311"/>
      <c r="M1086" s="311"/>
      <c r="N1086" s="312"/>
      <c r="O1086" s="314"/>
      <c r="P1086" s="311">
        <v>0</v>
      </c>
      <c r="Q1086" s="312"/>
      <c r="R1086" s="314"/>
      <c r="S1086" s="326"/>
      <c r="T1086" s="326"/>
      <c r="U1086" s="326"/>
      <c r="V1086" s="326"/>
      <c r="W1086" s="326"/>
      <c r="X1086" s="326"/>
      <c r="Y1086" s="1356">
        <f t="shared" si="115"/>
        <v>0</v>
      </c>
      <c r="Z1086" s="1351">
        <f t="shared" si="116"/>
        <v>0</v>
      </c>
      <c r="AA1086" s="326">
        <f t="shared" si="117"/>
        <v>0</v>
      </c>
      <c r="AB1086" s="326">
        <f t="shared" si="118"/>
        <v>0</v>
      </c>
      <c r="AC1086" s="326">
        <f t="shared" si="119"/>
        <v>0</v>
      </c>
      <c r="AD1086" s="326">
        <f t="shared" si="120"/>
        <v>0</v>
      </c>
      <c r="AE1086" s="326">
        <f t="shared" si="121"/>
        <v>0</v>
      </c>
      <c r="AF1086" s="310"/>
      <c r="AG1086" s="841"/>
      <c r="AH1086" s="744"/>
      <c r="AI1086" s="292"/>
      <c r="AK1086" s="300"/>
      <c r="AS1086" s="452"/>
    </row>
    <row r="1087" spans="1:45" s="299" customFormat="1" ht="27.6">
      <c r="A1087" s="353">
        <v>640</v>
      </c>
      <c r="B1087" s="352">
        <v>500</v>
      </c>
      <c r="C1087" s="352">
        <v>200</v>
      </c>
      <c r="D1087" s="316">
        <v>100</v>
      </c>
      <c r="E1087" s="316"/>
      <c r="F1087" s="316"/>
      <c r="G1087" s="315" t="s">
        <v>413</v>
      </c>
      <c r="H1087" s="314"/>
      <c r="I1087" s="311"/>
      <c r="J1087" s="311"/>
      <c r="K1087" s="311"/>
      <c r="L1087" s="311"/>
      <c r="M1087" s="311"/>
      <c r="N1087" s="312"/>
      <c r="O1087" s="314"/>
      <c r="P1087" s="311">
        <v>0</v>
      </c>
      <c r="Q1087" s="312"/>
      <c r="R1087" s="314">
        <v>23827.47</v>
      </c>
      <c r="S1087" s="834"/>
      <c r="T1087" s="311"/>
      <c r="U1087" s="311">
        <v>23827.47</v>
      </c>
      <c r="V1087" s="311"/>
      <c r="W1087" s="311"/>
      <c r="X1087" s="311">
        <v>26549.000000000004</v>
      </c>
      <c r="Y1087" s="1356">
        <f t="shared" si="115"/>
        <v>23827.47</v>
      </c>
      <c r="Z1087" s="1357">
        <f t="shared" si="116"/>
        <v>0</v>
      </c>
      <c r="AA1087" s="311">
        <f t="shared" si="117"/>
        <v>0</v>
      </c>
      <c r="AB1087" s="311">
        <f t="shared" si="118"/>
        <v>23827.47</v>
      </c>
      <c r="AC1087" s="311">
        <f t="shared" si="119"/>
        <v>0</v>
      </c>
      <c r="AD1087" s="311">
        <f t="shared" si="120"/>
        <v>0</v>
      </c>
      <c r="AE1087" s="311">
        <f t="shared" si="121"/>
        <v>26549.000000000004</v>
      </c>
      <c r="AF1087" s="310"/>
      <c r="AG1087" s="841">
        <v>-2721.5300000000025</v>
      </c>
      <c r="AH1087" s="744"/>
      <c r="AI1087" s="292"/>
      <c r="AK1087" s="300"/>
      <c r="AS1087" s="452"/>
    </row>
    <row r="1088" spans="1:45" s="299" customFormat="1" ht="27.6">
      <c r="A1088" s="353">
        <v>640</v>
      </c>
      <c r="B1088" s="352">
        <v>500</v>
      </c>
      <c r="C1088" s="352">
        <v>200</v>
      </c>
      <c r="D1088" s="316">
        <v>150</v>
      </c>
      <c r="E1088" s="316"/>
      <c r="F1088" s="316"/>
      <c r="G1088" s="315" t="s">
        <v>414</v>
      </c>
      <c r="H1088" s="314"/>
      <c r="I1088" s="311"/>
      <c r="J1088" s="311"/>
      <c r="K1088" s="311"/>
      <c r="L1088" s="311"/>
      <c r="M1088" s="311"/>
      <c r="N1088" s="312"/>
      <c r="O1088" s="314"/>
      <c r="P1088" s="311">
        <v>0</v>
      </c>
      <c r="Q1088" s="312"/>
      <c r="R1088" s="314"/>
      <c r="S1088" s="311"/>
      <c r="T1088" s="311"/>
      <c r="U1088" s="311"/>
      <c r="V1088" s="311"/>
      <c r="W1088" s="311"/>
      <c r="X1088" s="311"/>
      <c r="Y1088" s="1356">
        <f t="shared" si="115"/>
        <v>0</v>
      </c>
      <c r="Z1088" s="1357">
        <f t="shared" si="116"/>
        <v>0</v>
      </c>
      <c r="AA1088" s="311">
        <f t="shared" si="117"/>
        <v>0</v>
      </c>
      <c r="AB1088" s="311">
        <f t="shared" si="118"/>
        <v>0</v>
      </c>
      <c r="AC1088" s="311">
        <f t="shared" si="119"/>
        <v>0</v>
      </c>
      <c r="AD1088" s="311">
        <f t="shared" si="120"/>
        <v>0</v>
      </c>
      <c r="AE1088" s="311">
        <f t="shared" si="121"/>
        <v>0</v>
      </c>
      <c r="AF1088" s="310"/>
      <c r="AG1088" s="841"/>
      <c r="AH1088" s="744"/>
      <c r="AI1088" s="292"/>
      <c r="AK1088" s="300"/>
      <c r="AS1088" s="452"/>
    </row>
    <row r="1089" spans="1:45" s="299" customFormat="1">
      <c r="A1089" s="353">
        <v>640</v>
      </c>
      <c r="B1089" s="352">
        <v>500</v>
      </c>
      <c r="C1089" s="352">
        <v>200</v>
      </c>
      <c r="D1089" s="316">
        <v>200</v>
      </c>
      <c r="E1089" s="316"/>
      <c r="F1089" s="316"/>
      <c r="G1089" s="315" t="s">
        <v>415</v>
      </c>
      <c r="H1089" s="314"/>
      <c r="I1089" s="311"/>
      <c r="J1089" s="311"/>
      <c r="K1089" s="311"/>
      <c r="L1089" s="311"/>
      <c r="M1089" s="311"/>
      <c r="N1089" s="312"/>
      <c r="O1089" s="314"/>
      <c r="P1089" s="311">
        <v>0</v>
      </c>
      <c r="Q1089" s="312"/>
      <c r="R1089" s="314">
        <v>9862</v>
      </c>
      <c r="S1089" s="311"/>
      <c r="T1089" s="311"/>
      <c r="U1089" s="311">
        <v>9846</v>
      </c>
      <c r="V1089" s="311"/>
      <c r="W1089" s="311"/>
      <c r="X1089" s="311">
        <v>11500</v>
      </c>
      <c r="Y1089" s="1356">
        <f t="shared" si="115"/>
        <v>9862</v>
      </c>
      <c r="Z1089" s="1357">
        <f t="shared" si="116"/>
        <v>0</v>
      </c>
      <c r="AA1089" s="311">
        <f t="shared" si="117"/>
        <v>0</v>
      </c>
      <c r="AB1089" s="311">
        <f t="shared" si="118"/>
        <v>9846</v>
      </c>
      <c r="AC1089" s="311">
        <f t="shared" si="119"/>
        <v>0</v>
      </c>
      <c r="AD1089" s="311">
        <f t="shared" si="120"/>
        <v>0</v>
      </c>
      <c r="AE1089" s="311">
        <f t="shared" si="121"/>
        <v>11500</v>
      </c>
      <c r="AF1089" s="310"/>
      <c r="AG1089" s="841"/>
      <c r="AH1089" s="744"/>
      <c r="AI1089" s="292"/>
      <c r="AK1089" s="300"/>
      <c r="AS1089" s="452"/>
    </row>
    <row r="1090" spans="1:45" s="299" customFormat="1">
      <c r="A1090" s="353">
        <v>640</v>
      </c>
      <c r="B1090" s="352">
        <v>500</v>
      </c>
      <c r="C1090" s="352">
        <v>200</v>
      </c>
      <c r="D1090" s="316">
        <v>250</v>
      </c>
      <c r="E1090" s="316"/>
      <c r="F1090" s="316"/>
      <c r="G1090" s="315" t="s">
        <v>416</v>
      </c>
      <c r="H1090" s="314"/>
      <c r="I1090" s="311"/>
      <c r="J1090" s="311"/>
      <c r="K1090" s="311"/>
      <c r="L1090" s="311"/>
      <c r="M1090" s="311"/>
      <c r="N1090" s="312"/>
      <c r="O1090" s="314"/>
      <c r="P1090" s="311">
        <v>0</v>
      </c>
      <c r="Q1090" s="312"/>
      <c r="R1090" s="314"/>
      <c r="S1090" s="311"/>
      <c r="T1090" s="311"/>
      <c r="U1090" s="311"/>
      <c r="V1090" s="311"/>
      <c r="W1090" s="311"/>
      <c r="X1090" s="311"/>
      <c r="Y1090" s="1356">
        <f t="shared" si="115"/>
        <v>0</v>
      </c>
      <c r="Z1090" s="1357">
        <f t="shared" si="116"/>
        <v>0</v>
      </c>
      <c r="AA1090" s="311">
        <f t="shared" si="117"/>
        <v>0</v>
      </c>
      <c r="AB1090" s="311">
        <f t="shared" si="118"/>
        <v>0</v>
      </c>
      <c r="AC1090" s="311">
        <f t="shared" si="119"/>
        <v>0</v>
      </c>
      <c r="AD1090" s="311">
        <f t="shared" si="120"/>
        <v>0</v>
      </c>
      <c r="AE1090" s="311">
        <f t="shared" si="121"/>
        <v>0</v>
      </c>
      <c r="AF1090" s="310"/>
      <c r="AG1090" s="841"/>
      <c r="AH1090" s="744"/>
      <c r="AI1090" s="292"/>
      <c r="AK1090" s="300"/>
      <c r="AS1090" s="452"/>
    </row>
    <row r="1091" spans="1:45" s="299" customFormat="1">
      <c r="A1091" s="353">
        <v>640</v>
      </c>
      <c r="B1091" s="352">
        <v>500</v>
      </c>
      <c r="C1091" s="352">
        <v>200</v>
      </c>
      <c r="D1091" s="316">
        <v>300</v>
      </c>
      <c r="E1091" s="316"/>
      <c r="F1091" s="316"/>
      <c r="G1091" s="315" t="s">
        <v>417</v>
      </c>
      <c r="H1091" s="314"/>
      <c r="I1091" s="311"/>
      <c r="J1091" s="311"/>
      <c r="K1091" s="311"/>
      <c r="L1091" s="311"/>
      <c r="M1091" s="311"/>
      <c r="N1091" s="312"/>
      <c r="O1091" s="314"/>
      <c r="P1091" s="311">
        <v>0</v>
      </c>
      <c r="Q1091" s="312"/>
      <c r="R1091" s="314"/>
      <c r="S1091" s="326"/>
      <c r="T1091" s="326"/>
      <c r="U1091" s="326"/>
      <c r="V1091" s="326"/>
      <c r="W1091" s="326"/>
      <c r="X1091" s="326">
        <v>50000</v>
      </c>
      <c r="Y1091" s="1356">
        <f t="shared" si="115"/>
        <v>0</v>
      </c>
      <c r="Z1091" s="1351">
        <f t="shared" si="116"/>
        <v>0</v>
      </c>
      <c r="AA1091" s="326">
        <f t="shared" si="117"/>
        <v>0</v>
      </c>
      <c r="AB1091" s="326">
        <f t="shared" si="118"/>
        <v>0</v>
      </c>
      <c r="AC1091" s="326">
        <f t="shared" si="119"/>
        <v>0</v>
      </c>
      <c r="AD1091" s="326">
        <f t="shared" si="120"/>
        <v>0</v>
      </c>
      <c r="AE1091" s="326">
        <f t="shared" si="121"/>
        <v>50000</v>
      </c>
      <c r="AF1091" s="310"/>
      <c r="AG1091" s="841"/>
      <c r="AH1091" s="744"/>
      <c r="AI1091" s="292"/>
      <c r="AK1091" s="300"/>
      <c r="AS1091" s="452"/>
    </row>
    <row r="1092" spans="1:45" s="299" customFormat="1">
      <c r="A1092" s="353">
        <v>640</v>
      </c>
      <c r="B1092" s="352">
        <v>500</v>
      </c>
      <c r="C1092" s="352">
        <v>200</v>
      </c>
      <c r="D1092" s="316">
        <v>350</v>
      </c>
      <c r="E1092" s="316"/>
      <c r="F1092" s="316"/>
      <c r="G1092" s="315" t="s">
        <v>418</v>
      </c>
      <c r="H1092" s="314"/>
      <c r="I1092" s="311"/>
      <c r="J1092" s="311"/>
      <c r="K1092" s="311"/>
      <c r="L1092" s="311"/>
      <c r="M1092" s="311"/>
      <c r="N1092" s="312"/>
      <c r="O1092" s="314"/>
      <c r="P1092" s="311">
        <v>0</v>
      </c>
      <c r="Q1092" s="312"/>
      <c r="R1092" s="314"/>
      <c r="S1092" s="326"/>
      <c r="T1092" s="326"/>
      <c r="U1092" s="326"/>
      <c r="V1092" s="326"/>
      <c r="W1092" s="326"/>
      <c r="X1092" s="326"/>
      <c r="Y1092" s="1356">
        <f t="shared" si="115"/>
        <v>0</v>
      </c>
      <c r="Z1092" s="1351">
        <f t="shared" si="116"/>
        <v>0</v>
      </c>
      <c r="AA1092" s="326">
        <f t="shared" si="117"/>
        <v>0</v>
      </c>
      <c r="AB1092" s="326">
        <f t="shared" si="118"/>
        <v>0</v>
      </c>
      <c r="AC1092" s="326">
        <f t="shared" si="119"/>
        <v>0</v>
      </c>
      <c r="AD1092" s="326">
        <f t="shared" si="120"/>
        <v>0</v>
      </c>
      <c r="AE1092" s="326">
        <f t="shared" si="121"/>
        <v>0</v>
      </c>
      <c r="AF1092" s="310"/>
      <c r="AG1092" s="841"/>
      <c r="AH1092" s="744"/>
      <c r="AI1092" s="292"/>
      <c r="AK1092" s="300"/>
      <c r="AS1092" s="452"/>
    </row>
    <row r="1093" spans="1:45" s="299" customFormat="1">
      <c r="A1093" s="353">
        <v>640</v>
      </c>
      <c r="B1093" s="352">
        <v>500</v>
      </c>
      <c r="C1093" s="352">
        <v>200</v>
      </c>
      <c r="D1093" s="316">
        <v>400</v>
      </c>
      <c r="E1093" s="316"/>
      <c r="F1093" s="316"/>
      <c r="G1093" s="315" t="s">
        <v>419</v>
      </c>
      <c r="H1093" s="314"/>
      <c r="I1093" s="311"/>
      <c r="J1093" s="311"/>
      <c r="K1093" s="311"/>
      <c r="L1093" s="311"/>
      <c r="M1093" s="311"/>
      <c r="N1093" s="312"/>
      <c r="O1093" s="314"/>
      <c r="P1093" s="311">
        <v>0</v>
      </c>
      <c r="Q1093" s="312"/>
      <c r="R1093" s="314">
        <v>6353.89</v>
      </c>
      <c r="S1093" s="311"/>
      <c r="T1093" s="311"/>
      <c r="U1093" s="311">
        <v>6353.89</v>
      </c>
      <c r="V1093" s="311"/>
      <c r="W1093" s="311"/>
      <c r="X1093" s="311">
        <v>14000</v>
      </c>
      <c r="Y1093" s="1356">
        <f t="shared" si="115"/>
        <v>6353.89</v>
      </c>
      <c r="Z1093" s="1357">
        <f t="shared" si="116"/>
        <v>0</v>
      </c>
      <c r="AA1093" s="311">
        <f t="shared" si="117"/>
        <v>0</v>
      </c>
      <c r="AB1093" s="311">
        <f t="shared" si="118"/>
        <v>6353.89</v>
      </c>
      <c r="AC1093" s="311">
        <f t="shared" si="119"/>
        <v>0</v>
      </c>
      <c r="AD1093" s="311">
        <f t="shared" si="120"/>
        <v>0</v>
      </c>
      <c r="AE1093" s="311">
        <f t="shared" si="121"/>
        <v>14000</v>
      </c>
      <c r="AF1093" s="310"/>
      <c r="AG1093" s="841"/>
      <c r="AH1093" s="744"/>
      <c r="AI1093" s="292"/>
      <c r="AK1093" s="300"/>
      <c r="AS1093" s="452"/>
    </row>
    <row r="1094" spans="1:45" s="299" customFormat="1">
      <c r="A1094" s="353">
        <v>640</v>
      </c>
      <c r="B1094" s="352">
        <v>500</v>
      </c>
      <c r="C1094" s="352">
        <v>200</v>
      </c>
      <c r="D1094" s="316">
        <v>450</v>
      </c>
      <c r="E1094" s="316"/>
      <c r="F1094" s="316"/>
      <c r="G1094" s="315" t="s">
        <v>420</v>
      </c>
      <c r="H1094" s="314"/>
      <c r="I1094" s="311"/>
      <c r="J1094" s="311"/>
      <c r="K1094" s="311"/>
      <c r="L1094" s="311"/>
      <c r="M1094" s="311"/>
      <c r="N1094" s="312"/>
      <c r="O1094" s="314"/>
      <c r="P1094" s="311">
        <v>0</v>
      </c>
      <c r="Q1094" s="312"/>
      <c r="R1094" s="314">
        <v>774.75</v>
      </c>
      <c r="S1094" s="311"/>
      <c r="T1094" s="311"/>
      <c r="U1094" s="311">
        <v>774.75</v>
      </c>
      <c r="V1094" s="311"/>
      <c r="W1094" s="311"/>
      <c r="X1094" s="311">
        <v>1500</v>
      </c>
      <c r="Y1094" s="1356">
        <f t="shared" si="115"/>
        <v>774.75</v>
      </c>
      <c r="Z1094" s="1357">
        <f t="shared" si="116"/>
        <v>0</v>
      </c>
      <c r="AA1094" s="311">
        <f t="shared" si="117"/>
        <v>0</v>
      </c>
      <c r="AB1094" s="311">
        <f t="shared" si="118"/>
        <v>774.75</v>
      </c>
      <c r="AC1094" s="311">
        <f t="shared" si="119"/>
        <v>0</v>
      </c>
      <c r="AD1094" s="311">
        <f t="shared" si="120"/>
        <v>0</v>
      </c>
      <c r="AE1094" s="311">
        <f t="shared" si="121"/>
        <v>1500</v>
      </c>
      <c r="AF1094" s="310"/>
      <c r="AG1094" s="841"/>
      <c r="AH1094" s="744"/>
      <c r="AI1094" s="292"/>
      <c r="AK1094" s="300"/>
      <c r="AS1094" s="452"/>
    </row>
    <row r="1095" spans="1:45" s="299" customFormat="1" ht="27.6">
      <c r="A1095" s="353">
        <v>640</v>
      </c>
      <c r="B1095" s="352">
        <v>500</v>
      </c>
      <c r="C1095" s="352">
        <v>200</v>
      </c>
      <c r="D1095" s="316">
        <v>500</v>
      </c>
      <c r="E1095" s="316"/>
      <c r="F1095" s="316"/>
      <c r="G1095" s="315" t="s">
        <v>421</v>
      </c>
      <c r="H1095" s="314"/>
      <c r="I1095" s="311"/>
      <c r="J1095" s="311"/>
      <c r="K1095" s="311"/>
      <c r="L1095" s="311"/>
      <c r="M1095" s="311"/>
      <c r="N1095" s="312"/>
      <c r="O1095" s="314"/>
      <c r="P1095" s="311">
        <v>0</v>
      </c>
      <c r="Q1095" s="312"/>
      <c r="R1095" s="314">
        <v>21955.9</v>
      </c>
      <c r="S1095" s="834"/>
      <c r="T1095" s="311"/>
      <c r="U1095" s="311">
        <v>21955.9</v>
      </c>
      <c r="V1095" s="311"/>
      <c r="W1095" s="311"/>
      <c r="X1095" s="311">
        <v>35128.000000000007</v>
      </c>
      <c r="Y1095" s="1356">
        <f t="shared" ref="Y1095:Y1158" si="122">+H1095+O1095+R1095</f>
        <v>21955.9</v>
      </c>
      <c r="Z1095" s="1357">
        <f t="shared" ref="Z1095:Z1158" si="123">+I1095+S1095</f>
        <v>0</v>
      </c>
      <c r="AA1095" s="311">
        <f t="shared" ref="AA1095:AA1158" si="124">+J1095+T1095</f>
        <v>0</v>
      </c>
      <c r="AB1095" s="311">
        <f t="shared" ref="AB1095:AB1158" si="125">+K1095+P1095+U1095</f>
        <v>21955.9</v>
      </c>
      <c r="AC1095" s="311">
        <f t="shared" ref="AC1095:AC1158" si="126">+L1095+V1095</f>
        <v>0</v>
      </c>
      <c r="AD1095" s="311">
        <f t="shared" ref="AD1095:AD1158" si="127">+M1095+W1095</f>
        <v>0</v>
      </c>
      <c r="AE1095" s="311">
        <f t="shared" ref="AE1095:AE1158" si="128">+N1095+X1095+Q1095</f>
        <v>35128.000000000007</v>
      </c>
      <c r="AF1095" s="310"/>
      <c r="AG1095" s="841">
        <v>-13172.100000000006</v>
      </c>
      <c r="AH1095" s="744"/>
      <c r="AI1095" s="292"/>
      <c r="AK1095" s="300"/>
      <c r="AS1095" s="452"/>
    </row>
    <row r="1096" spans="1:45" s="299" customFormat="1" ht="27.6">
      <c r="A1096" s="353">
        <v>640</v>
      </c>
      <c r="B1096" s="352">
        <v>500</v>
      </c>
      <c r="C1096" s="352">
        <v>200</v>
      </c>
      <c r="D1096" s="316">
        <v>550</v>
      </c>
      <c r="E1096" s="316"/>
      <c r="F1096" s="316"/>
      <c r="G1096" s="315" t="s">
        <v>422</v>
      </c>
      <c r="H1096" s="314"/>
      <c r="I1096" s="311"/>
      <c r="J1096" s="311"/>
      <c r="K1096" s="311"/>
      <c r="L1096" s="311"/>
      <c r="M1096" s="311"/>
      <c r="N1096" s="312"/>
      <c r="O1096" s="314"/>
      <c r="P1096" s="311">
        <v>0</v>
      </c>
      <c r="Q1096" s="312"/>
      <c r="R1096" s="314"/>
      <c r="S1096" s="311"/>
      <c r="T1096" s="311"/>
      <c r="U1096" s="311"/>
      <c r="V1096" s="311"/>
      <c r="W1096" s="311"/>
      <c r="X1096" s="311"/>
      <c r="Y1096" s="1356">
        <f t="shared" si="122"/>
        <v>0</v>
      </c>
      <c r="Z1096" s="1357">
        <f t="shared" si="123"/>
        <v>0</v>
      </c>
      <c r="AA1096" s="311">
        <f t="shared" si="124"/>
        <v>0</v>
      </c>
      <c r="AB1096" s="311">
        <f t="shared" si="125"/>
        <v>0</v>
      </c>
      <c r="AC1096" s="311">
        <f t="shared" si="126"/>
        <v>0</v>
      </c>
      <c r="AD1096" s="311">
        <f t="shared" si="127"/>
        <v>0</v>
      </c>
      <c r="AE1096" s="311">
        <f t="shared" si="128"/>
        <v>0</v>
      </c>
      <c r="AF1096" s="310"/>
      <c r="AG1096" s="841"/>
      <c r="AH1096" s="744"/>
      <c r="AI1096" s="292"/>
      <c r="AK1096" s="300"/>
      <c r="AS1096" s="452"/>
    </row>
    <row r="1097" spans="1:45" s="299" customFormat="1">
      <c r="A1097" s="353">
        <v>640</v>
      </c>
      <c r="B1097" s="352">
        <v>500</v>
      </c>
      <c r="C1097" s="352">
        <v>200</v>
      </c>
      <c r="D1097" s="316">
        <v>600</v>
      </c>
      <c r="E1097" s="316"/>
      <c r="F1097" s="316"/>
      <c r="G1097" s="315" t="s">
        <v>423</v>
      </c>
      <c r="H1097" s="314"/>
      <c r="I1097" s="311"/>
      <c r="J1097" s="311"/>
      <c r="K1097" s="311"/>
      <c r="L1097" s="311"/>
      <c r="M1097" s="311"/>
      <c r="N1097" s="312"/>
      <c r="O1097" s="314"/>
      <c r="P1097" s="311">
        <v>0</v>
      </c>
      <c r="Q1097" s="312"/>
      <c r="R1097" s="314"/>
      <c r="S1097" s="311"/>
      <c r="T1097" s="311"/>
      <c r="U1097" s="311"/>
      <c r="V1097" s="311"/>
      <c r="W1097" s="311"/>
      <c r="X1097" s="311"/>
      <c r="Y1097" s="1356">
        <f t="shared" si="122"/>
        <v>0</v>
      </c>
      <c r="Z1097" s="1357">
        <f t="shared" si="123"/>
        <v>0</v>
      </c>
      <c r="AA1097" s="311">
        <f t="shared" si="124"/>
        <v>0</v>
      </c>
      <c r="AB1097" s="311">
        <f t="shared" si="125"/>
        <v>0</v>
      </c>
      <c r="AC1097" s="311">
        <f t="shared" si="126"/>
        <v>0</v>
      </c>
      <c r="AD1097" s="311">
        <f t="shared" si="127"/>
        <v>0</v>
      </c>
      <c r="AE1097" s="311">
        <f t="shared" si="128"/>
        <v>0</v>
      </c>
      <c r="AF1097" s="310"/>
      <c r="AG1097" s="841"/>
      <c r="AH1097" s="744"/>
      <c r="AI1097" s="292"/>
      <c r="AK1097" s="300"/>
      <c r="AS1097" s="452"/>
    </row>
    <row r="1098" spans="1:45" s="299" customFormat="1" ht="27.6">
      <c r="A1098" s="353">
        <v>640</v>
      </c>
      <c r="B1098" s="352">
        <v>500</v>
      </c>
      <c r="C1098" s="352">
        <v>200</v>
      </c>
      <c r="D1098" s="316">
        <v>900</v>
      </c>
      <c r="E1098" s="316"/>
      <c r="F1098" s="316"/>
      <c r="G1098" s="315" t="s">
        <v>410</v>
      </c>
      <c r="H1098" s="314"/>
      <c r="I1098" s="311"/>
      <c r="J1098" s="311"/>
      <c r="K1098" s="311"/>
      <c r="L1098" s="311"/>
      <c r="M1098" s="311"/>
      <c r="N1098" s="312"/>
      <c r="O1098" s="314"/>
      <c r="P1098" s="311">
        <v>0</v>
      </c>
      <c r="Q1098" s="312"/>
      <c r="R1098" s="314">
        <v>9431.1200000000008</v>
      </c>
      <c r="S1098" s="834"/>
      <c r="T1098" s="311"/>
      <c r="U1098" s="311">
        <v>6431.12</v>
      </c>
      <c r="V1098" s="311"/>
      <c r="W1098" s="311"/>
      <c r="X1098" s="311">
        <v>41000</v>
      </c>
      <c r="Y1098" s="1356">
        <f t="shared" si="122"/>
        <v>9431.1200000000008</v>
      </c>
      <c r="Z1098" s="1357">
        <f t="shared" si="123"/>
        <v>0</v>
      </c>
      <c r="AA1098" s="311">
        <f t="shared" si="124"/>
        <v>0</v>
      </c>
      <c r="AB1098" s="311">
        <f t="shared" si="125"/>
        <v>6431.12</v>
      </c>
      <c r="AC1098" s="311">
        <f t="shared" si="126"/>
        <v>0</v>
      </c>
      <c r="AD1098" s="311">
        <f t="shared" si="127"/>
        <v>0</v>
      </c>
      <c r="AE1098" s="311">
        <f t="shared" si="128"/>
        <v>41000</v>
      </c>
      <c r="AF1098" s="310"/>
      <c r="AG1098" s="841">
        <v>-34568.879999999997</v>
      </c>
      <c r="AH1098" s="744"/>
      <c r="AI1098" s="292"/>
      <c r="AK1098" s="300"/>
      <c r="AS1098" s="452"/>
    </row>
    <row r="1099" spans="1:45" s="299" customFormat="1" ht="27.6">
      <c r="A1099" s="338">
        <v>650</v>
      </c>
      <c r="B1099" s="337">
        <v>0</v>
      </c>
      <c r="C1099" s="337">
        <v>0</v>
      </c>
      <c r="D1099" s="337">
        <v>0</v>
      </c>
      <c r="E1099" s="337">
        <v>0</v>
      </c>
      <c r="F1099" s="337">
        <v>0</v>
      </c>
      <c r="G1099" s="336" t="s">
        <v>424</v>
      </c>
      <c r="H1099" s="334"/>
      <c r="I1099" s="335"/>
      <c r="J1099" s="335"/>
      <c r="K1099" s="335"/>
      <c r="L1099" s="335"/>
      <c r="M1099" s="335"/>
      <c r="N1099" s="332"/>
      <c r="O1099" s="334"/>
      <c r="P1099" s="331">
        <v>0</v>
      </c>
      <c r="Q1099" s="332"/>
      <c r="R1099" s="334"/>
      <c r="S1099" s="331"/>
      <c r="T1099" s="331"/>
      <c r="U1099" s="331"/>
      <c r="V1099" s="331"/>
      <c r="W1099" s="331"/>
      <c r="X1099" s="331"/>
      <c r="Y1099" s="1352">
        <f t="shared" si="122"/>
        <v>0</v>
      </c>
      <c r="Z1099" s="1353">
        <f t="shared" si="123"/>
        <v>0</v>
      </c>
      <c r="AA1099" s="331">
        <f t="shared" si="124"/>
        <v>0</v>
      </c>
      <c r="AB1099" s="331">
        <f t="shared" si="125"/>
        <v>0</v>
      </c>
      <c r="AC1099" s="331">
        <f t="shared" si="126"/>
        <v>0</v>
      </c>
      <c r="AD1099" s="331">
        <f t="shared" si="127"/>
        <v>0</v>
      </c>
      <c r="AE1099" s="331">
        <f t="shared" si="128"/>
        <v>0</v>
      </c>
      <c r="AF1099" s="330" t="s">
        <v>425</v>
      </c>
      <c r="AG1099" s="837"/>
      <c r="AH1099" s="744">
        <f>SUM(Y1100:Y1102)</f>
        <v>1347062.6</v>
      </c>
      <c r="AI1099" s="292" t="s">
        <v>2251</v>
      </c>
      <c r="AK1099" s="300"/>
      <c r="AS1099" s="452"/>
    </row>
    <row r="1100" spans="1:45" s="292" customFormat="1" ht="55.2">
      <c r="A1100" s="353">
        <v>650</v>
      </c>
      <c r="B1100" s="357">
        <v>100</v>
      </c>
      <c r="C1100" s="357"/>
      <c r="D1100" s="357"/>
      <c r="E1100" s="357"/>
      <c r="F1100" s="357"/>
      <c r="G1100" s="315" t="s">
        <v>2121</v>
      </c>
      <c r="H1100" s="314"/>
      <c r="I1100" s="311"/>
      <c r="J1100" s="311"/>
      <c r="K1100" s="311"/>
      <c r="L1100" s="311"/>
      <c r="M1100" s="311"/>
      <c r="N1100" s="312"/>
      <c r="O1100" s="314"/>
      <c r="P1100" s="311">
        <v>0</v>
      </c>
      <c r="Q1100" s="312"/>
      <c r="R1100" s="314">
        <v>1341910.3</v>
      </c>
      <c r="S1100" s="311"/>
      <c r="T1100" s="311"/>
      <c r="U1100" s="311">
        <v>1342004.2999999998</v>
      </c>
      <c r="V1100" s="311"/>
      <c r="W1100" s="311"/>
      <c r="X1100" s="311">
        <v>1810473</v>
      </c>
      <c r="Y1100" s="1356">
        <f t="shared" si="122"/>
        <v>1341910.3</v>
      </c>
      <c r="Z1100" s="1357">
        <f t="shared" si="123"/>
        <v>0</v>
      </c>
      <c r="AA1100" s="311">
        <f t="shared" si="124"/>
        <v>0</v>
      </c>
      <c r="AB1100" s="311">
        <f t="shared" si="125"/>
        <v>1342004.2999999998</v>
      </c>
      <c r="AC1100" s="311">
        <f t="shared" si="126"/>
        <v>0</v>
      </c>
      <c r="AD1100" s="311">
        <f t="shared" si="127"/>
        <v>0</v>
      </c>
      <c r="AE1100" s="311">
        <f t="shared" si="128"/>
        <v>1810473</v>
      </c>
      <c r="AF1100" s="355" t="s">
        <v>426</v>
      </c>
      <c r="AG1100" s="838">
        <v>-288948.2</v>
      </c>
      <c r="AH1100" s="744"/>
      <c r="AK1100" s="293"/>
      <c r="AS1100" s="744"/>
    </row>
    <row r="1101" spans="1:45" s="299" customFormat="1" ht="41.4">
      <c r="A1101" s="353">
        <v>650</v>
      </c>
      <c r="B1101" s="357">
        <v>200</v>
      </c>
      <c r="C1101" s="357"/>
      <c r="D1101" s="357"/>
      <c r="E1101" s="357"/>
      <c r="F1101" s="357"/>
      <c r="G1101" s="315" t="s">
        <v>427</v>
      </c>
      <c r="H1101" s="314"/>
      <c r="I1101" s="311"/>
      <c r="J1101" s="311"/>
      <c r="K1101" s="311"/>
      <c r="L1101" s="311"/>
      <c r="M1101" s="311"/>
      <c r="N1101" s="312"/>
      <c r="O1101" s="314"/>
      <c r="P1101" s="311">
        <v>0</v>
      </c>
      <c r="Q1101" s="312"/>
      <c r="R1101" s="314">
        <v>5152.3</v>
      </c>
      <c r="S1101" s="311"/>
      <c r="T1101" s="311"/>
      <c r="U1101" s="311">
        <v>5152.3</v>
      </c>
      <c r="V1101" s="311"/>
      <c r="W1101" s="311"/>
      <c r="X1101" s="311">
        <v>9000</v>
      </c>
      <c r="Y1101" s="1356">
        <f t="shared" si="122"/>
        <v>5152.3</v>
      </c>
      <c r="Z1101" s="1357">
        <f t="shared" si="123"/>
        <v>0</v>
      </c>
      <c r="AA1101" s="311">
        <f t="shared" si="124"/>
        <v>0</v>
      </c>
      <c r="AB1101" s="311">
        <f t="shared" si="125"/>
        <v>5152.3</v>
      </c>
      <c r="AC1101" s="311">
        <f t="shared" si="126"/>
        <v>0</v>
      </c>
      <c r="AD1101" s="311">
        <f t="shared" si="127"/>
        <v>0</v>
      </c>
      <c r="AE1101" s="311">
        <f t="shared" si="128"/>
        <v>9000</v>
      </c>
      <c r="AF1101" s="355" t="s">
        <v>428</v>
      </c>
      <c r="AG1101" s="838"/>
      <c r="AH1101" s="744"/>
      <c r="AI1101" s="292"/>
      <c r="AK1101" s="300"/>
      <c r="AS1101" s="452"/>
    </row>
    <row r="1102" spans="1:45" s="299" customFormat="1" ht="27.6">
      <c r="A1102" s="353">
        <v>650</v>
      </c>
      <c r="B1102" s="357">
        <v>300</v>
      </c>
      <c r="C1102" s="357"/>
      <c r="D1102" s="357"/>
      <c r="E1102" s="357"/>
      <c r="F1102" s="357"/>
      <c r="G1102" s="315" t="s">
        <v>429</v>
      </c>
      <c r="H1102" s="314"/>
      <c r="I1102" s="311"/>
      <c r="J1102" s="311"/>
      <c r="K1102" s="311"/>
      <c r="L1102" s="311"/>
      <c r="M1102" s="311"/>
      <c r="N1102" s="312"/>
      <c r="O1102" s="314"/>
      <c r="P1102" s="311">
        <v>0</v>
      </c>
      <c r="Q1102" s="312"/>
      <c r="R1102" s="314"/>
      <c r="S1102" s="311"/>
      <c r="T1102" s="311"/>
      <c r="U1102" s="311"/>
      <c r="V1102" s="311"/>
      <c r="W1102" s="311"/>
      <c r="X1102" s="311"/>
      <c r="Y1102" s="1356">
        <f t="shared" si="122"/>
        <v>0</v>
      </c>
      <c r="Z1102" s="1357">
        <f t="shared" si="123"/>
        <v>0</v>
      </c>
      <c r="AA1102" s="311">
        <f t="shared" si="124"/>
        <v>0</v>
      </c>
      <c r="AB1102" s="311">
        <f t="shared" si="125"/>
        <v>0</v>
      </c>
      <c r="AC1102" s="311">
        <f t="shared" si="126"/>
        <v>0</v>
      </c>
      <c r="AD1102" s="311">
        <f t="shared" si="127"/>
        <v>0</v>
      </c>
      <c r="AE1102" s="311">
        <f t="shared" si="128"/>
        <v>0</v>
      </c>
      <c r="AF1102" s="355" t="s">
        <v>430</v>
      </c>
      <c r="AG1102" s="838"/>
      <c r="AH1102" s="744"/>
      <c r="AI1102" s="292"/>
      <c r="AK1102" s="300"/>
      <c r="AS1102" s="452"/>
    </row>
    <row r="1103" spans="1:45" s="299" customFormat="1" ht="27.6">
      <c r="A1103" s="338">
        <v>660</v>
      </c>
      <c r="B1103" s="337">
        <v>0</v>
      </c>
      <c r="C1103" s="337">
        <v>0</v>
      </c>
      <c r="D1103" s="337">
        <v>0</v>
      </c>
      <c r="E1103" s="337">
        <v>0</v>
      </c>
      <c r="F1103" s="337">
        <v>0</v>
      </c>
      <c r="G1103" s="336" t="s">
        <v>431</v>
      </c>
      <c r="H1103" s="334"/>
      <c r="I1103" s="335"/>
      <c r="J1103" s="335"/>
      <c r="K1103" s="335"/>
      <c r="L1103" s="335"/>
      <c r="M1103" s="335"/>
      <c r="N1103" s="332"/>
      <c r="O1103" s="334"/>
      <c r="P1103" s="331">
        <v>0</v>
      </c>
      <c r="Q1103" s="332"/>
      <c r="R1103" s="334"/>
      <c r="S1103" s="331"/>
      <c r="T1103" s="331"/>
      <c r="U1103" s="331"/>
      <c r="V1103" s="331"/>
      <c r="W1103" s="331"/>
      <c r="X1103" s="331"/>
      <c r="Y1103" s="1352">
        <f t="shared" si="122"/>
        <v>0</v>
      </c>
      <c r="Z1103" s="1353">
        <f t="shared" si="123"/>
        <v>0</v>
      </c>
      <c r="AA1103" s="331">
        <f t="shared" si="124"/>
        <v>0</v>
      </c>
      <c r="AB1103" s="331">
        <f t="shared" si="125"/>
        <v>0</v>
      </c>
      <c r="AC1103" s="331">
        <f t="shared" si="126"/>
        <v>0</v>
      </c>
      <c r="AD1103" s="331">
        <f t="shared" si="127"/>
        <v>0</v>
      </c>
      <c r="AE1103" s="331">
        <f t="shared" si="128"/>
        <v>0</v>
      </c>
      <c r="AF1103" s="330" t="s">
        <v>432</v>
      </c>
      <c r="AG1103" s="837"/>
      <c r="AH1103" s="744">
        <f>SUM(Y1104:Y1110)</f>
        <v>2156637.2599999998</v>
      </c>
      <c r="AI1103" s="292" t="s">
        <v>2250</v>
      </c>
      <c r="AK1103" s="300"/>
      <c r="AS1103" s="452"/>
    </row>
    <row r="1104" spans="1:45" s="292" customFormat="1" ht="41.4">
      <c r="A1104" s="353">
        <v>660</v>
      </c>
      <c r="B1104" s="357">
        <v>100</v>
      </c>
      <c r="C1104" s="357"/>
      <c r="D1104" s="357"/>
      <c r="E1104" s="357"/>
      <c r="F1104" s="357"/>
      <c r="G1104" s="315" t="s">
        <v>433</v>
      </c>
      <c r="H1104" s="314"/>
      <c r="I1104" s="311"/>
      <c r="J1104" s="311"/>
      <c r="K1104" s="311"/>
      <c r="L1104" s="311"/>
      <c r="M1104" s="311"/>
      <c r="N1104" s="312"/>
      <c r="O1104" s="314"/>
      <c r="P1104" s="311">
        <v>0</v>
      </c>
      <c r="Q1104" s="312"/>
      <c r="R1104" s="314">
        <v>410009.41</v>
      </c>
      <c r="S1104" s="311"/>
      <c r="T1104" s="311"/>
      <c r="U1104" s="311">
        <v>681342</v>
      </c>
      <c r="V1104" s="311"/>
      <c r="W1104" s="311"/>
      <c r="X1104" s="311">
        <v>681342</v>
      </c>
      <c r="Y1104" s="1356">
        <f t="shared" si="122"/>
        <v>410009.41</v>
      </c>
      <c r="Z1104" s="1357">
        <f t="shared" si="123"/>
        <v>0</v>
      </c>
      <c r="AA1104" s="311">
        <f t="shared" si="124"/>
        <v>0</v>
      </c>
      <c r="AB1104" s="311">
        <f t="shared" si="125"/>
        <v>681342</v>
      </c>
      <c r="AC1104" s="311">
        <f t="shared" si="126"/>
        <v>0</v>
      </c>
      <c r="AD1104" s="311">
        <f t="shared" si="127"/>
        <v>0</v>
      </c>
      <c r="AE1104" s="311">
        <f t="shared" si="128"/>
        <v>681342</v>
      </c>
      <c r="AF1104" s="355" t="s">
        <v>434</v>
      </c>
      <c r="AG1104" s="838"/>
      <c r="AH1104" s="744"/>
      <c r="AK1104" s="293"/>
      <c r="AS1104" s="744"/>
    </row>
    <row r="1105" spans="1:45" s="299" customFormat="1" ht="41.4">
      <c r="A1105" s="353">
        <v>660</v>
      </c>
      <c r="B1105" s="357">
        <v>200</v>
      </c>
      <c r="C1105" s="357"/>
      <c r="D1105" s="357"/>
      <c r="E1105" s="357"/>
      <c r="F1105" s="357"/>
      <c r="G1105" s="315" t="s">
        <v>435</v>
      </c>
      <c r="H1105" s="314"/>
      <c r="I1105" s="311"/>
      <c r="J1105" s="311"/>
      <c r="K1105" s="311"/>
      <c r="L1105" s="311"/>
      <c r="M1105" s="311"/>
      <c r="N1105" s="312"/>
      <c r="O1105" s="314"/>
      <c r="P1105" s="311">
        <v>0</v>
      </c>
      <c r="Q1105" s="312"/>
      <c r="R1105" s="314">
        <v>948505.87</v>
      </c>
      <c r="S1105" s="311"/>
      <c r="T1105" s="311"/>
      <c r="U1105" s="311">
        <v>740773</v>
      </c>
      <c r="V1105" s="311"/>
      <c r="W1105" s="311"/>
      <c r="X1105" s="311">
        <v>740773</v>
      </c>
      <c r="Y1105" s="1356">
        <f t="shared" si="122"/>
        <v>948505.87</v>
      </c>
      <c r="Z1105" s="1357">
        <f t="shared" si="123"/>
        <v>0</v>
      </c>
      <c r="AA1105" s="311">
        <f t="shared" si="124"/>
        <v>0</v>
      </c>
      <c r="AB1105" s="311">
        <f t="shared" si="125"/>
        <v>740773</v>
      </c>
      <c r="AC1105" s="311">
        <f t="shared" si="126"/>
        <v>0</v>
      </c>
      <c r="AD1105" s="311">
        <f t="shared" si="127"/>
        <v>0</v>
      </c>
      <c r="AE1105" s="311">
        <f t="shared" si="128"/>
        <v>740773</v>
      </c>
      <c r="AF1105" s="355" t="s">
        <v>436</v>
      </c>
      <c r="AG1105" s="838"/>
      <c r="AH1105" s="744"/>
      <c r="AI1105" s="292"/>
      <c r="AK1105" s="300"/>
      <c r="AS1105" s="452"/>
    </row>
    <row r="1106" spans="1:45" s="299" customFormat="1" ht="41.4">
      <c r="A1106" s="353">
        <v>660</v>
      </c>
      <c r="B1106" s="357">
        <v>300</v>
      </c>
      <c r="C1106" s="357"/>
      <c r="D1106" s="357"/>
      <c r="E1106" s="357"/>
      <c r="F1106" s="357"/>
      <c r="G1106" s="315" t="s">
        <v>437</v>
      </c>
      <c r="H1106" s="314"/>
      <c r="I1106" s="311"/>
      <c r="J1106" s="311"/>
      <c r="K1106" s="311"/>
      <c r="L1106" s="311"/>
      <c r="M1106" s="311"/>
      <c r="N1106" s="312"/>
      <c r="O1106" s="314"/>
      <c r="P1106" s="311">
        <v>0</v>
      </c>
      <c r="Q1106" s="312"/>
      <c r="R1106" s="314"/>
      <c r="S1106" s="311"/>
      <c r="T1106" s="311"/>
      <c r="U1106" s="311">
        <v>0</v>
      </c>
      <c r="V1106" s="311"/>
      <c r="W1106" s="311"/>
      <c r="X1106" s="311">
        <v>0</v>
      </c>
      <c r="Y1106" s="1356">
        <f t="shared" si="122"/>
        <v>0</v>
      </c>
      <c r="Z1106" s="1357">
        <f t="shared" si="123"/>
        <v>0</v>
      </c>
      <c r="AA1106" s="311">
        <f t="shared" si="124"/>
        <v>0</v>
      </c>
      <c r="AB1106" s="311">
        <f t="shared" si="125"/>
        <v>0</v>
      </c>
      <c r="AC1106" s="311">
        <f t="shared" si="126"/>
        <v>0</v>
      </c>
      <c r="AD1106" s="311">
        <f t="shared" si="127"/>
        <v>0</v>
      </c>
      <c r="AE1106" s="311">
        <f t="shared" si="128"/>
        <v>0</v>
      </c>
      <c r="AF1106" s="355" t="s">
        <v>438</v>
      </c>
      <c r="AG1106" s="838"/>
      <c r="AH1106" s="744"/>
      <c r="AI1106" s="292"/>
      <c r="AK1106" s="300"/>
      <c r="AS1106" s="452"/>
    </row>
    <row r="1107" spans="1:45" s="299" customFormat="1" ht="41.4">
      <c r="A1107" s="353">
        <v>660</v>
      </c>
      <c r="B1107" s="357">
        <v>400</v>
      </c>
      <c r="C1107" s="357"/>
      <c r="D1107" s="357"/>
      <c r="E1107" s="357"/>
      <c r="F1107" s="357"/>
      <c r="G1107" s="315" t="s">
        <v>439</v>
      </c>
      <c r="H1107" s="314"/>
      <c r="I1107" s="311"/>
      <c r="J1107" s="311"/>
      <c r="K1107" s="311"/>
      <c r="L1107" s="311"/>
      <c r="M1107" s="311"/>
      <c r="N1107" s="312"/>
      <c r="O1107" s="314"/>
      <c r="P1107" s="311">
        <v>0</v>
      </c>
      <c r="Q1107" s="312"/>
      <c r="R1107" s="314"/>
      <c r="S1107" s="311"/>
      <c r="T1107" s="311"/>
      <c r="U1107" s="311">
        <v>0</v>
      </c>
      <c r="V1107" s="311"/>
      <c r="W1107" s="311"/>
      <c r="X1107" s="311">
        <v>0</v>
      </c>
      <c r="Y1107" s="1356">
        <f t="shared" si="122"/>
        <v>0</v>
      </c>
      <c r="Z1107" s="1357">
        <f t="shared" si="123"/>
        <v>0</v>
      </c>
      <c r="AA1107" s="311">
        <f t="shared" si="124"/>
        <v>0</v>
      </c>
      <c r="AB1107" s="311">
        <f t="shared" si="125"/>
        <v>0</v>
      </c>
      <c r="AC1107" s="311">
        <f t="shared" si="126"/>
        <v>0</v>
      </c>
      <c r="AD1107" s="311">
        <f t="shared" si="127"/>
        <v>0</v>
      </c>
      <c r="AE1107" s="311">
        <f t="shared" si="128"/>
        <v>0</v>
      </c>
      <c r="AF1107" s="355" t="s">
        <v>440</v>
      </c>
      <c r="AG1107" s="838"/>
      <c r="AH1107" s="744"/>
      <c r="AI1107" s="292"/>
      <c r="AK1107" s="300"/>
      <c r="AS1107" s="452"/>
    </row>
    <row r="1108" spans="1:45" s="299" customFormat="1" ht="41.4">
      <c r="A1108" s="353">
        <v>660</v>
      </c>
      <c r="B1108" s="357">
        <v>500</v>
      </c>
      <c r="C1108" s="357"/>
      <c r="D1108" s="357"/>
      <c r="E1108" s="357"/>
      <c r="F1108" s="357"/>
      <c r="G1108" s="315" t="s">
        <v>441</v>
      </c>
      <c r="H1108" s="314"/>
      <c r="I1108" s="311"/>
      <c r="J1108" s="311"/>
      <c r="K1108" s="311"/>
      <c r="L1108" s="311"/>
      <c r="M1108" s="311"/>
      <c r="N1108" s="312"/>
      <c r="O1108" s="314"/>
      <c r="P1108" s="311">
        <v>0</v>
      </c>
      <c r="Q1108" s="312"/>
      <c r="R1108" s="314"/>
      <c r="S1108" s="311"/>
      <c r="T1108" s="311"/>
      <c r="U1108" s="311">
        <v>0</v>
      </c>
      <c r="V1108" s="311"/>
      <c r="W1108" s="311"/>
      <c r="X1108" s="311">
        <v>0</v>
      </c>
      <c r="Y1108" s="1356">
        <f t="shared" si="122"/>
        <v>0</v>
      </c>
      <c r="Z1108" s="1357">
        <f t="shared" si="123"/>
        <v>0</v>
      </c>
      <c r="AA1108" s="311">
        <f t="shared" si="124"/>
        <v>0</v>
      </c>
      <c r="AB1108" s="311">
        <f t="shared" si="125"/>
        <v>0</v>
      </c>
      <c r="AC1108" s="311">
        <f t="shared" si="126"/>
        <v>0</v>
      </c>
      <c r="AD1108" s="311">
        <f t="shared" si="127"/>
        <v>0</v>
      </c>
      <c r="AE1108" s="311">
        <f t="shared" si="128"/>
        <v>0</v>
      </c>
      <c r="AF1108" s="355" t="s">
        <v>442</v>
      </c>
      <c r="AG1108" s="838"/>
      <c r="AH1108" s="744"/>
      <c r="AI1108" s="292"/>
      <c r="AK1108" s="300"/>
      <c r="AS1108" s="452"/>
    </row>
    <row r="1109" spans="1:45" s="299" customFormat="1" ht="27.6">
      <c r="A1109" s="353">
        <v>660</v>
      </c>
      <c r="B1109" s="357">
        <v>600</v>
      </c>
      <c r="C1109" s="357"/>
      <c r="D1109" s="357"/>
      <c r="E1109" s="357"/>
      <c r="F1109" s="357"/>
      <c r="G1109" s="315" t="s">
        <v>443</v>
      </c>
      <c r="H1109" s="314"/>
      <c r="I1109" s="311"/>
      <c r="J1109" s="311"/>
      <c r="K1109" s="311"/>
      <c r="L1109" s="311"/>
      <c r="M1109" s="311"/>
      <c r="N1109" s="312"/>
      <c r="O1109" s="314"/>
      <c r="P1109" s="311">
        <v>0</v>
      </c>
      <c r="Q1109" s="312"/>
      <c r="R1109" s="314">
        <v>798121.98</v>
      </c>
      <c r="S1109" s="311"/>
      <c r="T1109" s="311"/>
      <c r="U1109" s="311">
        <v>630737</v>
      </c>
      <c r="V1109" s="311"/>
      <c r="W1109" s="311"/>
      <c r="X1109" s="311">
        <v>630737</v>
      </c>
      <c r="Y1109" s="1356">
        <f t="shared" si="122"/>
        <v>798121.98</v>
      </c>
      <c r="Z1109" s="1357">
        <f t="shared" si="123"/>
        <v>0</v>
      </c>
      <c r="AA1109" s="311">
        <f t="shared" si="124"/>
        <v>0</v>
      </c>
      <c r="AB1109" s="311">
        <f t="shared" si="125"/>
        <v>630737</v>
      </c>
      <c r="AC1109" s="311">
        <f t="shared" si="126"/>
        <v>0</v>
      </c>
      <c r="AD1109" s="311">
        <f t="shared" si="127"/>
        <v>0</v>
      </c>
      <c r="AE1109" s="311">
        <f t="shared" si="128"/>
        <v>630737</v>
      </c>
      <c r="AF1109" s="355" t="s">
        <v>444</v>
      </c>
      <c r="AG1109" s="838"/>
      <c r="AH1109" s="744"/>
      <c r="AI1109" s="292"/>
      <c r="AK1109" s="300"/>
      <c r="AS1109" s="452"/>
    </row>
    <row r="1110" spans="1:45" s="299" customFormat="1" ht="27.6">
      <c r="A1110" s="344">
        <v>670</v>
      </c>
      <c r="B1110" s="343">
        <v>0</v>
      </c>
      <c r="C1110" s="343">
        <v>0</v>
      </c>
      <c r="D1110" s="343">
        <v>0</v>
      </c>
      <c r="E1110" s="343">
        <v>0</v>
      </c>
      <c r="F1110" s="343">
        <v>0</v>
      </c>
      <c r="G1110" s="342" t="s">
        <v>30</v>
      </c>
      <c r="H1110" s="314"/>
      <c r="I1110" s="311"/>
      <c r="J1110" s="311"/>
      <c r="K1110" s="311"/>
      <c r="L1110" s="311"/>
      <c r="M1110" s="311"/>
      <c r="N1110" s="312"/>
      <c r="O1110" s="314"/>
      <c r="P1110" s="311">
        <v>0</v>
      </c>
      <c r="Q1110" s="312"/>
      <c r="R1110" s="314"/>
      <c r="S1110" s="326"/>
      <c r="T1110" s="326"/>
      <c r="U1110" s="326"/>
      <c r="V1110" s="326"/>
      <c r="W1110" s="326"/>
      <c r="X1110" s="326"/>
      <c r="Y1110" s="1356">
        <f t="shared" si="122"/>
        <v>0</v>
      </c>
      <c r="Z1110" s="1351">
        <f t="shared" si="123"/>
        <v>0</v>
      </c>
      <c r="AA1110" s="326">
        <f t="shared" si="124"/>
        <v>0</v>
      </c>
      <c r="AB1110" s="326">
        <f t="shared" si="125"/>
        <v>0</v>
      </c>
      <c r="AC1110" s="326">
        <f t="shared" si="126"/>
        <v>0</v>
      </c>
      <c r="AD1110" s="326">
        <f t="shared" si="127"/>
        <v>0</v>
      </c>
      <c r="AE1110" s="326">
        <f t="shared" si="128"/>
        <v>0</v>
      </c>
      <c r="AF1110" s="339" t="s">
        <v>445</v>
      </c>
      <c r="AG1110" s="837"/>
      <c r="AH1110" s="744">
        <f>+Y1110</f>
        <v>0</v>
      </c>
      <c r="AI1110" s="292" t="s">
        <v>2249</v>
      </c>
      <c r="AK1110" s="300"/>
      <c r="AS1110" s="452"/>
    </row>
    <row r="1111" spans="1:45" s="292" customFormat="1">
      <c r="A1111" s="338">
        <v>680</v>
      </c>
      <c r="B1111" s="337">
        <v>0</v>
      </c>
      <c r="C1111" s="337">
        <v>0</v>
      </c>
      <c r="D1111" s="337">
        <v>0</v>
      </c>
      <c r="E1111" s="337">
        <v>0</v>
      </c>
      <c r="F1111" s="337">
        <v>0</v>
      </c>
      <c r="G1111" s="336" t="s">
        <v>31</v>
      </c>
      <c r="H1111" s="334"/>
      <c r="I1111" s="335"/>
      <c r="J1111" s="335"/>
      <c r="K1111" s="335"/>
      <c r="L1111" s="335"/>
      <c r="M1111" s="335"/>
      <c r="N1111" s="332"/>
      <c r="O1111" s="334"/>
      <c r="P1111" s="331">
        <v>0</v>
      </c>
      <c r="Q1111" s="332"/>
      <c r="R1111" s="334"/>
      <c r="S1111" s="331"/>
      <c r="T1111" s="331"/>
      <c r="U1111" s="331"/>
      <c r="V1111" s="331"/>
      <c r="W1111" s="331"/>
      <c r="X1111" s="331"/>
      <c r="Y1111" s="1352">
        <f t="shared" si="122"/>
        <v>0</v>
      </c>
      <c r="Z1111" s="1353">
        <f t="shared" si="123"/>
        <v>0</v>
      </c>
      <c r="AA1111" s="331">
        <f t="shared" si="124"/>
        <v>0</v>
      </c>
      <c r="AB1111" s="331">
        <f t="shared" si="125"/>
        <v>0</v>
      </c>
      <c r="AC1111" s="331">
        <f t="shared" si="126"/>
        <v>0</v>
      </c>
      <c r="AD1111" s="331">
        <f t="shared" si="127"/>
        <v>0</v>
      </c>
      <c r="AE1111" s="331">
        <f t="shared" si="128"/>
        <v>0</v>
      </c>
      <c r="AF1111" s="330" t="s">
        <v>446</v>
      </c>
      <c r="AG1111" s="837"/>
      <c r="AH1111" s="744">
        <f>SUM(Y1112:Y1123)</f>
        <v>331118.25</v>
      </c>
      <c r="AI1111" s="292" t="s">
        <v>2248</v>
      </c>
      <c r="AK1111" s="293"/>
      <c r="AS1111" s="744"/>
    </row>
    <row r="1112" spans="1:45" s="292" customFormat="1">
      <c r="A1112" s="353">
        <v>680</v>
      </c>
      <c r="B1112" s="352">
        <v>100</v>
      </c>
      <c r="C1112" s="352"/>
      <c r="D1112" s="352"/>
      <c r="E1112" s="352"/>
      <c r="F1112" s="352"/>
      <c r="G1112" s="323" t="s">
        <v>447</v>
      </c>
      <c r="H1112" s="322"/>
      <c r="I1112" s="320"/>
      <c r="J1112" s="320"/>
      <c r="K1112" s="320"/>
      <c r="L1112" s="320"/>
      <c r="M1112" s="320"/>
      <c r="N1112" s="321"/>
      <c r="O1112" s="322"/>
      <c r="P1112" s="320">
        <v>0</v>
      </c>
      <c r="Q1112" s="321"/>
      <c r="R1112" s="322"/>
      <c r="S1112" s="320"/>
      <c r="T1112" s="320"/>
      <c r="U1112" s="320"/>
      <c r="V1112" s="320"/>
      <c r="W1112" s="320"/>
      <c r="X1112" s="320"/>
      <c r="Y1112" s="1392">
        <f t="shared" si="122"/>
        <v>0</v>
      </c>
      <c r="Z1112" s="1389">
        <f t="shared" si="123"/>
        <v>0</v>
      </c>
      <c r="AA1112" s="320">
        <f t="shared" si="124"/>
        <v>0</v>
      </c>
      <c r="AB1112" s="320">
        <f t="shared" si="125"/>
        <v>0</v>
      </c>
      <c r="AC1112" s="320">
        <f t="shared" si="126"/>
        <v>0</v>
      </c>
      <c r="AD1112" s="320">
        <f t="shared" si="127"/>
        <v>0</v>
      </c>
      <c r="AE1112" s="320">
        <f t="shared" si="128"/>
        <v>0</v>
      </c>
      <c r="AF1112" s="355" t="s">
        <v>448</v>
      </c>
      <c r="AG1112" s="838"/>
      <c r="AH1112" s="744"/>
      <c r="AK1112" s="293"/>
      <c r="AS1112" s="744"/>
    </row>
    <row r="1113" spans="1:45" s="299" customFormat="1" ht="27.6">
      <c r="A1113" s="353">
        <v>680</v>
      </c>
      <c r="B1113" s="352">
        <v>100</v>
      </c>
      <c r="C1113" s="316">
        <v>100</v>
      </c>
      <c r="D1113" s="316"/>
      <c r="E1113" s="316"/>
      <c r="F1113" s="316"/>
      <c r="G1113" s="315" t="s">
        <v>449</v>
      </c>
      <c r="H1113" s="314"/>
      <c r="I1113" s="311"/>
      <c r="J1113" s="311"/>
      <c r="K1113" s="311"/>
      <c r="L1113" s="311"/>
      <c r="M1113" s="311"/>
      <c r="N1113" s="312"/>
      <c r="O1113" s="314"/>
      <c r="P1113" s="311">
        <v>0</v>
      </c>
      <c r="Q1113" s="312"/>
      <c r="R1113" s="314"/>
      <c r="S1113" s="311"/>
      <c r="T1113" s="311"/>
      <c r="U1113" s="311"/>
      <c r="V1113" s="311"/>
      <c r="W1113" s="311"/>
      <c r="X1113" s="311"/>
      <c r="Y1113" s="1356">
        <f t="shared" si="122"/>
        <v>0</v>
      </c>
      <c r="Z1113" s="1357">
        <f t="shared" si="123"/>
        <v>0</v>
      </c>
      <c r="AA1113" s="311">
        <f t="shared" si="124"/>
        <v>0</v>
      </c>
      <c r="AB1113" s="311">
        <f t="shared" si="125"/>
        <v>0</v>
      </c>
      <c r="AC1113" s="311">
        <f t="shared" si="126"/>
        <v>0</v>
      </c>
      <c r="AD1113" s="311">
        <f t="shared" si="127"/>
        <v>0</v>
      </c>
      <c r="AE1113" s="311">
        <f t="shared" si="128"/>
        <v>0</v>
      </c>
      <c r="AF1113" s="310"/>
      <c r="AG1113" s="841"/>
      <c r="AH1113" s="744"/>
      <c r="AI1113" s="292"/>
      <c r="AK1113" s="300"/>
      <c r="AS1113" s="452"/>
    </row>
    <row r="1114" spans="1:45" s="299" customFormat="1" ht="27.6">
      <c r="A1114" s="353">
        <v>680</v>
      </c>
      <c r="B1114" s="352">
        <v>100</v>
      </c>
      <c r="C1114" s="316">
        <v>200</v>
      </c>
      <c r="D1114" s="316"/>
      <c r="E1114" s="316"/>
      <c r="F1114" s="316"/>
      <c r="G1114" s="315" t="s">
        <v>450</v>
      </c>
      <c r="H1114" s="314"/>
      <c r="I1114" s="311"/>
      <c r="J1114" s="311"/>
      <c r="K1114" s="311"/>
      <c r="L1114" s="311"/>
      <c r="M1114" s="311"/>
      <c r="N1114" s="312"/>
      <c r="O1114" s="314"/>
      <c r="P1114" s="311">
        <v>0</v>
      </c>
      <c r="Q1114" s="312"/>
      <c r="R1114" s="314"/>
      <c r="S1114" s="311"/>
      <c r="T1114" s="311"/>
      <c r="U1114" s="311"/>
      <c r="V1114" s="311"/>
      <c r="W1114" s="311"/>
      <c r="X1114" s="311"/>
      <c r="Y1114" s="1356">
        <f t="shared" si="122"/>
        <v>0</v>
      </c>
      <c r="Z1114" s="1357">
        <f t="shared" si="123"/>
        <v>0</v>
      </c>
      <c r="AA1114" s="311">
        <f t="shared" si="124"/>
        <v>0</v>
      </c>
      <c r="AB1114" s="311">
        <f t="shared" si="125"/>
        <v>0</v>
      </c>
      <c r="AC1114" s="311">
        <f t="shared" si="126"/>
        <v>0</v>
      </c>
      <c r="AD1114" s="311">
        <f t="shared" si="127"/>
        <v>0</v>
      </c>
      <c r="AE1114" s="311">
        <f t="shared" si="128"/>
        <v>0</v>
      </c>
      <c r="AF1114" s="310"/>
      <c r="AG1114" s="841"/>
      <c r="AH1114" s="744"/>
      <c r="AI1114" s="292"/>
      <c r="AK1114" s="300"/>
      <c r="AS1114" s="452"/>
    </row>
    <row r="1115" spans="1:45" s="299" customFormat="1" ht="27.6">
      <c r="A1115" s="353">
        <v>680</v>
      </c>
      <c r="B1115" s="352">
        <v>100</v>
      </c>
      <c r="C1115" s="316">
        <v>900</v>
      </c>
      <c r="D1115" s="316"/>
      <c r="E1115" s="316"/>
      <c r="F1115" s="316"/>
      <c r="G1115" s="315" t="s">
        <v>451</v>
      </c>
      <c r="H1115" s="314"/>
      <c r="I1115" s="311"/>
      <c r="J1115" s="311"/>
      <c r="K1115" s="311"/>
      <c r="L1115" s="311"/>
      <c r="M1115" s="311"/>
      <c r="N1115" s="312"/>
      <c r="O1115" s="314"/>
      <c r="P1115" s="311">
        <v>0</v>
      </c>
      <c r="Q1115" s="312"/>
      <c r="R1115" s="314">
        <v>132518</v>
      </c>
      <c r="S1115" s="311">
        <v>132518</v>
      </c>
      <c r="T1115" s="311"/>
      <c r="U1115" s="311"/>
      <c r="V1115" s="311"/>
      <c r="W1115" s="311"/>
      <c r="X1115" s="311"/>
      <c r="Y1115" s="1356">
        <f t="shared" si="122"/>
        <v>132518</v>
      </c>
      <c r="Z1115" s="1357">
        <f t="shared" si="123"/>
        <v>132518</v>
      </c>
      <c r="AA1115" s="311">
        <f t="shared" si="124"/>
        <v>0</v>
      </c>
      <c r="AB1115" s="311">
        <f t="shared" si="125"/>
        <v>0</v>
      </c>
      <c r="AC1115" s="311">
        <f t="shared" si="126"/>
        <v>0</v>
      </c>
      <c r="AD1115" s="311">
        <f t="shared" si="127"/>
        <v>0</v>
      </c>
      <c r="AE1115" s="311">
        <f t="shared" si="128"/>
        <v>0</v>
      </c>
      <c r="AF1115" s="310"/>
      <c r="AG1115" s="841"/>
      <c r="AH1115" s="744"/>
      <c r="AI1115" s="292"/>
      <c r="AK1115" s="300"/>
      <c r="AS1115" s="452"/>
    </row>
    <row r="1116" spans="1:45" s="299" customFormat="1" ht="27.6">
      <c r="A1116" s="353">
        <v>680</v>
      </c>
      <c r="B1116" s="352">
        <v>200</v>
      </c>
      <c r="C1116" s="352"/>
      <c r="D1116" s="352"/>
      <c r="E1116" s="352"/>
      <c r="F1116" s="352"/>
      <c r="G1116" s="323" t="s">
        <v>452</v>
      </c>
      <c r="H1116" s="322"/>
      <c r="I1116" s="320"/>
      <c r="J1116" s="320"/>
      <c r="K1116" s="320"/>
      <c r="L1116" s="320"/>
      <c r="M1116" s="320"/>
      <c r="N1116" s="321"/>
      <c r="O1116" s="322"/>
      <c r="P1116" s="320">
        <v>0</v>
      </c>
      <c r="Q1116" s="321"/>
      <c r="R1116" s="322"/>
      <c r="S1116" s="320"/>
      <c r="T1116" s="320"/>
      <c r="U1116" s="320"/>
      <c r="V1116" s="320"/>
      <c r="W1116" s="320"/>
      <c r="X1116" s="320"/>
      <c r="Y1116" s="1392">
        <f t="shared" si="122"/>
        <v>0</v>
      </c>
      <c r="Z1116" s="1389">
        <f t="shared" si="123"/>
        <v>0</v>
      </c>
      <c r="AA1116" s="320">
        <f t="shared" si="124"/>
        <v>0</v>
      </c>
      <c r="AB1116" s="320">
        <f t="shared" si="125"/>
        <v>0</v>
      </c>
      <c r="AC1116" s="320">
        <f t="shared" si="126"/>
        <v>0</v>
      </c>
      <c r="AD1116" s="320">
        <f t="shared" si="127"/>
        <v>0</v>
      </c>
      <c r="AE1116" s="320">
        <f t="shared" si="128"/>
        <v>0</v>
      </c>
      <c r="AF1116" s="355" t="s">
        <v>453</v>
      </c>
      <c r="AG1116" s="838"/>
      <c r="AH1116" s="744"/>
      <c r="AI1116" s="292"/>
      <c r="AK1116" s="300"/>
      <c r="AS1116" s="452"/>
    </row>
    <row r="1117" spans="1:45" s="299" customFormat="1">
      <c r="A1117" s="353">
        <v>680</v>
      </c>
      <c r="B1117" s="352">
        <v>200</v>
      </c>
      <c r="C1117" s="316">
        <v>100</v>
      </c>
      <c r="D1117" s="316"/>
      <c r="E1117" s="316"/>
      <c r="F1117" s="316"/>
      <c r="G1117" s="315" t="s">
        <v>454</v>
      </c>
      <c r="H1117" s="314"/>
      <c r="I1117" s="311"/>
      <c r="J1117" s="311"/>
      <c r="K1117" s="311"/>
      <c r="L1117" s="311"/>
      <c r="M1117" s="311"/>
      <c r="N1117" s="312"/>
      <c r="O1117" s="314"/>
      <c r="P1117" s="311">
        <v>0</v>
      </c>
      <c r="Q1117" s="312"/>
      <c r="R1117" s="314"/>
      <c r="S1117" s="311"/>
      <c r="T1117" s="311"/>
      <c r="U1117" s="311"/>
      <c r="V1117" s="311"/>
      <c r="W1117" s="311"/>
      <c r="X1117" s="311"/>
      <c r="Y1117" s="1356">
        <f t="shared" si="122"/>
        <v>0</v>
      </c>
      <c r="Z1117" s="1357">
        <f t="shared" si="123"/>
        <v>0</v>
      </c>
      <c r="AA1117" s="311">
        <f t="shared" si="124"/>
        <v>0</v>
      </c>
      <c r="AB1117" s="311">
        <f t="shared" si="125"/>
        <v>0</v>
      </c>
      <c r="AC1117" s="311">
        <f t="shared" si="126"/>
        <v>0</v>
      </c>
      <c r="AD1117" s="311">
        <f t="shared" si="127"/>
        <v>0</v>
      </c>
      <c r="AE1117" s="311">
        <f t="shared" si="128"/>
        <v>0</v>
      </c>
      <c r="AF1117" s="310"/>
      <c r="AG1117" s="841"/>
      <c r="AH1117" s="744"/>
      <c r="AI1117" s="292"/>
      <c r="AK1117" s="300"/>
      <c r="AS1117" s="452"/>
    </row>
    <row r="1118" spans="1:45" s="299" customFormat="1">
      <c r="A1118" s="353">
        <v>680</v>
      </c>
      <c r="B1118" s="352">
        <v>200</v>
      </c>
      <c r="C1118" s="316">
        <v>200</v>
      </c>
      <c r="D1118" s="316"/>
      <c r="E1118" s="316"/>
      <c r="F1118" s="316"/>
      <c r="G1118" s="315" t="s">
        <v>455</v>
      </c>
      <c r="H1118" s="314"/>
      <c r="I1118" s="311"/>
      <c r="J1118" s="311"/>
      <c r="K1118" s="311"/>
      <c r="L1118" s="311"/>
      <c r="M1118" s="311"/>
      <c r="N1118" s="312"/>
      <c r="O1118" s="314"/>
      <c r="P1118" s="311">
        <v>0</v>
      </c>
      <c r="Q1118" s="312"/>
      <c r="R1118" s="314">
        <v>15276.24</v>
      </c>
      <c r="S1118" s="311"/>
      <c r="T1118" s="311"/>
      <c r="U1118" s="311">
        <v>15276.24</v>
      </c>
      <c r="V1118" s="311"/>
      <c r="W1118" s="311"/>
      <c r="X1118" s="311">
        <v>20000</v>
      </c>
      <c r="Y1118" s="1356">
        <f t="shared" si="122"/>
        <v>15276.24</v>
      </c>
      <c r="Z1118" s="1357">
        <f t="shared" si="123"/>
        <v>0</v>
      </c>
      <c r="AA1118" s="311">
        <f t="shared" si="124"/>
        <v>0</v>
      </c>
      <c r="AB1118" s="311">
        <f t="shared" si="125"/>
        <v>15276.24</v>
      </c>
      <c r="AC1118" s="311">
        <f t="shared" si="126"/>
        <v>0</v>
      </c>
      <c r="AD1118" s="311">
        <f t="shared" si="127"/>
        <v>0</v>
      </c>
      <c r="AE1118" s="311">
        <f t="shared" si="128"/>
        <v>20000</v>
      </c>
      <c r="AF1118" s="310"/>
      <c r="AG1118" s="841"/>
      <c r="AH1118" s="744"/>
      <c r="AI1118" s="292"/>
      <c r="AK1118" s="300"/>
      <c r="AS1118" s="452"/>
    </row>
    <row r="1119" spans="1:45" s="299" customFormat="1" ht="27.6">
      <c r="A1119" s="353">
        <v>680</v>
      </c>
      <c r="B1119" s="352">
        <v>200</v>
      </c>
      <c r="C1119" s="316">
        <v>900</v>
      </c>
      <c r="D1119" s="316"/>
      <c r="E1119" s="316"/>
      <c r="F1119" s="316"/>
      <c r="G1119" s="315" t="s">
        <v>456</v>
      </c>
      <c r="H1119" s="314"/>
      <c r="I1119" s="311"/>
      <c r="J1119" s="311"/>
      <c r="K1119" s="311"/>
      <c r="L1119" s="311"/>
      <c r="M1119" s="311"/>
      <c r="N1119" s="312"/>
      <c r="O1119" s="314"/>
      <c r="P1119" s="311">
        <v>0</v>
      </c>
      <c r="Q1119" s="312"/>
      <c r="R1119" s="314"/>
      <c r="S1119" s="311"/>
      <c r="T1119" s="311"/>
      <c r="U1119" s="311"/>
      <c r="V1119" s="311"/>
      <c r="W1119" s="311"/>
      <c r="X1119" s="311"/>
      <c r="Y1119" s="1356">
        <f t="shared" si="122"/>
        <v>0</v>
      </c>
      <c r="Z1119" s="1357">
        <f t="shared" si="123"/>
        <v>0</v>
      </c>
      <c r="AA1119" s="311">
        <f t="shared" si="124"/>
        <v>0</v>
      </c>
      <c r="AB1119" s="311">
        <f t="shared" si="125"/>
        <v>0</v>
      </c>
      <c r="AC1119" s="311">
        <f t="shared" si="126"/>
        <v>0</v>
      </c>
      <c r="AD1119" s="311">
        <f t="shared" si="127"/>
        <v>0</v>
      </c>
      <c r="AE1119" s="311">
        <f t="shared" si="128"/>
        <v>0</v>
      </c>
      <c r="AF1119" s="310"/>
      <c r="AG1119" s="841"/>
      <c r="AH1119" s="744"/>
      <c r="AI1119" s="292"/>
      <c r="AK1119" s="300"/>
      <c r="AS1119" s="452"/>
    </row>
    <row r="1120" spans="1:45" s="299" customFormat="1">
      <c r="A1120" s="353">
        <v>680</v>
      </c>
      <c r="B1120" s="354">
        <v>300</v>
      </c>
      <c r="C1120" s="352"/>
      <c r="D1120" s="352"/>
      <c r="E1120" s="352"/>
      <c r="F1120" s="352"/>
      <c r="G1120" s="356" t="s">
        <v>457</v>
      </c>
      <c r="H1120" s="322"/>
      <c r="I1120" s="320"/>
      <c r="J1120" s="320"/>
      <c r="K1120" s="320"/>
      <c r="L1120" s="320"/>
      <c r="M1120" s="320"/>
      <c r="N1120" s="321"/>
      <c r="O1120" s="322"/>
      <c r="P1120" s="320">
        <v>0</v>
      </c>
      <c r="Q1120" s="321"/>
      <c r="R1120" s="322"/>
      <c r="S1120" s="320"/>
      <c r="T1120" s="320"/>
      <c r="U1120" s="320"/>
      <c r="V1120" s="320"/>
      <c r="W1120" s="320"/>
      <c r="X1120" s="320"/>
      <c r="Y1120" s="1392">
        <f t="shared" si="122"/>
        <v>0</v>
      </c>
      <c r="Z1120" s="1389">
        <f t="shared" si="123"/>
        <v>0</v>
      </c>
      <c r="AA1120" s="320">
        <f t="shared" si="124"/>
        <v>0</v>
      </c>
      <c r="AB1120" s="320">
        <f t="shared" si="125"/>
        <v>0</v>
      </c>
      <c r="AC1120" s="320">
        <f t="shared" si="126"/>
        <v>0</v>
      </c>
      <c r="AD1120" s="320">
        <f t="shared" si="127"/>
        <v>0</v>
      </c>
      <c r="AE1120" s="320">
        <f t="shared" si="128"/>
        <v>0</v>
      </c>
      <c r="AF1120" s="355" t="s">
        <v>458</v>
      </c>
      <c r="AG1120" s="838"/>
      <c r="AH1120" s="744"/>
      <c r="AI1120" s="292"/>
      <c r="AK1120" s="300"/>
      <c r="AS1120" s="452"/>
    </row>
    <row r="1121" spans="1:45" s="299" customFormat="1" ht="27.6">
      <c r="A1121" s="353">
        <v>680</v>
      </c>
      <c r="B1121" s="354">
        <v>300</v>
      </c>
      <c r="C1121" s="316">
        <v>100</v>
      </c>
      <c r="D1121" s="316"/>
      <c r="E1121" s="316"/>
      <c r="F1121" s="316"/>
      <c r="G1121" s="315" t="s">
        <v>459</v>
      </c>
      <c r="H1121" s="314"/>
      <c r="I1121" s="311"/>
      <c r="J1121" s="311"/>
      <c r="K1121" s="311"/>
      <c r="L1121" s="311"/>
      <c r="M1121" s="311"/>
      <c r="N1121" s="312"/>
      <c r="O1121" s="314"/>
      <c r="P1121" s="311">
        <v>0</v>
      </c>
      <c r="Q1121" s="312"/>
      <c r="R1121" s="314"/>
      <c r="S1121" s="311"/>
      <c r="T1121" s="311"/>
      <c r="U1121" s="311"/>
      <c r="V1121" s="311"/>
      <c r="W1121" s="311"/>
      <c r="X1121" s="311"/>
      <c r="Y1121" s="1356">
        <f t="shared" si="122"/>
        <v>0</v>
      </c>
      <c r="Z1121" s="1357">
        <f t="shared" si="123"/>
        <v>0</v>
      </c>
      <c r="AA1121" s="311">
        <f t="shared" si="124"/>
        <v>0</v>
      </c>
      <c r="AB1121" s="311">
        <f t="shared" si="125"/>
        <v>0</v>
      </c>
      <c r="AC1121" s="311">
        <f t="shared" si="126"/>
        <v>0</v>
      </c>
      <c r="AD1121" s="311">
        <f t="shared" si="127"/>
        <v>0</v>
      </c>
      <c r="AE1121" s="311">
        <f t="shared" si="128"/>
        <v>0</v>
      </c>
      <c r="AF1121" s="310"/>
      <c r="AG1121" s="841"/>
      <c r="AH1121" s="744"/>
      <c r="AI1121" s="292"/>
      <c r="AK1121" s="300"/>
      <c r="AS1121" s="452"/>
    </row>
    <row r="1122" spans="1:45" s="299" customFormat="1">
      <c r="A1122" s="353">
        <v>680</v>
      </c>
      <c r="B1122" s="354">
        <v>300</v>
      </c>
      <c r="C1122" s="316">
        <v>200</v>
      </c>
      <c r="D1122" s="316"/>
      <c r="E1122" s="316"/>
      <c r="F1122" s="316"/>
      <c r="G1122" s="315" t="s">
        <v>460</v>
      </c>
      <c r="H1122" s="314"/>
      <c r="I1122" s="311"/>
      <c r="J1122" s="311"/>
      <c r="K1122" s="311"/>
      <c r="L1122" s="311"/>
      <c r="M1122" s="311"/>
      <c r="N1122" s="312"/>
      <c r="O1122" s="314"/>
      <c r="P1122" s="311">
        <v>0</v>
      </c>
      <c r="Q1122" s="312"/>
      <c r="R1122" s="314"/>
      <c r="S1122" s="311"/>
      <c r="T1122" s="311"/>
      <c r="U1122" s="311"/>
      <c r="V1122" s="311"/>
      <c r="W1122" s="311"/>
      <c r="X1122" s="311"/>
      <c r="Y1122" s="1356">
        <f t="shared" si="122"/>
        <v>0</v>
      </c>
      <c r="Z1122" s="1357">
        <f t="shared" si="123"/>
        <v>0</v>
      </c>
      <c r="AA1122" s="311">
        <f t="shared" si="124"/>
        <v>0</v>
      </c>
      <c r="AB1122" s="311">
        <f t="shared" si="125"/>
        <v>0</v>
      </c>
      <c r="AC1122" s="311">
        <f t="shared" si="126"/>
        <v>0</v>
      </c>
      <c r="AD1122" s="311">
        <f t="shared" si="127"/>
        <v>0</v>
      </c>
      <c r="AE1122" s="311">
        <f t="shared" si="128"/>
        <v>0</v>
      </c>
      <c r="AF1122" s="310"/>
      <c r="AG1122" s="841"/>
      <c r="AH1122" s="744"/>
      <c r="AI1122" s="292"/>
      <c r="AK1122" s="300"/>
      <c r="AS1122" s="452"/>
    </row>
    <row r="1123" spans="1:45" s="299" customFormat="1">
      <c r="A1123" s="353">
        <v>680</v>
      </c>
      <c r="B1123" s="352">
        <v>300</v>
      </c>
      <c r="C1123" s="316">
        <v>900</v>
      </c>
      <c r="D1123" s="316"/>
      <c r="E1123" s="316"/>
      <c r="F1123" s="316"/>
      <c r="G1123" s="315" t="s">
        <v>457</v>
      </c>
      <c r="H1123" s="314"/>
      <c r="I1123" s="311"/>
      <c r="J1123" s="311"/>
      <c r="K1123" s="311"/>
      <c r="L1123" s="311"/>
      <c r="M1123" s="311"/>
      <c r="N1123" s="312"/>
      <c r="O1123" s="314"/>
      <c r="P1123" s="311">
        <v>0</v>
      </c>
      <c r="Q1123" s="312"/>
      <c r="R1123" s="314">
        <v>183324.01</v>
      </c>
      <c r="S1123" s="834"/>
      <c r="T1123" s="311"/>
      <c r="U1123" s="311">
        <v>193857.04</v>
      </c>
      <c r="V1123" s="311"/>
      <c r="W1123" s="311"/>
      <c r="X1123" s="311">
        <v>188745</v>
      </c>
      <c r="Y1123" s="1356">
        <f t="shared" si="122"/>
        <v>183324.01</v>
      </c>
      <c r="Z1123" s="1357">
        <f t="shared" si="123"/>
        <v>0</v>
      </c>
      <c r="AA1123" s="311">
        <f t="shared" si="124"/>
        <v>0</v>
      </c>
      <c r="AB1123" s="311">
        <f t="shared" si="125"/>
        <v>193857.04</v>
      </c>
      <c r="AC1123" s="311">
        <f t="shared" si="126"/>
        <v>0</v>
      </c>
      <c r="AD1123" s="311">
        <f t="shared" si="127"/>
        <v>0</v>
      </c>
      <c r="AE1123" s="311">
        <f t="shared" si="128"/>
        <v>188745</v>
      </c>
      <c r="AF1123" s="310"/>
      <c r="AG1123" s="841">
        <v>-22174</v>
      </c>
      <c r="AH1123" s="744"/>
      <c r="AI1123" s="292"/>
      <c r="AK1123" s="300"/>
      <c r="AS1123" s="452"/>
    </row>
    <row r="1124" spans="1:45" s="299" customFormat="1">
      <c r="A1124" s="338">
        <v>690</v>
      </c>
      <c r="B1124" s="337">
        <v>0</v>
      </c>
      <c r="C1124" s="337">
        <v>0</v>
      </c>
      <c r="D1124" s="337">
        <v>0</v>
      </c>
      <c r="E1124" s="337">
        <v>0</v>
      </c>
      <c r="F1124" s="337">
        <v>0</v>
      </c>
      <c r="G1124" s="336" t="s">
        <v>461</v>
      </c>
      <c r="H1124" s="334"/>
      <c r="I1124" s="335"/>
      <c r="J1124" s="335"/>
      <c r="K1124" s="335"/>
      <c r="L1124" s="335"/>
      <c r="M1124" s="335"/>
      <c r="N1124" s="332"/>
      <c r="O1124" s="334"/>
      <c r="P1124" s="331">
        <v>0</v>
      </c>
      <c r="Q1124" s="332"/>
      <c r="R1124" s="334"/>
      <c r="S1124" s="331"/>
      <c r="T1124" s="331"/>
      <c r="U1124" s="331">
        <v>0</v>
      </c>
      <c r="V1124" s="331"/>
      <c r="W1124" s="331"/>
      <c r="X1124" s="331"/>
      <c r="Y1124" s="1352">
        <f t="shared" si="122"/>
        <v>0</v>
      </c>
      <c r="Z1124" s="1353">
        <f t="shared" si="123"/>
        <v>0</v>
      </c>
      <c r="AA1124" s="331">
        <f t="shared" si="124"/>
        <v>0</v>
      </c>
      <c r="AB1124" s="331">
        <f t="shared" si="125"/>
        <v>0</v>
      </c>
      <c r="AC1124" s="331">
        <f t="shared" si="126"/>
        <v>0</v>
      </c>
      <c r="AD1124" s="331">
        <f t="shared" si="127"/>
        <v>0</v>
      </c>
      <c r="AE1124" s="331">
        <f t="shared" si="128"/>
        <v>0</v>
      </c>
      <c r="AF1124" s="330" t="s">
        <v>462</v>
      </c>
      <c r="AG1124" s="837"/>
      <c r="AH1124" s="744">
        <f>SUM(Y1124:Y1132)</f>
        <v>1.3900000000000001</v>
      </c>
      <c r="AI1124" s="292" t="s">
        <v>2247</v>
      </c>
      <c r="AK1124" s="300"/>
      <c r="AS1124" s="452"/>
    </row>
    <row r="1125" spans="1:45" s="299" customFormat="1">
      <c r="A1125" s="318">
        <v>690</v>
      </c>
      <c r="B1125" s="316">
        <v>100</v>
      </c>
      <c r="C1125" s="316"/>
      <c r="D1125" s="316"/>
      <c r="E1125" s="316"/>
      <c r="F1125" s="316"/>
      <c r="G1125" s="315" t="s">
        <v>463</v>
      </c>
      <c r="H1125" s="314"/>
      <c r="I1125" s="311"/>
      <c r="J1125" s="311"/>
      <c r="K1125" s="311"/>
      <c r="L1125" s="311"/>
      <c r="M1125" s="311"/>
      <c r="N1125" s="312"/>
      <c r="O1125" s="314"/>
      <c r="P1125" s="311">
        <v>0</v>
      </c>
      <c r="Q1125" s="312"/>
      <c r="R1125" s="314">
        <v>0.05</v>
      </c>
      <c r="S1125" s="311"/>
      <c r="T1125" s="311"/>
      <c r="U1125" s="311">
        <v>0.05</v>
      </c>
      <c r="V1125" s="311"/>
      <c r="W1125" s="311"/>
      <c r="X1125" s="311"/>
      <c r="Y1125" s="1356">
        <f t="shared" si="122"/>
        <v>0.05</v>
      </c>
      <c r="Z1125" s="1357">
        <f t="shared" si="123"/>
        <v>0</v>
      </c>
      <c r="AA1125" s="311">
        <f t="shared" si="124"/>
        <v>0</v>
      </c>
      <c r="AB1125" s="311">
        <f t="shared" si="125"/>
        <v>0.05</v>
      </c>
      <c r="AC1125" s="311">
        <f t="shared" si="126"/>
        <v>0</v>
      </c>
      <c r="AD1125" s="311">
        <f t="shared" si="127"/>
        <v>0</v>
      </c>
      <c r="AE1125" s="311">
        <f t="shared" si="128"/>
        <v>0</v>
      </c>
      <c r="AF1125" s="310" t="s">
        <v>464</v>
      </c>
      <c r="AG1125" s="841"/>
      <c r="AH1125" s="744"/>
      <c r="AI1125" s="292"/>
      <c r="AK1125" s="300"/>
      <c r="AS1125" s="452"/>
    </row>
    <row r="1126" spans="1:45" s="299" customFormat="1" ht="27.6">
      <c r="A1126" s="318">
        <v>690</v>
      </c>
      <c r="B1126" s="317">
        <v>200</v>
      </c>
      <c r="C1126" s="317"/>
      <c r="D1126" s="317"/>
      <c r="E1126" s="317"/>
      <c r="F1126" s="317"/>
      <c r="G1126" s="323" t="s">
        <v>465</v>
      </c>
      <c r="H1126" s="322"/>
      <c r="I1126" s="320"/>
      <c r="J1126" s="320"/>
      <c r="K1126" s="320"/>
      <c r="L1126" s="320"/>
      <c r="M1126" s="320"/>
      <c r="N1126" s="321"/>
      <c r="O1126" s="322"/>
      <c r="P1126" s="320">
        <v>0</v>
      </c>
      <c r="Q1126" s="321"/>
      <c r="R1126" s="322"/>
      <c r="S1126" s="320"/>
      <c r="T1126" s="320"/>
      <c r="U1126" s="320"/>
      <c r="V1126" s="320"/>
      <c r="W1126" s="320"/>
      <c r="X1126" s="320"/>
      <c r="Y1126" s="1392">
        <f t="shared" si="122"/>
        <v>0</v>
      </c>
      <c r="Z1126" s="1389">
        <f t="shared" si="123"/>
        <v>0</v>
      </c>
      <c r="AA1126" s="320">
        <f t="shared" si="124"/>
        <v>0</v>
      </c>
      <c r="AB1126" s="320">
        <f t="shared" si="125"/>
        <v>0</v>
      </c>
      <c r="AC1126" s="320">
        <f t="shared" si="126"/>
        <v>0</v>
      </c>
      <c r="AD1126" s="320">
        <f t="shared" si="127"/>
        <v>0</v>
      </c>
      <c r="AE1126" s="320">
        <f t="shared" si="128"/>
        <v>0</v>
      </c>
      <c r="AF1126" s="310" t="s">
        <v>466</v>
      </c>
      <c r="AG1126" s="841"/>
      <c r="AH1126" s="744"/>
      <c r="AI1126" s="292"/>
      <c r="AK1126" s="300"/>
      <c r="AS1126" s="452"/>
    </row>
    <row r="1127" spans="1:45" s="299" customFormat="1">
      <c r="A1127" s="318">
        <v>690</v>
      </c>
      <c r="B1127" s="317">
        <v>200</v>
      </c>
      <c r="C1127" s="316">
        <v>100</v>
      </c>
      <c r="D1127" s="316"/>
      <c r="E1127" s="316"/>
      <c r="F1127" s="316"/>
      <c r="G1127" s="351" t="s">
        <v>467</v>
      </c>
      <c r="H1127" s="314"/>
      <c r="I1127" s="311"/>
      <c r="J1127" s="311"/>
      <c r="K1127" s="311"/>
      <c r="L1127" s="311"/>
      <c r="M1127" s="311"/>
      <c r="N1127" s="312"/>
      <c r="O1127" s="314"/>
      <c r="P1127" s="311">
        <v>0</v>
      </c>
      <c r="Q1127" s="312"/>
      <c r="R1127" s="314">
        <v>1.34</v>
      </c>
      <c r="S1127" s="311"/>
      <c r="T1127" s="311"/>
      <c r="U1127" s="311"/>
      <c r="V1127" s="311"/>
      <c r="W1127" s="311"/>
      <c r="X1127" s="311"/>
      <c r="Y1127" s="1356">
        <f t="shared" si="122"/>
        <v>1.34</v>
      </c>
      <c r="Z1127" s="1357">
        <f t="shared" si="123"/>
        <v>0</v>
      </c>
      <c r="AA1127" s="311">
        <f t="shared" si="124"/>
        <v>0</v>
      </c>
      <c r="AB1127" s="311">
        <f t="shared" si="125"/>
        <v>0</v>
      </c>
      <c r="AC1127" s="311">
        <f t="shared" si="126"/>
        <v>0</v>
      </c>
      <c r="AD1127" s="311">
        <f t="shared" si="127"/>
        <v>0</v>
      </c>
      <c r="AE1127" s="311">
        <f t="shared" si="128"/>
        <v>0</v>
      </c>
      <c r="AF1127" s="310"/>
      <c r="AG1127" s="841"/>
      <c r="AH1127" s="744"/>
      <c r="AI1127" s="292"/>
      <c r="AK1127" s="300"/>
      <c r="AS1127" s="452"/>
    </row>
    <row r="1128" spans="1:45" s="299" customFormat="1">
      <c r="A1128" s="318">
        <v>690</v>
      </c>
      <c r="B1128" s="317">
        <v>200</v>
      </c>
      <c r="C1128" s="348">
        <v>200</v>
      </c>
      <c r="D1128" s="348"/>
      <c r="E1128" s="348"/>
      <c r="F1128" s="348"/>
      <c r="G1128" s="347" t="s">
        <v>468</v>
      </c>
      <c r="H1128" s="314"/>
      <c r="I1128" s="311"/>
      <c r="J1128" s="311"/>
      <c r="K1128" s="311"/>
      <c r="L1128" s="311"/>
      <c r="M1128" s="311"/>
      <c r="N1128" s="312"/>
      <c r="O1128" s="314"/>
      <c r="P1128" s="311">
        <v>0</v>
      </c>
      <c r="Q1128" s="312"/>
      <c r="R1128" s="314"/>
      <c r="S1128" s="311"/>
      <c r="T1128" s="311"/>
      <c r="U1128" s="311"/>
      <c r="V1128" s="311"/>
      <c r="W1128" s="311"/>
      <c r="X1128" s="311"/>
      <c r="Y1128" s="1356">
        <f t="shared" si="122"/>
        <v>0</v>
      </c>
      <c r="Z1128" s="1357">
        <f t="shared" si="123"/>
        <v>0</v>
      </c>
      <c r="AA1128" s="311">
        <f t="shared" si="124"/>
        <v>0</v>
      </c>
      <c r="AB1128" s="311">
        <f t="shared" si="125"/>
        <v>0</v>
      </c>
      <c r="AC1128" s="311">
        <f t="shared" si="126"/>
        <v>0</v>
      </c>
      <c r="AD1128" s="311">
        <f t="shared" si="127"/>
        <v>0</v>
      </c>
      <c r="AE1128" s="311">
        <f t="shared" si="128"/>
        <v>0</v>
      </c>
      <c r="AF1128" s="310"/>
      <c r="AG1128" s="841"/>
      <c r="AH1128" s="744"/>
      <c r="AI1128" s="292"/>
      <c r="AK1128" s="300"/>
      <c r="AS1128" s="452"/>
    </row>
    <row r="1129" spans="1:45" s="299" customFormat="1">
      <c r="A1129" s="318">
        <v>690</v>
      </c>
      <c r="B1129" s="317">
        <v>300</v>
      </c>
      <c r="C1129" s="317"/>
      <c r="D1129" s="317"/>
      <c r="E1129" s="317"/>
      <c r="F1129" s="317"/>
      <c r="G1129" s="323" t="s">
        <v>469</v>
      </c>
      <c r="H1129" s="322"/>
      <c r="I1129" s="320"/>
      <c r="J1129" s="320"/>
      <c r="K1129" s="320"/>
      <c r="L1129" s="320"/>
      <c r="M1129" s="320"/>
      <c r="N1129" s="321"/>
      <c r="O1129" s="322"/>
      <c r="P1129" s="320">
        <v>0</v>
      </c>
      <c r="Q1129" s="321"/>
      <c r="R1129" s="322"/>
      <c r="S1129" s="320"/>
      <c r="T1129" s="320"/>
      <c r="U1129" s="320"/>
      <c r="V1129" s="320"/>
      <c r="W1129" s="320"/>
      <c r="X1129" s="320"/>
      <c r="Y1129" s="1392">
        <f t="shared" si="122"/>
        <v>0</v>
      </c>
      <c r="Z1129" s="1389">
        <f t="shared" si="123"/>
        <v>0</v>
      </c>
      <c r="AA1129" s="320">
        <f t="shared" si="124"/>
        <v>0</v>
      </c>
      <c r="AB1129" s="320">
        <f t="shared" si="125"/>
        <v>0</v>
      </c>
      <c r="AC1129" s="320">
        <f t="shared" si="126"/>
        <v>0</v>
      </c>
      <c r="AD1129" s="320">
        <f t="shared" si="127"/>
        <v>0</v>
      </c>
      <c r="AE1129" s="320">
        <f t="shared" si="128"/>
        <v>0</v>
      </c>
      <c r="AF1129" s="310" t="s">
        <v>470</v>
      </c>
      <c r="AG1129" s="841"/>
      <c r="AH1129" s="744"/>
      <c r="AI1129" s="292"/>
      <c r="AK1129" s="300"/>
      <c r="AS1129" s="452"/>
    </row>
    <row r="1130" spans="1:45" s="299" customFormat="1">
      <c r="A1130" s="318">
        <v>690</v>
      </c>
      <c r="B1130" s="317">
        <v>300</v>
      </c>
      <c r="C1130" s="316">
        <v>100</v>
      </c>
      <c r="D1130" s="316"/>
      <c r="E1130" s="316"/>
      <c r="F1130" s="316"/>
      <c r="G1130" s="351" t="s">
        <v>471</v>
      </c>
      <c r="H1130" s="314"/>
      <c r="I1130" s="311"/>
      <c r="J1130" s="311"/>
      <c r="K1130" s="311"/>
      <c r="L1130" s="311"/>
      <c r="M1130" s="311"/>
      <c r="N1130" s="312"/>
      <c r="O1130" s="314"/>
      <c r="P1130" s="311">
        <v>0</v>
      </c>
      <c r="Q1130" s="312"/>
      <c r="R1130" s="314"/>
      <c r="S1130" s="311"/>
      <c r="T1130" s="311"/>
      <c r="U1130" s="311"/>
      <c r="V1130" s="311"/>
      <c r="W1130" s="311"/>
      <c r="X1130" s="311"/>
      <c r="Y1130" s="1356">
        <f t="shared" si="122"/>
        <v>0</v>
      </c>
      <c r="Z1130" s="1357">
        <f t="shared" si="123"/>
        <v>0</v>
      </c>
      <c r="AA1130" s="311">
        <f t="shared" si="124"/>
        <v>0</v>
      </c>
      <c r="AB1130" s="311">
        <f t="shared" si="125"/>
        <v>0</v>
      </c>
      <c r="AC1130" s="311">
        <f t="shared" si="126"/>
        <v>0</v>
      </c>
      <c r="AD1130" s="311">
        <f t="shared" si="127"/>
        <v>0</v>
      </c>
      <c r="AE1130" s="311">
        <f t="shared" si="128"/>
        <v>0</v>
      </c>
      <c r="AF1130" s="310"/>
      <c r="AG1130" s="841"/>
      <c r="AH1130" s="744"/>
      <c r="AI1130" s="292"/>
      <c r="AK1130" s="300"/>
      <c r="AS1130" s="452"/>
    </row>
    <row r="1131" spans="1:45" s="299" customFormat="1">
      <c r="A1131" s="318">
        <v>690</v>
      </c>
      <c r="B1131" s="317">
        <v>300</v>
      </c>
      <c r="C1131" s="316">
        <v>200</v>
      </c>
      <c r="D1131" s="316"/>
      <c r="E1131" s="316"/>
      <c r="F1131" s="316"/>
      <c r="G1131" s="351" t="s">
        <v>472</v>
      </c>
      <c r="H1131" s="314"/>
      <c r="I1131" s="311"/>
      <c r="J1131" s="311"/>
      <c r="K1131" s="311"/>
      <c r="L1131" s="311"/>
      <c r="M1131" s="311"/>
      <c r="N1131" s="312"/>
      <c r="O1131" s="314"/>
      <c r="P1131" s="311">
        <v>0</v>
      </c>
      <c r="Q1131" s="312"/>
      <c r="R1131" s="314"/>
      <c r="S1131" s="311"/>
      <c r="T1131" s="311"/>
      <c r="U1131" s="311"/>
      <c r="V1131" s="311"/>
      <c r="W1131" s="311"/>
      <c r="X1131" s="311"/>
      <c r="Y1131" s="1356">
        <f t="shared" si="122"/>
        <v>0</v>
      </c>
      <c r="Z1131" s="1357">
        <f t="shared" si="123"/>
        <v>0</v>
      </c>
      <c r="AA1131" s="311">
        <f t="shared" si="124"/>
        <v>0</v>
      </c>
      <c r="AB1131" s="311">
        <f t="shared" si="125"/>
        <v>0</v>
      </c>
      <c r="AC1131" s="311">
        <f t="shared" si="126"/>
        <v>0</v>
      </c>
      <c r="AD1131" s="311">
        <f t="shared" si="127"/>
        <v>0</v>
      </c>
      <c r="AE1131" s="311">
        <f t="shared" si="128"/>
        <v>0</v>
      </c>
      <c r="AF1131" s="310"/>
      <c r="AG1131" s="841"/>
      <c r="AH1131" s="744"/>
      <c r="AI1131" s="292"/>
      <c r="AK1131" s="300"/>
      <c r="AS1131" s="452"/>
    </row>
    <row r="1132" spans="1:45" s="299" customFormat="1">
      <c r="A1132" s="350">
        <v>690</v>
      </c>
      <c r="B1132" s="349">
        <v>300</v>
      </c>
      <c r="C1132" s="348">
        <v>900</v>
      </c>
      <c r="D1132" s="348"/>
      <c r="E1132" s="348"/>
      <c r="F1132" s="348"/>
      <c r="G1132" s="347" t="s">
        <v>469</v>
      </c>
      <c r="H1132" s="314"/>
      <c r="I1132" s="311"/>
      <c r="J1132" s="311"/>
      <c r="K1132" s="311"/>
      <c r="L1132" s="311"/>
      <c r="M1132" s="311"/>
      <c r="N1132" s="312"/>
      <c r="O1132" s="314"/>
      <c r="P1132" s="311">
        <v>0</v>
      </c>
      <c r="Q1132" s="312"/>
      <c r="R1132" s="314"/>
      <c r="S1132" s="311"/>
      <c r="T1132" s="311"/>
      <c r="U1132" s="311"/>
      <c r="V1132" s="311"/>
      <c r="W1132" s="311"/>
      <c r="X1132" s="311"/>
      <c r="Y1132" s="1356">
        <f t="shared" si="122"/>
        <v>0</v>
      </c>
      <c r="Z1132" s="1357">
        <f t="shared" si="123"/>
        <v>0</v>
      </c>
      <c r="AA1132" s="311">
        <f t="shared" si="124"/>
        <v>0</v>
      </c>
      <c r="AB1132" s="311">
        <f t="shared" si="125"/>
        <v>0</v>
      </c>
      <c r="AC1132" s="311">
        <f t="shared" si="126"/>
        <v>0</v>
      </c>
      <c r="AD1132" s="311">
        <f t="shared" si="127"/>
        <v>0</v>
      </c>
      <c r="AE1132" s="311">
        <f t="shared" si="128"/>
        <v>0</v>
      </c>
      <c r="AF1132" s="310"/>
      <c r="AG1132" s="841"/>
      <c r="AH1132" s="744"/>
      <c r="AI1132" s="292"/>
      <c r="AK1132" s="300"/>
      <c r="AS1132" s="452"/>
    </row>
    <row r="1133" spans="1:45" s="299" customFormat="1">
      <c r="A1133" s="346">
        <v>700</v>
      </c>
      <c r="B1133" s="345">
        <v>0</v>
      </c>
      <c r="C1133" s="345">
        <v>0</v>
      </c>
      <c r="D1133" s="345">
        <v>0</v>
      </c>
      <c r="E1133" s="345">
        <v>0</v>
      </c>
      <c r="F1133" s="345">
        <v>0</v>
      </c>
      <c r="G1133" s="336" t="s">
        <v>473</v>
      </c>
      <c r="H1133" s="334"/>
      <c r="I1133" s="335"/>
      <c r="J1133" s="335"/>
      <c r="K1133" s="335"/>
      <c r="L1133" s="335"/>
      <c r="M1133" s="335"/>
      <c r="N1133" s="332"/>
      <c r="O1133" s="334"/>
      <c r="P1133" s="331">
        <v>0</v>
      </c>
      <c r="Q1133" s="332"/>
      <c r="R1133" s="334"/>
      <c r="S1133" s="331"/>
      <c r="T1133" s="331"/>
      <c r="U1133" s="331"/>
      <c r="V1133" s="331"/>
      <c r="W1133" s="331"/>
      <c r="X1133" s="331"/>
      <c r="Y1133" s="1352">
        <f t="shared" si="122"/>
        <v>0</v>
      </c>
      <c r="Z1133" s="1353">
        <f t="shared" si="123"/>
        <v>0</v>
      </c>
      <c r="AA1133" s="331">
        <f t="shared" si="124"/>
        <v>0</v>
      </c>
      <c r="AB1133" s="331">
        <f t="shared" si="125"/>
        <v>0</v>
      </c>
      <c r="AC1133" s="331">
        <f t="shared" si="126"/>
        <v>0</v>
      </c>
      <c r="AD1133" s="331">
        <f t="shared" si="127"/>
        <v>0</v>
      </c>
      <c r="AE1133" s="331">
        <f t="shared" si="128"/>
        <v>0</v>
      </c>
      <c r="AF1133" s="330" t="s">
        <v>474</v>
      </c>
      <c r="AG1133" s="837"/>
      <c r="AH1133" s="744">
        <f>SUM(Y1133:Y1139)</f>
        <v>0</v>
      </c>
      <c r="AI1133" s="292" t="s">
        <v>2246</v>
      </c>
      <c r="AK1133" s="300"/>
      <c r="AS1133" s="452"/>
    </row>
    <row r="1134" spans="1:45" s="299" customFormat="1">
      <c r="A1134" s="318">
        <v>700</v>
      </c>
      <c r="B1134" s="316">
        <v>100</v>
      </c>
      <c r="C1134" s="316"/>
      <c r="D1134" s="316"/>
      <c r="E1134" s="316"/>
      <c r="F1134" s="316"/>
      <c r="G1134" s="315" t="s">
        <v>475</v>
      </c>
      <c r="H1134" s="314"/>
      <c r="I1134" s="311"/>
      <c r="J1134" s="311"/>
      <c r="K1134" s="311"/>
      <c r="L1134" s="311"/>
      <c r="M1134" s="311"/>
      <c r="N1134" s="312"/>
      <c r="O1134" s="314"/>
      <c r="P1134" s="311">
        <v>0</v>
      </c>
      <c r="Q1134" s="312"/>
      <c r="R1134" s="314"/>
      <c r="S1134" s="311"/>
      <c r="T1134" s="311"/>
      <c r="U1134" s="311"/>
      <c r="V1134" s="311"/>
      <c r="W1134" s="311"/>
      <c r="X1134" s="311"/>
      <c r="Y1134" s="1356">
        <f t="shared" si="122"/>
        <v>0</v>
      </c>
      <c r="Z1134" s="1357">
        <f t="shared" si="123"/>
        <v>0</v>
      </c>
      <c r="AA1134" s="311">
        <f t="shared" si="124"/>
        <v>0</v>
      </c>
      <c r="AB1134" s="311">
        <f t="shared" si="125"/>
        <v>0</v>
      </c>
      <c r="AC1134" s="311">
        <f t="shared" si="126"/>
        <v>0</v>
      </c>
      <c r="AD1134" s="311">
        <f t="shared" si="127"/>
        <v>0</v>
      </c>
      <c r="AE1134" s="311">
        <f t="shared" si="128"/>
        <v>0</v>
      </c>
      <c r="AF1134" s="310" t="s">
        <v>476</v>
      </c>
      <c r="AG1134" s="841"/>
      <c r="AH1134" s="744"/>
      <c r="AI1134" s="292"/>
      <c r="AK1134" s="300"/>
      <c r="AS1134" s="452"/>
    </row>
    <row r="1135" spans="1:45" s="299" customFormat="1" ht="27.6">
      <c r="A1135" s="318">
        <v>700</v>
      </c>
      <c r="B1135" s="316">
        <v>200</v>
      </c>
      <c r="C1135" s="316"/>
      <c r="D1135" s="316"/>
      <c r="E1135" s="316"/>
      <c r="F1135" s="316"/>
      <c r="G1135" s="315" t="s">
        <v>477</v>
      </c>
      <c r="H1135" s="314"/>
      <c r="I1135" s="311"/>
      <c r="J1135" s="311"/>
      <c r="K1135" s="311"/>
      <c r="L1135" s="311"/>
      <c r="M1135" s="311"/>
      <c r="N1135" s="312"/>
      <c r="O1135" s="314"/>
      <c r="P1135" s="311">
        <v>0</v>
      </c>
      <c r="Q1135" s="312"/>
      <c r="R1135" s="314"/>
      <c r="S1135" s="311"/>
      <c r="T1135" s="311"/>
      <c r="U1135" s="311"/>
      <c r="V1135" s="311"/>
      <c r="W1135" s="311"/>
      <c r="X1135" s="311"/>
      <c r="Y1135" s="1356">
        <f t="shared" si="122"/>
        <v>0</v>
      </c>
      <c r="Z1135" s="1357">
        <f t="shared" si="123"/>
        <v>0</v>
      </c>
      <c r="AA1135" s="311">
        <f t="shared" si="124"/>
        <v>0</v>
      </c>
      <c r="AB1135" s="311">
        <f t="shared" si="125"/>
        <v>0</v>
      </c>
      <c r="AC1135" s="311">
        <f t="shared" si="126"/>
        <v>0</v>
      </c>
      <c r="AD1135" s="311">
        <f t="shared" si="127"/>
        <v>0</v>
      </c>
      <c r="AE1135" s="311">
        <f t="shared" si="128"/>
        <v>0</v>
      </c>
      <c r="AF1135" s="310" t="s">
        <v>478</v>
      </c>
      <c r="AG1135" s="841"/>
      <c r="AH1135" s="744"/>
      <c r="AI1135" s="292"/>
      <c r="AK1135" s="300"/>
      <c r="AS1135" s="452"/>
    </row>
    <row r="1136" spans="1:45" s="299" customFormat="1" ht="27.6">
      <c r="A1136" s="318">
        <v>700</v>
      </c>
      <c r="B1136" s="316">
        <v>300</v>
      </c>
      <c r="C1136" s="316"/>
      <c r="D1136" s="316"/>
      <c r="E1136" s="316"/>
      <c r="F1136" s="316"/>
      <c r="G1136" s="315" t="s">
        <v>479</v>
      </c>
      <c r="H1136" s="314"/>
      <c r="I1136" s="311"/>
      <c r="J1136" s="311"/>
      <c r="K1136" s="311"/>
      <c r="L1136" s="311"/>
      <c r="M1136" s="311"/>
      <c r="N1136" s="312"/>
      <c r="O1136" s="314"/>
      <c r="P1136" s="311">
        <v>0</v>
      </c>
      <c r="Q1136" s="312"/>
      <c r="R1136" s="314"/>
      <c r="S1136" s="311"/>
      <c r="T1136" s="311"/>
      <c r="U1136" s="311"/>
      <c r="V1136" s="311"/>
      <c r="W1136" s="311"/>
      <c r="X1136" s="311"/>
      <c r="Y1136" s="1356">
        <f t="shared" si="122"/>
        <v>0</v>
      </c>
      <c r="Z1136" s="1357">
        <f t="shared" si="123"/>
        <v>0</v>
      </c>
      <c r="AA1136" s="311">
        <f t="shared" si="124"/>
        <v>0</v>
      </c>
      <c r="AB1136" s="311">
        <f t="shared" si="125"/>
        <v>0</v>
      </c>
      <c r="AC1136" s="311">
        <f t="shared" si="126"/>
        <v>0</v>
      </c>
      <c r="AD1136" s="311">
        <f t="shared" si="127"/>
        <v>0</v>
      </c>
      <c r="AE1136" s="311">
        <f t="shared" si="128"/>
        <v>0</v>
      </c>
      <c r="AF1136" s="310" t="s">
        <v>480</v>
      </c>
      <c r="AG1136" s="841"/>
      <c r="AH1136" s="744"/>
      <c r="AI1136" s="292"/>
      <c r="AK1136" s="300"/>
      <c r="AS1136" s="452"/>
    </row>
    <row r="1137" spans="1:214" s="299" customFormat="1" ht="27.6">
      <c r="A1137" s="318">
        <v>700</v>
      </c>
      <c r="B1137" s="316">
        <v>400</v>
      </c>
      <c r="C1137" s="316"/>
      <c r="D1137" s="316"/>
      <c r="E1137" s="316"/>
      <c r="F1137" s="316"/>
      <c r="G1137" s="315" t="s">
        <v>481</v>
      </c>
      <c r="H1137" s="314"/>
      <c r="I1137" s="311"/>
      <c r="J1137" s="311"/>
      <c r="K1137" s="311"/>
      <c r="L1137" s="311"/>
      <c r="M1137" s="311"/>
      <c r="N1137" s="312"/>
      <c r="O1137" s="314"/>
      <c r="P1137" s="311">
        <v>0</v>
      </c>
      <c r="Q1137" s="312"/>
      <c r="R1137" s="314"/>
      <c r="S1137" s="311"/>
      <c r="T1137" s="311"/>
      <c r="U1137" s="311"/>
      <c r="V1137" s="311"/>
      <c r="W1137" s="311"/>
      <c r="X1137" s="311"/>
      <c r="Y1137" s="1356">
        <f t="shared" si="122"/>
        <v>0</v>
      </c>
      <c r="Z1137" s="1357">
        <f t="shared" si="123"/>
        <v>0</v>
      </c>
      <c r="AA1137" s="311">
        <f t="shared" si="124"/>
        <v>0</v>
      </c>
      <c r="AB1137" s="311">
        <f t="shared" si="125"/>
        <v>0</v>
      </c>
      <c r="AC1137" s="311">
        <f t="shared" si="126"/>
        <v>0</v>
      </c>
      <c r="AD1137" s="311">
        <f t="shared" si="127"/>
        <v>0</v>
      </c>
      <c r="AE1137" s="311">
        <f t="shared" si="128"/>
        <v>0</v>
      </c>
      <c r="AF1137" s="310" t="s">
        <v>482</v>
      </c>
      <c r="AG1137" s="841"/>
      <c r="AH1137" s="744"/>
      <c r="AI1137" s="292"/>
      <c r="AK1137" s="300"/>
      <c r="AS1137" s="452"/>
    </row>
    <row r="1138" spans="1:214" s="299" customFormat="1">
      <c r="A1138" s="318">
        <v>700</v>
      </c>
      <c r="B1138" s="316">
        <v>500</v>
      </c>
      <c r="C1138" s="316"/>
      <c r="D1138" s="316"/>
      <c r="E1138" s="316"/>
      <c r="F1138" s="316"/>
      <c r="G1138" s="315" t="s">
        <v>483</v>
      </c>
      <c r="H1138" s="314"/>
      <c r="I1138" s="311"/>
      <c r="J1138" s="311"/>
      <c r="K1138" s="311"/>
      <c r="L1138" s="311"/>
      <c r="M1138" s="311"/>
      <c r="N1138" s="312"/>
      <c r="O1138" s="314"/>
      <c r="P1138" s="311">
        <v>0</v>
      </c>
      <c r="Q1138" s="312"/>
      <c r="R1138" s="314"/>
      <c r="S1138" s="311"/>
      <c r="T1138" s="311"/>
      <c r="U1138" s="311"/>
      <c r="V1138" s="311"/>
      <c r="W1138" s="311"/>
      <c r="X1138" s="311"/>
      <c r="Y1138" s="1356">
        <f t="shared" si="122"/>
        <v>0</v>
      </c>
      <c r="Z1138" s="1357">
        <f t="shared" si="123"/>
        <v>0</v>
      </c>
      <c r="AA1138" s="311">
        <f t="shared" si="124"/>
        <v>0</v>
      </c>
      <c r="AB1138" s="311">
        <f t="shared" si="125"/>
        <v>0</v>
      </c>
      <c r="AC1138" s="311">
        <f t="shared" si="126"/>
        <v>0</v>
      </c>
      <c r="AD1138" s="311">
        <f t="shared" si="127"/>
        <v>0</v>
      </c>
      <c r="AE1138" s="311">
        <f t="shared" si="128"/>
        <v>0</v>
      </c>
      <c r="AF1138" s="310" t="s">
        <v>484</v>
      </c>
      <c r="AG1138" s="841"/>
      <c r="AH1138" s="744"/>
      <c r="AI1138" s="292"/>
      <c r="AK1138" s="300"/>
      <c r="AS1138" s="452"/>
    </row>
    <row r="1139" spans="1:214" s="298" customFormat="1" ht="27.6">
      <c r="A1139" s="344">
        <v>710</v>
      </c>
      <c r="B1139" s="343">
        <v>0</v>
      </c>
      <c r="C1139" s="343">
        <v>0</v>
      </c>
      <c r="D1139" s="343">
        <v>0</v>
      </c>
      <c r="E1139" s="343">
        <v>0</v>
      </c>
      <c r="F1139" s="343">
        <v>0</v>
      </c>
      <c r="G1139" s="342" t="s">
        <v>485</v>
      </c>
      <c r="H1139" s="314"/>
      <c r="I1139" s="311"/>
      <c r="J1139" s="311"/>
      <c r="K1139" s="311"/>
      <c r="L1139" s="311"/>
      <c r="M1139" s="311"/>
      <c r="N1139" s="312"/>
      <c r="O1139" s="314"/>
      <c r="P1139" s="311">
        <v>0</v>
      </c>
      <c r="Q1139" s="312"/>
      <c r="R1139" s="314"/>
      <c r="S1139" s="340"/>
      <c r="T1139" s="340"/>
      <c r="U1139" s="340"/>
      <c r="V1139" s="340"/>
      <c r="W1139" s="340"/>
      <c r="X1139" s="340"/>
      <c r="Y1139" s="1356">
        <f t="shared" si="122"/>
        <v>0</v>
      </c>
      <c r="Z1139" s="1378">
        <f t="shared" si="123"/>
        <v>0</v>
      </c>
      <c r="AA1139" s="340">
        <f t="shared" si="124"/>
        <v>0</v>
      </c>
      <c r="AB1139" s="340">
        <f t="shared" si="125"/>
        <v>0</v>
      </c>
      <c r="AC1139" s="340">
        <f t="shared" si="126"/>
        <v>0</v>
      </c>
      <c r="AD1139" s="340">
        <f t="shared" si="127"/>
        <v>0</v>
      </c>
      <c r="AE1139" s="340">
        <f t="shared" si="128"/>
        <v>0</v>
      </c>
      <c r="AF1139" s="339" t="s">
        <v>486</v>
      </c>
      <c r="AG1139" s="837"/>
      <c r="AH1139" s="744">
        <f>+Y1139</f>
        <v>0</v>
      </c>
      <c r="AI1139" s="292" t="s">
        <v>2245</v>
      </c>
      <c r="AJ1139" s="299"/>
      <c r="AK1139" s="300"/>
      <c r="AL1139" s="299"/>
      <c r="AM1139" s="299"/>
      <c r="AN1139" s="299"/>
      <c r="AO1139" s="299"/>
      <c r="AP1139" s="299"/>
      <c r="AQ1139" s="299"/>
      <c r="AR1139" s="299"/>
      <c r="AS1139" s="452"/>
      <c r="AT1139" s="299"/>
      <c r="AU1139" s="299"/>
      <c r="AV1139" s="299"/>
      <c r="AW1139" s="299"/>
      <c r="AX1139" s="299"/>
      <c r="AY1139" s="299"/>
      <c r="AZ1139" s="299"/>
      <c r="BA1139" s="299"/>
      <c r="BB1139" s="299"/>
      <c r="BC1139" s="299"/>
      <c r="BD1139" s="299"/>
      <c r="BE1139" s="299"/>
      <c r="BF1139" s="299"/>
      <c r="BG1139" s="299"/>
      <c r="BH1139" s="299"/>
      <c r="BI1139" s="299"/>
      <c r="BJ1139" s="299"/>
      <c r="BK1139" s="299"/>
      <c r="BL1139" s="299"/>
      <c r="BM1139" s="299"/>
      <c r="BN1139" s="299"/>
      <c r="BO1139" s="299"/>
      <c r="BP1139" s="299"/>
      <c r="BQ1139" s="299"/>
      <c r="BR1139" s="299"/>
      <c r="BS1139" s="299"/>
      <c r="BT1139" s="299"/>
      <c r="BU1139" s="299"/>
      <c r="BV1139" s="299"/>
      <c r="BW1139" s="299"/>
      <c r="BX1139" s="299"/>
      <c r="BY1139" s="299"/>
      <c r="BZ1139" s="299"/>
      <c r="CA1139" s="299"/>
      <c r="CB1139" s="299"/>
      <c r="CC1139" s="299"/>
      <c r="CD1139" s="299"/>
      <c r="CE1139" s="299"/>
      <c r="CF1139" s="299"/>
      <c r="CG1139" s="299"/>
      <c r="CH1139" s="299"/>
      <c r="CI1139" s="299"/>
      <c r="CJ1139" s="299"/>
      <c r="CK1139" s="299"/>
      <c r="CL1139" s="299"/>
      <c r="CM1139" s="299"/>
      <c r="CN1139" s="299"/>
      <c r="CO1139" s="299"/>
      <c r="CP1139" s="299"/>
      <c r="CQ1139" s="299"/>
      <c r="CR1139" s="299"/>
      <c r="CS1139" s="299"/>
      <c r="CT1139" s="299"/>
      <c r="CU1139" s="299"/>
      <c r="CV1139" s="299"/>
      <c r="CW1139" s="299"/>
      <c r="CX1139" s="299"/>
      <c r="CY1139" s="299"/>
      <c r="CZ1139" s="299"/>
      <c r="DA1139" s="299"/>
      <c r="DB1139" s="299"/>
      <c r="DC1139" s="299"/>
      <c r="DD1139" s="299"/>
      <c r="DE1139" s="299"/>
      <c r="DF1139" s="299"/>
      <c r="DG1139" s="299"/>
      <c r="DH1139" s="299"/>
      <c r="DI1139" s="299"/>
      <c r="DJ1139" s="299"/>
      <c r="DK1139" s="299"/>
      <c r="DL1139" s="299"/>
      <c r="DM1139" s="299"/>
      <c r="DN1139" s="299"/>
      <c r="DO1139" s="299"/>
      <c r="DP1139" s="299"/>
      <c r="DQ1139" s="299"/>
      <c r="DR1139" s="299"/>
      <c r="DS1139" s="299"/>
      <c r="DT1139" s="299"/>
      <c r="DU1139" s="299"/>
      <c r="DV1139" s="299"/>
      <c r="DW1139" s="299"/>
      <c r="DX1139" s="299"/>
      <c r="DY1139" s="299"/>
      <c r="DZ1139" s="299"/>
      <c r="EA1139" s="299"/>
      <c r="EB1139" s="299"/>
      <c r="EC1139" s="299"/>
      <c r="ED1139" s="299"/>
      <c r="EE1139" s="299"/>
      <c r="EF1139" s="299"/>
      <c r="EG1139" s="299"/>
      <c r="EH1139" s="299"/>
      <c r="EI1139" s="299"/>
      <c r="EJ1139" s="299"/>
      <c r="EK1139" s="299"/>
      <c r="EL1139" s="299"/>
      <c r="EM1139" s="299"/>
      <c r="EN1139" s="299"/>
      <c r="EO1139" s="299"/>
      <c r="EP1139" s="299"/>
      <c r="EQ1139" s="299"/>
      <c r="ER1139" s="299"/>
      <c r="ES1139" s="299"/>
      <c r="ET1139" s="299"/>
      <c r="EU1139" s="299"/>
      <c r="EV1139" s="299"/>
      <c r="EW1139" s="299"/>
      <c r="EX1139" s="299"/>
      <c r="EY1139" s="299"/>
      <c r="EZ1139" s="299"/>
      <c r="FA1139" s="299"/>
      <c r="FB1139" s="299"/>
      <c r="FC1139" s="299"/>
      <c r="FD1139" s="299"/>
      <c r="FE1139" s="299"/>
      <c r="FF1139" s="299"/>
      <c r="FG1139" s="299"/>
      <c r="FH1139" s="299"/>
      <c r="FI1139" s="299"/>
      <c r="FJ1139" s="299"/>
      <c r="FK1139" s="299"/>
      <c r="FL1139" s="299"/>
      <c r="FM1139" s="299"/>
      <c r="FN1139" s="299"/>
      <c r="FO1139" s="299"/>
      <c r="FP1139" s="299"/>
      <c r="FQ1139" s="299"/>
      <c r="FR1139" s="299"/>
      <c r="FS1139" s="299"/>
      <c r="FT1139" s="299"/>
      <c r="FU1139" s="299"/>
      <c r="FV1139" s="299"/>
      <c r="FW1139" s="299"/>
      <c r="FX1139" s="299"/>
      <c r="FY1139" s="299"/>
      <c r="FZ1139" s="299"/>
      <c r="GA1139" s="299"/>
      <c r="GB1139" s="299"/>
      <c r="GC1139" s="299"/>
      <c r="GD1139" s="299"/>
      <c r="GE1139" s="299"/>
      <c r="GF1139" s="299"/>
      <c r="GG1139" s="299"/>
      <c r="GH1139" s="299"/>
      <c r="GI1139" s="299"/>
      <c r="GJ1139" s="299"/>
      <c r="GK1139" s="299"/>
      <c r="GL1139" s="299"/>
      <c r="GM1139" s="299"/>
      <c r="GN1139" s="299"/>
      <c r="GO1139" s="299"/>
      <c r="GP1139" s="299"/>
      <c r="GQ1139" s="299"/>
      <c r="GR1139" s="299"/>
      <c r="GS1139" s="299"/>
      <c r="GT1139" s="299"/>
      <c r="GU1139" s="299"/>
      <c r="GV1139" s="299"/>
      <c r="GW1139" s="299"/>
      <c r="GX1139" s="299"/>
      <c r="GY1139" s="299"/>
      <c r="GZ1139" s="299"/>
      <c r="HA1139" s="299"/>
      <c r="HB1139" s="299"/>
      <c r="HC1139" s="299"/>
      <c r="HD1139" s="299"/>
      <c r="HE1139" s="299"/>
      <c r="HF1139" s="299"/>
    </row>
    <row r="1140" spans="1:214" s="298" customFormat="1">
      <c r="A1140" s="338">
        <v>720</v>
      </c>
      <c r="B1140" s="337">
        <v>0</v>
      </c>
      <c r="C1140" s="337">
        <v>0</v>
      </c>
      <c r="D1140" s="337">
        <v>0</v>
      </c>
      <c r="E1140" s="337">
        <v>0</v>
      </c>
      <c r="F1140" s="337">
        <v>0</v>
      </c>
      <c r="G1140" s="336" t="s">
        <v>99</v>
      </c>
      <c r="H1140" s="334"/>
      <c r="I1140" s="335"/>
      <c r="J1140" s="335"/>
      <c r="K1140" s="335"/>
      <c r="L1140" s="335"/>
      <c r="M1140" s="335"/>
      <c r="N1140" s="332"/>
      <c r="O1140" s="334"/>
      <c r="P1140" s="331">
        <v>0</v>
      </c>
      <c r="Q1140" s="332"/>
      <c r="R1140" s="334"/>
      <c r="S1140" s="331"/>
      <c r="T1140" s="331"/>
      <c r="U1140" s="331"/>
      <c r="V1140" s="331"/>
      <c r="W1140" s="331"/>
      <c r="X1140" s="331"/>
      <c r="Y1140" s="1352">
        <f t="shared" si="122"/>
        <v>0</v>
      </c>
      <c r="Z1140" s="1353">
        <f t="shared" si="123"/>
        <v>0</v>
      </c>
      <c r="AA1140" s="331">
        <f t="shared" si="124"/>
        <v>0</v>
      </c>
      <c r="AB1140" s="331">
        <f t="shared" si="125"/>
        <v>0</v>
      </c>
      <c r="AC1140" s="331">
        <f t="shared" si="126"/>
        <v>0</v>
      </c>
      <c r="AD1140" s="331">
        <f t="shared" si="127"/>
        <v>0</v>
      </c>
      <c r="AE1140" s="331">
        <f t="shared" si="128"/>
        <v>0</v>
      </c>
      <c r="AF1140" s="330" t="s">
        <v>487</v>
      </c>
      <c r="AG1140" s="837"/>
      <c r="AH1140" s="744">
        <f>SUM(Y1140:Y1165)</f>
        <v>540764.68000000005</v>
      </c>
      <c r="AI1140" s="292" t="s">
        <v>2244</v>
      </c>
      <c r="AJ1140" s="299"/>
      <c r="AK1140" s="300"/>
      <c r="AL1140" s="299"/>
      <c r="AM1140" s="299"/>
      <c r="AN1140" s="299"/>
      <c r="AO1140" s="299"/>
      <c r="AP1140" s="299"/>
      <c r="AQ1140" s="299"/>
      <c r="AR1140" s="299"/>
      <c r="AS1140" s="452"/>
      <c r="AT1140" s="299"/>
      <c r="AU1140" s="299"/>
      <c r="AV1140" s="299"/>
      <c r="AW1140" s="299"/>
      <c r="AX1140" s="299"/>
      <c r="AY1140" s="299"/>
      <c r="AZ1140" s="299"/>
      <c r="BA1140" s="299"/>
      <c r="BB1140" s="299"/>
      <c r="BC1140" s="299"/>
      <c r="BD1140" s="299"/>
      <c r="BE1140" s="299"/>
      <c r="BF1140" s="299"/>
      <c r="BG1140" s="299"/>
      <c r="BH1140" s="299"/>
      <c r="BI1140" s="299"/>
      <c r="BJ1140" s="299"/>
      <c r="BK1140" s="299"/>
      <c r="BL1140" s="299"/>
      <c r="BM1140" s="299"/>
      <c r="BN1140" s="299"/>
      <c r="BO1140" s="299"/>
      <c r="BP1140" s="299"/>
      <c r="BQ1140" s="299"/>
      <c r="BR1140" s="299"/>
      <c r="BS1140" s="299"/>
      <c r="BT1140" s="299"/>
      <c r="BU1140" s="299"/>
      <c r="BV1140" s="299"/>
      <c r="BW1140" s="299"/>
      <c r="BX1140" s="299"/>
      <c r="BY1140" s="299"/>
      <c r="BZ1140" s="299"/>
      <c r="CA1140" s="299"/>
      <c r="CB1140" s="299"/>
      <c r="CC1140" s="299"/>
      <c r="CD1140" s="299"/>
      <c r="CE1140" s="299"/>
      <c r="CF1140" s="299"/>
      <c r="CG1140" s="299"/>
      <c r="CH1140" s="299"/>
      <c r="CI1140" s="299"/>
      <c r="CJ1140" s="299"/>
      <c r="CK1140" s="299"/>
      <c r="CL1140" s="299"/>
      <c r="CM1140" s="299"/>
      <c r="CN1140" s="299"/>
      <c r="CO1140" s="299"/>
      <c r="CP1140" s="299"/>
      <c r="CQ1140" s="299"/>
      <c r="CR1140" s="299"/>
      <c r="CS1140" s="299"/>
      <c r="CT1140" s="299"/>
      <c r="CU1140" s="299"/>
      <c r="CV1140" s="299"/>
      <c r="CW1140" s="299"/>
      <c r="CX1140" s="299"/>
      <c r="CY1140" s="299"/>
      <c r="CZ1140" s="299"/>
      <c r="DA1140" s="299"/>
      <c r="DB1140" s="299"/>
      <c r="DC1140" s="299"/>
      <c r="DD1140" s="299"/>
      <c r="DE1140" s="299"/>
      <c r="DF1140" s="299"/>
      <c r="DG1140" s="299"/>
      <c r="DH1140" s="299"/>
      <c r="DI1140" s="299"/>
      <c r="DJ1140" s="299"/>
      <c r="DK1140" s="299"/>
      <c r="DL1140" s="299"/>
      <c r="DM1140" s="299"/>
      <c r="DN1140" s="299"/>
      <c r="DO1140" s="299"/>
      <c r="DP1140" s="299"/>
      <c r="DQ1140" s="299"/>
      <c r="DR1140" s="299"/>
      <c r="DS1140" s="299"/>
      <c r="DT1140" s="299"/>
      <c r="DU1140" s="299"/>
      <c r="DV1140" s="299"/>
      <c r="DW1140" s="299"/>
      <c r="DX1140" s="299"/>
      <c r="DY1140" s="299"/>
      <c r="DZ1140" s="299"/>
      <c r="EA1140" s="299"/>
      <c r="EB1140" s="299"/>
      <c r="EC1140" s="299"/>
      <c r="ED1140" s="299"/>
      <c r="EE1140" s="299"/>
      <c r="EF1140" s="299"/>
      <c r="EG1140" s="299"/>
      <c r="EH1140" s="299"/>
      <c r="EI1140" s="299"/>
      <c r="EJ1140" s="299"/>
      <c r="EK1140" s="299"/>
      <c r="EL1140" s="299"/>
      <c r="EM1140" s="299"/>
      <c r="EN1140" s="299"/>
      <c r="EO1140" s="299"/>
      <c r="EP1140" s="299"/>
      <c r="EQ1140" s="299"/>
      <c r="ER1140" s="299"/>
      <c r="ES1140" s="299"/>
      <c r="ET1140" s="299"/>
      <c r="EU1140" s="299"/>
      <c r="EV1140" s="299"/>
      <c r="EW1140" s="299"/>
      <c r="EX1140" s="299"/>
      <c r="EY1140" s="299"/>
      <c r="EZ1140" s="299"/>
      <c r="FA1140" s="299"/>
      <c r="FB1140" s="299"/>
      <c r="FC1140" s="299"/>
      <c r="FD1140" s="299"/>
      <c r="FE1140" s="299"/>
      <c r="FF1140" s="299"/>
      <c r="FG1140" s="299"/>
      <c r="FH1140" s="299"/>
      <c r="FI1140" s="299"/>
      <c r="FJ1140" s="299"/>
      <c r="FK1140" s="299"/>
      <c r="FL1140" s="299"/>
      <c r="FM1140" s="299"/>
      <c r="FN1140" s="299"/>
      <c r="FO1140" s="299"/>
      <c r="FP1140" s="299"/>
      <c r="FQ1140" s="299"/>
      <c r="FR1140" s="299"/>
      <c r="FS1140" s="299"/>
      <c r="FT1140" s="299"/>
      <c r="FU1140" s="299"/>
      <c r="FV1140" s="299"/>
      <c r="FW1140" s="299"/>
      <c r="FX1140" s="299"/>
      <c r="FY1140" s="299"/>
      <c r="FZ1140" s="299"/>
      <c r="GA1140" s="299"/>
      <c r="GB1140" s="299"/>
      <c r="GC1140" s="299"/>
      <c r="GD1140" s="299"/>
      <c r="GE1140" s="299"/>
      <c r="GF1140" s="299"/>
      <c r="GG1140" s="299"/>
      <c r="GH1140" s="299"/>
      <c r="GI1140" s="299"/>
      <c r="GJ1140" s="299"/>
      <c r="GK1140" s="299"/>
      <c r="GL1140" s="299"/>
      <c r="GM1140" s="299"/>
      <c r="GN1140" s="299"/>
      <c r="GO1140" s="299"/>
      <c r="GP1140" s="299"/>
      <c r="GQ1140" s="299"/>
      <c r="GR1140" s="299"/>
      <c r="GS1140" s="299"/>
      <c r="GT1140" s="299"/>
      <c r="GU1140" s="299"/>
      <c r="GV1140" s="299"/>
      <c r="GW1140" s="299"/>
      <c r="GX1140" s="299"/>
      <c r="GY1140" s="299"/>
      <c r="GZ1140" s="299"/>
      <c r="HA1140" s="299"/>
      <c r="HB1140" s="299"/>
      <c r="HC1140" s="299"/>
      <c r="HD1140" s="299"/>
      <c r="HE1140" s="299"/>
      <c r="HF1140" s="299"/>
    </row>
    <row r="1141" spans="1:214" s="298" customFormat="1">
      <c r="A1141" s="318">
        <v>720</v>
      </c>
      <c r="B1141" s="316">
        <v>100</v>
      </c>
      <c r="C1141" s="316"/>
      <c r="D1141" s="316"/>
      <c r="E1141" s="316"/>
      <c r="F1141" s="316"/>
      <c r="G1141" s="315" t="s">
        <v>488</v>
      </c>
      <c r="H1141" s="314"/>
      <c r="I1141" s="311"/>
      <c r="J1141" s="311"/>
      <c r="K1141" s="311"/>
      <c r="L1141" s="311"/>
      <c r="M1141" s="311"/>
      <c r="N1141" s="312"/>
      <c r="O1141" s="314"/>
      <c r="P1141" s="311">
        <v>0</v>
      </c>
      <c r="Q1141" s="312"/>
      <c r="R1141" s="314">
        <v>0</v>
      </c>
      <c r="S1141" s="311"/>
      <c r="T1141" s="616"/>
      <c r="U1141" s="311">
        <v>2682.31</v>
      </c>
      <c r="V1141" s="311"/>
      <c r="W1141" s="311"/>
      <c r="X1141" s="311"/>
      <c r="Y1141" s="1356">
        <f t="shared" si="122"/>
        <v>0</v>
      </c>
      <c r="Z1141" s="1357">
        <f t="shared" si="123"/>
        <v>0</v>
      </c>
      <c r="AA1141" s="311">
        <f t="shared" si="124"/>
        <v>0</v>
      </c>
      <c r="AB1141" s="311">
        <f t="shared" si="125"/>
        <v>2682.31</v>
      </c>
      <c r="AC1141" s="311">
        <f t="shared" si="126"/>
        <v>0</v>
      </c>
      <c r="AD1141" s="311">
        <f t="shared" si="127"/>
        <v>0</v>
      </c>
      <c r="AE1141" s="311">
        <f t="shared" si="128"/>
        <v>0</v>
      </c>
      <c r="AF1141" s="310" t="s">
        <v>489</v>
      </c>
      <c r="AG1141" s="841"/>
      <c r="AH1141" s="744"/>
      <c r="AI1141" s="292"/>
      <c r="AJ1141" s="299"/>
      <c r="AK1141" s="300"/>
      <c r="AL1141" s="299"/>
      <c r="AM1141" s="299"/>
      <c r="AN1141" s="299"/>
      <c r="AO1141" s="299"/>
      <c r="AP1141" s="299"/>
      <c r="AQ1141" s="299"/>
      <c r="AR1141" s="299"/>
      <c r="AS1141" s="452"/>
      <c r="AT1141" s="299"/>
      <c r="AU1141" s="299"/>
      <c r="AV1141" s="299"/>
      <c r="AW1141" s="299"/>
      <c r="AX1141" s="299"/>
      <c r="AY1141" s="299"/>
      <c r="AZ1141" s="299"/>
      <c r="BA1141" s="299"/>
      <c r="BB1141" s="299"/>
      <c r="BC1141" s="299"/>
      <c r="BD1141" s="299"/>
      <c r="BE1141" s="299"/>
      <c r="BF1141" s="299"/>
      <c r="BG1141" s="299"/>
      <c r="BH1141" s="299"/>
      <c r="BI1141" s="299"/>
      <c r="BJ1141" s="299"/>
      <c r="BK1141" s="299"/>
      <c r="BL1141" s="299"/>
      <c r="BM1141" s="299"/>
      <c r="BN1141" s="299"/>
      <c r="BO1141" s="299"/>
      <c r="BP1141" s="299"/>
      <c r="BQ1141" s="299"/>
      <c r="BR1141" s="299"/>
      <c r="BS1141" s="299"/>
      <c r="BT1141" s="299"/>
      <c r="BU1141" s="299"/>
      <c r="BV1141" s="299"/>
      <c r="BW1141" s="299"/>
      <c r="BX1141" s="299"/>
      <c r="BY1141" s="299"/>
      <c r="BZ1141" s="299"/>
      <c r="CA1141" s="299"/>
      <c r="CB1141" s="299"/>
      <c r="CC1141" s="299"/>
      <c r="CD1141" s="299"/>
      <c r="CE1141" s="299"/>
      <c r="CF1141" s="299"/>
      <c r="CG1141" s="299"/>
      <c r="CH1141" s="299"/>
      <c r="CI1141" s="299"/>
      <c r="CJ1141" s="299"/>
      <c r="CK1141" s="299"/>
      <c r="CL1141" s="299"/>
      <c r="CM1141" s="299"/>
      <c r="CN1141" s="299"/>
      <c r="CO1141" s="299"/>
      <c r="CP1141" s="299"/>
      <c r="CQ1141" s="299"/>
      <c r="CR1141" s="299"/>
      <c r="CS1141" s="299"/>
      <c r="CT1141" s="299"/>
      <c r="CU1141" s="299"/>
      <c r="CV1141" s="299"/>
      <c r="CW1141" s="299"/>
      <c r="CX1141" s="299"/>
      <c r="CY1141" s="299"/>
      <c r="CZ1141" s="299"/>
      <c r="DA1141" s="299"/>
      <c r="DB1141" s="299"/>
      <c r="DC1141" s="299"/>
      <c r="DD1141" s="299"/>
      <c r="DE1141" s="299"/>
      <c r="DF1141" s="299"/>
      <c r="DG1141" s="299"/>
      <c r="DH1141" s="299"/>
      <c r="DI1141" s="299"/>
      <c r="DJ1141" s="299"/>
      <c r="DK1141" s="299"/>
      <c r="DL1141" s="299"/>
      <c r="DM1141" s="299"/>
      <c r="DN1141" s="299"/>
      <c r="DO1141" s="299"/>
      <c r="DP1141" s="299"/>
      <c r="DQ1141" s="299"/>
      <c r="DR1141" s="299"/>
      <c r="DS1141" s="299"/>
      <c r="DT1141" s="299"/>
      <c r="DU1141" s="299"/>
      <c r="DV1141" s="299"/>
      <c r="DW1141" s="299"/>
      <c r="DX1141" s="299"/>
      <c r="DY1141" s="299"/>
      <c r="DZ1141" s="299"/>
      <c r="EA1141" s="299"/>
      <c r="EB1141" s="299"/>
      <c r="EC1141" s="299"/>
      <c r="ED1141" s="299"/>
      <c r="EE1141" s="299"/>
      <c r="EF1141" s="299"/>
      <c r="EG1141" s="299"/>
      <c r="EH1141" s="299"/>
      <c r="EI1141" s="299"/>
      <c r="EJ1141" s="299"/>
      <c r="EK1141" s="299"/>
      <c r="EL1141" s="299"/>
      <c r="EM1141" s="299"/>
      <c r="EN1141" s="299"/>
      <c r="EO1141" s="299"/>
      <c r="EP1141" s="299"/>
      <c r="EQ1141" s="299"/>
      <c r="ER1141" s="299"/>
      <c r="ES1141" s="299"/>
      <c r="ET1141" s="299"/>
      <c r="EU1141" s="299"/>
      <c r="EV1141" s="299"/>
      <c r="EW1141" s="299"/>
      <c r="EX1141" s="299"/>
      <c r="EY1141" s="299"/>
      <c r="EZ1141" s="299"/>
      <c r="FA1141" s="299"/>
      <c r="FB1141" s="299"/>
      <c r="FC1141" s="299"/>
      <c r="FD1141" s="299"/>
      <c r="FE1141" s="299"/>
      <c r="FF1141" s="299"/>
      <c r="FG1141" s="299"/>
      <c r="FH1141" s="299"/>
      <c r="FI1141" s="299"/>
      <c r="FJ1141" s="299"/>
      <c r="FK1141" s="299"/>
      <c r="FL1141" s="299"/>
      <c r="FM1141" s="299"/>
      <c r="FN1141" s="299"/>
      <c r="FO1141" s="299"/>
      <c r="FP1141" s="299"/>
      <c r="FQ1141" s="299"/>
      <c r="FR1141" s="299"/>
      <c r="FS1141" s="299"/>
      <c r="FT1141" s="299"/>
      <c r="FU1141" s="299"/>
      <c r="FV1141" s="299"/>
      <c r="FW1141" s="299"/>
      <c r="FX1141" s="299"/>
      <c r="FY1141" s="299"/>
      <c r="FZ1141" s="299"/>
      <c r="GA1141" s="299"/>
      <c r="GB1141" s="299"/>
      <c r="GC1141" s="299"/>
      <c r="GD1141" s="299"/>
      <c r="GE1141" s="299"/>
      <c r="GF1141" s="299"/>
      <c r="GG1141" s="299"/>
      <c r="GH1141" s="299"/>
      <c r="GI1141" s="299"/>
      <c r="GJ1141" s="299"/>
      <c r="GK1141" s="299"/>
      <c r="GL1141" s="299"/>
      <c r="GM1141" s="299"/>
      <c r="GN1141" s="299"/>
      <c r="GO1141" s="299"/>
      <c r="GP1141" s="299"/>
      <c r="GQ1141" s="299"/>
      <c r="GR1141" s="299"/>
      <c r="GS1141" s="299"/>
      <c r="GT1141" s="299"/>
      <c r="GU1141" s="299"/>
      <c r="GV1141" s="299"/>
      <c r="GW1141" s="299"/>
      <c r="GX1141" s="299"/>
      <c r="GY1141" s="299"/>
      <c r="GZ1141" s="299"/>
      <c r="HA1141" s="299"/>
      <c r="HB1141" s="299"/>
      <c r="HC1141" s="299"/>
      <c r="HD1141" s="299"/>
      <c r="HE1141" s="299"/>
      <c r="HF1141" s="299"/>
    </row>
    <row r="1142" spans="1:214" s="298" customFormat="1">
      <c r="A1142" s="318">
        <v>720</v>
      </c>
      <c r="B1142" s="317">
        <v>200</v>
      </c>
      <c r="C1142" s="317"/>
      <c r="D1142" s="317"/>
      <c r="E1142" s="317"/>
      <c r="F1142" s="317"/>
      <c r="G1142" s="323" t="s">
        <v>490</v>
      </c>
      <c r="H1142" s="322"/>
      <c r="I1142" s="320"/>
      <c r="J1142" s="320"/>
      <c r="K1142" s="320"/>
      <c r="L1142" s="320"/>
      <c r="M1142" s="320"/>
      <c r="N1142" s="321"/>
      <c r="O1142" s="322"/>
      <c r="P1142" s="320">
        <v>0</v>
      </c>
      <c r="Q1142" s="321"/>
      <c r="R1142" s="322"/>
      <c r="S1142" s="320"/>
      <c r="T1142" s="617"/>
      <c r="U1142" s="320">
        <v>0</v>
      </c>
      <c r="V1142" s="320"/>
      <c r="W1142" s="320"/>
      <c r="X1142" s="320"/>
      <c r="Y1142" s="1392">
        <f t="shared" si="122"/>
        <v>0</v>
      </c>
      <c r="Z1142" s="1389">
        <f t="shared" si="123"/>
        <v>0</v>
      </c>
      <c r="AA1142" s="320">
        <f t="shared" si="124"/>
        <v>0</v>
      </c>
      <c r="AB1142" s="320">
        <f t="shared" si="125"/>
        <v>0</v>
      </c>
      <c r="AC1142" s="320">
        <f t="shared" si="126"/>
        <v>0</v>
      </c>
      <c r="AD1142" s="320">
        <f t="shared" si="127"/>
        <v>0</v>
      </c>
      <c r="AE1142" s="320">
        <f t="shared" si="128"/>
        <v>0</v>
      </c>
      <c r="AF1142" s="310" t="s">
        <v>491</v>
      </c>
      <c r="AG1142" s="841"/>
      <c r="AH1142" s="744"/>
      <c r="AI1142" s="292"/>
      <c r="AJ1142" s="299"/>
      <c r="AK1142" s="300"/>
      <c r="AL1142" s="299"/>
      <c r="AM1142" s="299"/>
      <c r="AN1142" s="299"/>
      <c r="AO1142" s="299"/>
      <c r="AP1142" s="299"/>
      <c r="AQ1142" s="299"/>
      <c r="AR1142" s="299"/>
      <c r="AS1142" s="452"/>
      <c r="AT1142" s="299"/>
      <c r="AU1142" s="299"/>
      <c r="AV1142" s="299"/>
      <c r="AW1142" s="299"/>
      <c r="AX1142" s="299"/>
      <c r="AY1142" s="299"/>
      <c r="AZ1142" s="299"/>
      <c r="BA1142" s="299"/>
      <c r="BB1142" s="299"/>
      <c r="BC1142" s="299"/>
      <c r="BD1142" s="299"/>
      <c r="BE1142" s="299"/>
      <c r="BF1142" s="299"/>
      <c r="BG1142" s="299"/>
      <c r="BH1142" s="299"/>
      <c r="BI1142" s="299"/>
      <c r="BJ1142" s="299"/>
      <c r="BK1142" s="299"/>
      <c r="BL1142" s="299"/>
      <c r="BM1142" s="299"/>
      <c r="BN1142" s="299"/>
      <c r="BO1142" s="299"/>
      <c r="BP1142" s="299"/>
      <c r="BQ1142" s="299"/>
      <c r="BR1142" s="299"/>
      <c r="BS1142" s="299"/>
      <c r="BT1142" s="299"/>
      <c r="BU1142" s="299"/>
      <c r="BV1142" s="299"/>
      <c r="BW1142" s="299"/>
      <c r="BX1142" s="299"/>
      <c r="BY1142" s="299"/>
      <c r="BZ1142" s="299"/>
      <c r="CA1142" s="299"/>
      <c r="CB1142" s="299"/>
      <c r="CC1142" s="299"/>
      <c r="CD1142" s="299"/>
      <c r="CE1142" s="299"/>
      <c r="CF1142" s="299"/>
      <c r="CG1142" s="299"/>
      <c r="CH1142" s="299"/>
      <c r="CI1142" s="299"/>
      <c r="CJ1142" s="299"/>
      <c r="CK1142" s="299"/>
      <c r="CL1142" s="299"/>
      <c r="CM1142" s="299"/>
      <c r="CN1142" s="299"/>
      <c r="CO1142" s="299"/>
      <c r="CP1142" s="299"/>
      <c r="CQ1142" s="299"/>
      <c r="CR1142" s="299"/>
      <c r="CS1142" s="299"/>
      <c r="CT1142" s="299"/>
      <c r="CU1142" s="299"/>
      <c r="CV1142" s="299"/>
      <c r="CW1142" s="299"/>
      <c r="CX1142" s="299"/>
      <c r="CY1142" s="299"/>
      <c r="CZ1142" s="299"/>
      <c r="DA1142" s="299"/>
      <c r="DB1142" s="299"/>
      <c r="DC1142" s="299"/>
      <c r="DD1142" s="299"/>
      <c r="DE1142" s="299"/>
      <c r="DF1142" s="299"/>
      <c r="DG1142" s="299"/>
      <c r="DH1142" s="299"/>
      <c r="DI1142" s="299"/>
      <c r="DJ1142" s="299"/>
      <c r="DK1142" s="299"/>
      <c r="DL1142" s="299"/>
      <c r="DM1142" s="299"/>
      <c r="DN1142" s="299"/>
      <c r="DO1142" s="299"/>
      <c r="DP1142" s="299"/>
      <c r="DQ1142" s="299"/>
      <c r="DR1142" s="299"/>
      <c r="DS1142" s="299"/>
      <c r="DT1142" s="299"/>
      <c r="DU1142" s="299"/>
      <c r="DV1142" s="299"/>
      <c r="DW1142" s="299"/>
      <c r="DX1142" s="299"/>
      <c r="DY1142" s="299"/>
      <c r="DZ1142" s="299"/>
      <c r="EA1142" s="299"/>
      <c r="EB1142" s="299"/>
      <c r="EC1142" s="299"/>
      <c r="ED1142" s="299"/>
      <c r="EE1142" s="299"/>
      <c r="EF1142" s="299"/>
      <c r="EG1142" s="299"/>
      <c r="EH1142" s="299"/>
      <c r="EI1142" s="299"/>
      <c r="EJ1142" s="299"/>
      <c r="EK1142" s="299"/>
      <c r="EL1142" s="299"/>
      <c r="EM1142" s="299"/>
      <c r="EN1142" s="299"/>
      <c r="EO1142" s="299"/>
      <c r="EP1142" s="299"/>
      <c r="EQ1142" s="299"/>
      <c r="ER1142" s="299"/>
      <c r="ES1142" s="299"/>
      <c r="ET1142" s="299"/>
      <c r="EU1142" s="299"/>
      <c r="EV1142" s="299"/>
      <c r="EW1142" s="299"/>
      <c r="EX1142" s="299"/>
      <c r="EY1142" s="299"/>
      <c r="EZ1142" s="299"/>
      <c r="FA1142" s="299"/>
      <c r="FB1142" s="299"/>
      <c r="FC1142" s="299"/>
      <c r="FD1142" s="299"/>
      <c r="FE1142" s="299"/>
      <c r="FF1142" s="299"/>
      <c r="FG1142" s="299"/>
      <c r="FH1142" s="299"/>
      <c r="FI1142" s="299"/>
      <c r="FJ1142" s="299"/>
      <c r="FK1142" s="299"/>
      <c r="FL1142" s="299"/>
      <c r="FM1142" s="299"/>
      <c r="FN1142" s="299"/>
      <c r="FO1142" s="299"/>
      <c r="FP1142" s="299"/>
      <c r="FQ1142" s="299"/>
      <c r="FR1142" s="299"/>
      <c r="FS1142" s="299"/>
      <c r="FT1142" s="299"/>
      <c r="FU1142" s="299"/>
      <c r="FV1142" s="299"/>
      <c r="FW1142" s="299"/>
      <c r="FX1142" s="299"/>
      <c r="FY1142" s="299"/>
      <c r="FZ1142" s="299"/>
      <c r="GA1142" s="299"/>
      <c r="GB1142" s="299"/>
      <c r="GC1142" s="299"/>
      <c r="GD1142" s="299"/>
      <c r="GE1142" s="299"/>
      <c r="GF1142" s="299"/>
      <c r="GG1142" s="299"/>
      <c r="GH1142" s="299"/>
      <c r="GI1142" s="299"/>
      <c r="GJ1142" s="299"/>
      <c r="GK1142" s="299"/>
      <c r="GL1142" s="299"/>
      <c r="GM1142" s="299"/>
      <c r="GN1142" s="299"/>
      <c r="GO1142" s="299"/>
      <c r="GP1142" s="299"/>
      <c r="GQ1142" s="299"/>
      <c r="GR1142" s="299"/>
      <c r="GS1142" s="299"/>
      <c r="GT1142" s="299"/>
      <c r="GU1142" s="299"/>
      <c r="GV1142" s="299"/>
      <c r="GW1142" s="299"/>
      <c r="GX1142" s="299"/>
      <c r="GY1142" s="299"/>
      <c r="GZ1142" s="299"/>
      <c r="HA1142" s="299"/>
      <c r="HB1142" s="299"/>
      <c r="HC1142" s="299"/>
      <c r="HD1142" s="299"/>
      <c r="HE1142" s="299"/>
      <c r="HF1142" s="299"/>
    </row>
    <row r="1143" spans="1:214" s="298" customFormat="1" ht="27.6">
      <c r="A1143" s="318">
        <v>720</v>
      </c>
      <c r="B1143" s="317">
        <v>200</v>
      </c>
      <c r="C1143" s="317">
        <v>100</v>
      </c>
      <c r="D1143" s="317"/>
      <c r="E1143" s="317"/>
      <c r="F1143" s="317"/>
      <c r="G1143" s="323" t="s">
        <v>492</v>
      </c>
      <c r="H1143" s="314"/>
      <c r="I1143" s="311"/>
      <c r="J1143" s="311"/>
      <c r="K1143" s="311"/>
      <c r="L1143" s="311"/>
      <c r="M1143" s="311"/>
      <c r="N1143" s="312"/>
      <c r="O1143" s="314"/>
      <c r="P1143" s="311">
        <v>0</v>
      </c>
      <c r="Q1143" s="312"/>
      <c r="R1143" s="314">
        <v>17269.060000000001</v>
      </c>
      <c r="S1143" s="311">
        <v>3210</v>
      </c>
      <c r="T1143" s="616"/>
      <c r="U1143" s="311">
        <v>167052.06</v>
      </c>
      <c r="V1143" s="311">
        <v>153143</v>
      </c>
      <c r="W1143" s="311"/>
      <c r="X1143" s="311"/>
      <c r="Y1143" s="1356">
        <f t="shared" si="122"/>
        <v>17269.060000000001</v>
      </c>
      <c r="Z1143" s="1357">
        <f t="shared" si="123"/>
        <v>3210</v>
      </c>
      <c r="AA1143" s="311">
        <f t="shared" si="124"/>
        <v>0</v>
      </c>
      <c r="AB1143" s="311">
        <f t="shared" si="125"/>
        <v>167052.06</v>
      </c>
      <c r="AC1143" s="311">
        <f t="shared" si="126"/>
        <v>153143</v>
      </c>
      <c r="AD1143" s="311">
        <f t="shared" si="127"/>
        <v>0</v>
      </c>
      <c r="AE1143" s="311">
        <f t="shared" si="128"/>
        <v>0</v>
      </c>
      <c r="AF1143" s="310" t="s">
        <v>493</v>
      </c>
      <c r="AG1143" s="841"/>
      <c r="AH1143" s="744"/>
      <c r="AI1143" s="292"/>
      <c r="AJ1143" s="299"/>
      <c r="AK1143" s="300"/>
      <c r="AL1143" s="299"/>
      <c r="AM1143" s="299"/>
      <c r="AN1143" s="299"/>
      <c r="AO1143" s="299"/>
      <c r="AP1143" s="299"/>
      <c r="AQ1143" s="299"/>
      <c r="AR1143" s="299"/>
      <c r="AS1143" s="452"/>
      <c r="AT1143" s="299"/>
      <c r="AU1143" s="299"/>
      <c r="AV1143" s="299"/>
      <c r="AW1143" s="299"/>
      <c r="AX1143" s="299"/>
      <c r="AY1143" s="299"/>
      <c r="AZ1143" s="299"/>
      <c r="BA1143" s="299"/>
      <c r="BB1143" s="299"/>
      <c r="BC1143" s="299"/>
      <c r="BD1143" s="299"/>
      <c r="BE1143" s="299"/>
      <c r="BF1143" s="299"/>
      <c r="BG1143" s="299"/>
      <c r="BH1143" s="299"/>
      <c r="BI1143" s="299"/>
      <c r="BJ1143" s="299"/>
      <c r="BK1143" s="299"/>
      <c r="BL1143" s="299"/>
      <c r="BM1143" s="299"/>
      <c r="BN1143" s="299"/>
      <c r="BO1143" s="299"/>
      <c r="BP1143" s="299"/>
      <c r="BQ1143" s="299"/>
      <c r="BR1143" s="299"/>
      <c r="BS1143" s="299"/>
      <c r="BT1143" s="299"/>
      <c r="BU1143" s="299"/>
      <c r="BV1143" s="299"/>
      <c r="BW1143" s="299"/>
      <c r="BX1143" s="299"/>
      <c r="BY1143" s="299"/>
      <c r="BZ1143" s="299"/>
      <c r="CA1143" s="299"/>
      <c r="CB1143" s="299"/>
      <c r="CC1143" s="299"/>
      <c r="CD1143" s="299"/>
      <c r="CE1143" s="299"/>
      <c r="CF1143" s="299"/>
      <c r="CG1143" s="299"/>
      <c r="CH1143" s="299"/>
      <c r="CI1143" s="299"/>
      <c r="CJ1143" s="299"/>
      <c r="CK1143" s="299"/>
      <c r="CL1143" s="299"/>
      <c r="CM1143" s="299"/>
      <c r="CN1143" s="299"/>
      <c r="CO1143" s="299"/>
      <c r="CP1143" s="299"/>
      <c r="CQ1143" s="299"/>
      <c r="CR1143" s="299"/>
      <c r="CS1143" s="299"/>
      <c r="CT1143" s="299"/>
      <c r="CU1143" s="299"/>
      <c r="CV1143" s="299"/>
      <c r="CW1143" s="299"/>
      <c r="CX1143" s="299"/>
      <c r="CY1143" s="299"/>
      <c r="CZ1143" s="299"/>
      <c r="DA1143" s="299"/>
      <c r="DB1143" s="299"/>
      <c r="DC1143" s="299"/>
      <c r="DD1143" s="299"/>
      <c r="DE1143" s="299"/>
      <c r="DF1143" s="299"/>
      <c r="DG1143" s="299"/>
      <c r="DH1143" s="299"/>
      <c r="DI1143" s="299"/>
      <c r="DJ1143" s="299"/>
      <c r="DK1143" s="299"/>
      <c r="DL1143" s="299"/>
      <c r="DM1143" s="299"/>
      <c r="DN1143" s="299"/>
      <c r="DO1143" s="299"/>
      <c r="DP1143" s="299"/>
      <c r="DQ1143" s="299"/>
      <c r="DR1143" s="299"/>
      <c r="DS1143" s="299"/>
      <c r="DT1143" s="299"/>
      <c r="DU1143" s="299"/>
      <c r="DV1143" s="299"/>
      <c r="DW1143" s="299"/>
      <c r="DX1143" s="299"/>
      <c r="DY1143" s="299"/>
      <c r="DZ1143" s="299"/>
      <c r="EA1143" s="299"/>
      <c r="EB1143" s="299"/>
      <c r="EC1143" s="299"/>
      <c r="ED1143" s="299"/>
      <c r="EE1143" s="299"/>
      <c r="EF1143" s="299"/>
      <c r="EG1143" s="299"/>
      <c r="EH1143" s="299"/>
      <c r="EI1143" s="299"/>
      <c r="EJ1143" s="299"/>
      <c r="EK1143" s="299"/>
      <c r="EL1143" s="299"/>
      <c r="EM1143" s="299"/>
      <c r="EN1143" s="299"/>
      <c r="EO1143" s="299"/>
      <c r="EP1143" s="299"/>
      <c r="EQ1143" s="299"/>
      <c r="ER1143" s="299"/>
      <c r="ES1143" s="299"/>
      <c r="ET1143" s="299"/>
      <c r="EU1143" s="299"/>
      <c r="EV1143" s="299"/>
      <c r="EW1143" s="299"/>
      <c r="EX1143" s="299"/>
      <c r="EY1143" s="299"/>
      <c r="EZ1143" s="299"/>
      <c r="FA1143" s="299"/>
      <c r="FB1143" s="299"/>
      <c r="FC1143" s="299"/>
      <c r="FD1143" s="299"/>
      <c r="FE1143" s="299"/>
      <c r="FF1143" s="299"/>
      <c r="FG1143" s="299"/>
      <c r="FH1143" s="299"/>
      <c r="FI1143" s="299"/>
      <c r="FJ1143" s="299"/>
      <c r="FK1143" s="299"/>
      <c r="FL1143" s="299"/>
      <c r="FM1143" s="299"/>
      <c r="FN1143" s="299"/>
      <c r="FO1143" s="299"/>
      <c r="FP1143" s="299"/>
      <c r="FQ1143" s="299"/>
      <c r="FR1143" s="299"/>
      <c r="FS1143" s="299"/>
      <c r="FT1143" s="299"/>
      <c r="FU1143" s="299"/>
      <c r="FV1143" s="299"/>
      <c r="FW1143" s="299"/>
      <c r="FX1143" s="299"/>
      <c r="FY1143" s="299"/>
      <c r="FZ1143" s="299"/>
      <c r="GA1143" s="299"/>
      <c r="GB1143" s="299"/>
      <c r="GC1143" s="299"/>
      <c r="GD1143" s="299"/>
      <c r="GE1143" s="299"/>
      <c r="GF1143" s="299"/>
      <c r="GG1143" s="299"/>
      <c r="GH1143" s="299"/>
      <c r="GI1143" s="299"/>
      <c r="GJ1143" s="299"/>
      <c r="GK1143" s="299"/>
      <c r="GL1143" s="299"/>
      <c r="GM1143" s="299"/>
      <c r="GN1143" s="299"/>
      <c r="GO1143" s="299"/>
      <c r="GP1143" s="299"/>
      <c r="GQ1143" s="299"/>
      <c r="GR1143" s="299"/>
      <c r="GS1143" s="299"/>
      <c r="GT1143" s="299"/>
      <c r="GU1143" s="299"/>
      <c r="GV1143" s="299"/>
      <c r="GW1143" s="299"/>
      <c r="GX1143" s="299"/>
      <c r="GY1143" s="299"/>
      <c r="GZ1143" s="299"/>
      <c r="HA1143" s="299"/>
      <c r="HB1143" s="299"/>
      <c r="HC1143" s="299"/>
      <c r="HD1143" s="299"/>
      <c r="HE1143" s="299"/>
      <c r="HF1143" s="299"/>
    </row>
    <row r="1144" spans="1:214" s="298" customFormat="1">
      <c r="A1144" s="318">
        <v>720</v>
      </c>
      <c r="B1144" s="317">
        <v>200</v>
      </c>
      <c r="C1144" s="317">
        <v>200</v>
      </c>
      <c r="D1144" s="317"/>
      <c r="E1144" s="317"/>
      <c r="F1144" s="317"/>
      <c r="G1144" s="323" t="s">
        <v>494</v>
      </c>
      <c r="H1144" s="322"/>
      <c r="I1144" s="320"/>
      <c r="J1144" s="320"/>
      <c r="K1144" s="320"/>
      <c r="L1144" s="320"/>
      <c r="M1144" s="320"/>
      <c r="N1144" s="321"/>
      <c r="O1144" s="322"/>
      <c r="P1144" s="320">
        <v>0</v>
      </c>
      <c r="Q1144" s="321"/>
      <c r="R1144" s="322"/>
      <c r="S1144" s="320"/>
      <c r="T1144" s="617"/>
      <c r="U1144" s="320">
        <v>0</v>
      </c>
      <c r="V1144" s="320"/>
      <c r="W1144" s="320"/>
      <c r="X1144" s="320"/>
      <c r="Y1144" s="1392">
        <f t="shared" si="122"/>
        <v>0</v>
      </c>
      <c r="Z1144" s="1389">
        <f t="shared" si="123"/>
        <v>0</v>
      </c>
      <c r="AA1144" s="320">
        <f t="shared" si="124"/>
        <v>0</v>
      </c>
      <c r="AB1144" s="320">
        <f t="shared" si="125"/>
        <v>0</v>
      </c>
      <c r="AC1144" s="320">
        <f t="shared" si="126"/>
        <v>0</v>
      </c>
      <c r="AD1144" s="320">
        <f t="shared" si="127"/>
        <v>0</v>
      </c>
      <c r="AE1144" s="320">
        <f t="shared" si="128"/>
        <v>0</v>
      </c>
      <c r="AF1144" s="310" t="s">
        <v>495</v>
      </c>
      <c r="AG1144" s="841"/>
      <c r="AH1144" s="744"/>
      <c r="AI1144" s="292"/>
      <c r="AJ1144" s="299"/>
      <c r="AK1144" s="300"/>
      <c r="AL1144" s="299"/>
      <c r="AM1144" s="299"/>
      <c r="AN1144" s="299"/>
      <c r="AO1144" s="299"/>
      <c r="AP1144" s="299"/>
      <c r="AQ1144" s="299"/>
      <c r="AR1144" s="299"/>
      <c r="AS1144" s="452"/>
      <c r="AT1144" s="299"/>
      <c r="AU1144" s="299"/>
      <c r="AV1144" s="299"/>
      <c r="AW1144" s="299"/>
      <c r="AX1144" s="299"/>
      <c r="AY1144" s="299"/>
      <c r="AZ1144" s="299"/>
      <c r="BA1144" s="299"/>
      <c r="BB1144" s="299"/>
      <c r="BC1144" s="299"/>
      <c r="BD1144" s="299"/>
      <c r="BE1144" s="299"/>
      <c r="BF1144" s="299"/>
      <c r="BG1144" s="299"/>
      <c r="BH1144" s="299"/>
      <c r="BI1144" s="299"/>
      <c r="BJ1144" s="299"/>
      <c r="BK1144" s="299"/>
      <c r="BL1144" s="299"/>
      <c r="BM1144" s="299"/>
      <c r="BN1144" s="299"/>
      <c r="BO1144" s="299"/>
      <c r="BP1144" s="299"/>
      <c r="BQ1144" s="299"/>
      <c r="BR1144" s="299"/>
      <c r="BS1144" s="299"/>
      <c r="BT1144" s="299"/>
      <c r="BU1144" s="299"/>
      <c r="BV1144" s="299"/>
      <c r="BW1144" s="299"/>
      <c r="BX1144" s="299"/>
      <c r="BY1144" s="299"/>
      <c r="BZ1144" s="299"/>
      <c r="CA1144" s="299"/>
      <c r="CB1144" s="299"/>
      <c r="CC1144" s="299"/>
      <c r="CD1144" s="299"/>
      <c r="CE1144" s="299"/>
      <c r="CF1144" s="299"/>
      <c r="CG1144" s="299"/>
      <c r="CH1144" s="299"/>
      <c r="CI1144" s="299"/>
      <c r="CJ1144" s="299"/>
      <c r="CK1144" s="299"/>
      <c r="CL1144" s="299"/>
      <c r="CM1144" s="299"/>
      <c r="CN1144" s="299"/>
      <c r="CO1144" s="299"/>
      <c r="CP1144" s="299"/>
      <c r="CQ1144" s="299"/>
      <c r="CR1144" s="299"/>
      <c r="CS1144" s="299"/>
      <c r="CT1144" s="299"/>
      <c r="CU1144" s="299"/>
      <c r="CV1144" s="299"/>
      <c r="CW1144" s="299"/>
      <c r="CX1144" s="299"/>
      <c r="CY1144" s="299"/>
      <c r="CZ1144" s="299"/>
      <c r="DA1144" s="299"/>
      <c r="DB1144" s="299"/>
      <c r="DC1144" s="299"/>
      <c r="DD1144" s="299"/>
      <c r="DE1144" s="299"/>
      <c r="DF1144" s="299"/>
      <c r="DG1144" s="299"/>
      <c r="DH1144" s="299"/>
      <c r="DI1144" s="299"/>
      <c r="DJ1144" s="299"/>
      <c r="DK1144" s="299"/>
      <c r="DL1144" s="299"/>
      <c r="DM1144" s="299"/>
      <c r="DN1144" s="299"/>
      <c r="DO1144" s="299"/>
      <c r="DP1144" s="299"/>
      <c r="DQ1144" s="299"/>
      <c r="DR1144" s="299"/>
      <c r="DS1144" s="299"/>
      <c r="DT1144" s="299"/>
      <c r="DU1144" s="299"/>
      <c r="DV1144" s="299"/>
      <c r="DW1144" s="299"/>
      <c r="DX1144" s="299"/>
      <c r="DY1144" s="299"/>
      <c r="DZ1144" s="299"/>
      <c r="EA1144" s="299"/>
      <c r="EB1144" s="299"/>
      <c r="EC1144" s="299"/>
      <c r="ED1144" s="299"/>
      <c r="EE1144" s="299"/>
      <c r="EF1144" s="299"/>
      <c r="EG1144" s="299"/>
      <c r="EH1144" s="299"/>
      <c r="EI1144" s="299"/>
      <c r="EJ1144" s="299"/>
      <c r="EK1144" s="299"/>
      <c r="EL1144" s="299"/>
      <c r="EM1144" s="299"/>
      <c r="EN1144" s="299"/>
      <c r="EO1144" s="299"/>
      <c r="EP1144" s="299"/>
      <c r="EQ1144" s="299"/>
      <c r="ER1144" s="299"/>
      <c r="ES1144" s="299"/>
      <c r="ET1144" s="299"/>
      <c r="EU1144" s="299"/>
      <c r="EV1144" s="299"/>
      <c r="EW1144" s="299"/>
      <c r="EX1144" s="299"/>
      <c r="EY1144" s="299"/>
      <c r="EZ1144" s="299"/>
      <c r="FA1144" s="299"/>
      <c r="FB1144" s="299"/>
      <c r="FC1144" s="299"/>
      <c r="FD1144" s="299"/>
      <c r="FE1144" s="299"/>
      <c r="FF1144" s="299"/>
      <c r="FG1144" s="299"/>
      <c r="FH1144" s="299"/>
      <c r="FI1144" s="299"/>
      <c r="FJ1144" s="299"/>
      <c r="FK1144" s="299"/>
      <c r="FL1144" s="299"/>
      <c r="FM1144" s="299"/>
      <c r="FN1144" s="299"/>
      <c r="FO1144" s="299"/>
      <c r="FP1144" s="299"/>
      <c r="FQ1144" s="299"/>
      <c r="FR1144" s="299"/>
      <c r="FS1144" s="299"/>
      <c r="FT1144" s="299"/>
      <c r="FU1144" s="299"/>
      <c r="FV1144" s="299"/>
      <c r="FW1144" s="299"/>
      <c r="FX1144" s="299"/>
      <c r="FY1144" s="299"/>
      <c r="FZ1144" s="299"/>
      <c r="GA1144" s="299"/>
      <c r="GB1144" s="299"/>
      <c r="GC1144" s="299"/>
      <c r="GD1144" s="299"/>
      <c r="GE1144" s="299"/>
      <c r="GF1144" s="299"/>
      <c r="GG1144" s="299"/>
      <c r="GH1144" s="299"/>
      <c r="GI1144" s="299"/>
      <c r="GJ1144" s="299"/>
      <c r="GK1144" s="299"/>
      <c r="GL1144" s="299"/>
      <c r="GM1144" s="299"/>
      <c r="GN1144" s="299"/>
      <c r="GO1144" s="299"/>
      <c r="GP1144" s="299"/>
      <c r="GQ1144" s="299"/>
      <c r="GR1144" s="299"/>
      <c r="GS1144" s="299"/>
      <c r="GT1144" s="299"/>
      <c r="GU1144" s="299"/>
      <c r="GV1144" s="299"/>
      <c r="GW1144" s="299"/>
      <c r="GX1144" s="299"/>
      <c r="GY1144" s="299"/>
      <c r="GZ1144" s="299"/>
      <c r="HA1144" s="299"/>
      <c r="HB1144" s="299"/>
      <c r="HC1144" s="299"/>
      <c r="HD1144" s="299"/>
      <c r="HE1144" s="299"/>
      <c r="HF1144" s="299"/>
    </row>
    <row r="1145" spans="1:214" s="298" customFormat="1" ht="27.6">
      <c r="A1145" s="318">
        <v>720</v>
      </c>
      <c r="B1145" s="317">
        <v>200</v>
      </c>
      <c r="C1145" s="317">
        <v>200</v>
      </c>
      <c r="D1145" s="316">
        <v>50</v>
      </c>
      <c r="E1145" s="317"/>
      <c r="F1145" s="317"/>
      <c r="G1145" s="315" t="s">
        <v>496</v>
      </c>
      <c r="H1145" s="329"/>
      <c r="I1145" s="326"/>
      <c r="J1145" s="326"/>
      <c r="K1145" s="326"/>
      <c r="L1145" s="326"/>
      <c r="M1145" s="326"/>
      <c r="N1145" s="327"/>
      <c r="O1145" s="329"/>
      <c r="P1145" s="326">
        <v>0</v>
      </c>
      <c r="Q1145" s="327"/>
      <c r="R1145" s="329"/>
      <c r="S1145" s="326"/>
      <c r="T1145" s="618"/>
      <c r="U1145" s="326">
        <v>0</v>
      </c>
      <c r="V1145" s="326"/>
      <c r="W1145" s="326"/>
      <c r="X1145" s="326"/>
      <c r="Y1145" s="1350">
        <f t="shared" si="122"/>
        <v>0</v>
      </c>
      <c r="Z1145" s="1351">
        <f t="shared" si="123"/>
        <v>0</v>
      </c>
      <c r="AA1145" s="326">
        <f t="shared" si="124"/>
        <v>0</v>
      </c>
      <c r="AB1145" s="326">
        <f t="shared" si="125"/>
        <v>0</v>
      </c>
      <c r="AC1145" s="326">
        <f t="shared" si="126"/>
        <v>0</v>
      </c>
      <c r="AD1145" s="326">
        <f t="shared" si="127"/>
        <v>0</v>
      </c>
      <c r="AE1145" s="326">
        <f t="shared" si="128"/>
        <v>0</v>
      </c>
      <c r="AF1145" s="310" t="s">
        <v>497</v>
      </c>
      <c r="AG1145" s="841"/>
      <c r="AH1145" s="744"/>
      <c r="AI1145" s="292"/>
      <c r="AJ1145" s="299"/>
      <c r="AK1145" s="300"/>
      <c r="AL1145" s="299"/>
      <c r="AM1145" s="299"/>
      <c r="AN1145" s="299"/>
      <c r="AO1145" s="299"/>
      <c r="AP1145" s="299"/>
      <c r="AQ1145" s="299"/>
      <c r="AR1145" s="299"/>
      <c r="AS1145" s="452"/>
      <c r="AT1145" s="299"/>
      <c r="AU1145" s="299"/>
      <c r="AV1145" s="299"/>
      <c r="AW1145" s="299"/>
      <c r="AX1145" s="299"/>
      <c r="AY1145" s="299"/>
      <c r="AZ1145" s="299"/>
      <c r="BA1145" s="299"/>
      <c r="BB1145" s="299"/>
      <c r="BC1145" s="299"/>
      <c r="BD1145" s="299"/>
      <c r="BE1145" s="299"/>
      <c r="BF1145" s="299"/>
      <c r="BG1145" s="299"/>
      <c r="BH1145" s="299"/>
      <c r="BI1145" s="299"/>
      <c r="BJ1145" s="299"/>
      <c r="BK1145" s="299"/>
      <c r="BL1145" s="299"/>
      <c r="BM1145" s="299"/>
      <c r="BN1145" s="299"/>
      <c r="BO1145" s="299"/>
      <c r="BP1145" s="299"/>
      <c r="BQ1145" s="299"/>
      <c r="BR1145" s="299"/>
      <c r="BS1145" s="299"/>
      <c r="BT1145" s="299"/>
      <c r="BU1145" s="299"/>
      <c r="BV1145" s="299"/>
      <c r="BW1145" s="299"/>
      <c r="BX1145" s="299"/>
      <c r="BY1145" s="299"/>
      <c r="BZ1145" s="299"/>
      <c r="CA1145" s="299"/>
      <c r="CB1145" s="299"/>
      <c r="CC1145" s="299"/>
      <c r="CD1145" s="299"/>
      <c r="CE1145" s="299"/>
      <c r="CF1145" s="299"/>
      <c r="CG1145" s="299"/>
      <c r="CH1145" s="299"/>
      <c r="CI1145" s="299"/>
      <c r="CJ1145" s="299"/>
      <c r="CK1145" s="299"/>
      <c r="CL1145" s="299"/>
      <c r="CM1145" s="299"/>
      <c r="CN1145" s="299"/>
      <c r="CO1145" s="299"/>
      <c r="CP1145" s="299"/>
      <c r="CQ1145" s="299"/>
      <c r="CR1145" s="299"/>
      <c r="CS1145" s="299"/>
      <c r="CT1145" s="299"/>
      <c r="CU1145" s="299"/>
      <c r="CV1145" s="299"/>
      <c r="CW1145" s="299"/>
      <c r="CX1145" s="299"/>
      <c r="CY1145" s="299"/>
      <c r="CZ1145" s="299"/>
      <c r="DA1145" s="299"/>
      <c r="DB1145" s="299"/>
      <c r="DC1145" s="299"/>
      <c r="DD1145" s="299"/>
      <c r="DE1145" s="299"/>
      <c r="DF1145" s="299"/>
      <c r="DG1145" s="299"/>
      <c r="DH1145" s="299"/>
      <c r="DI1145" s="299"/>
      <c r="DJ1145" s="299"/>
      <c r="DK1145" s="299"/>
      <c r="DL1145" s="299"/>
      <c r="DM1145" s="299"/>
      <c r="DN1145" s="299"/>
      <c r="DO1145" s="299"/>
      <c r="DP1145" s="299"/>
      <c r="DQ1145" s="299"/>
      <c r="DR1145" s="299"/>
      <c r="DS1145" s="299"/>
      <c r="DT1145" s="299"/>
      <c r="DU1145" s="299"/>
      <c r="DV1145" s="299"/>
      <c r="DW1145" s="299"/>
      <c r="DX1145" s="299"/>
      <c r="DY1145" s="299"/>
      <c r="DZ1145" s="299"/>
      <c r="EA1145" s="299"/>
      <c r="EB1145" s="299"/>
      <c r="EC1145" s="299"/>
      <c r="ED1145" s="299"/>
      <c r="EE1145" s="299"/>
      <c r="EF1145" s="299"/>
      <c r="EG1145" s="299"/>
      <c r="EH1145" s="299"/>
      <c r="EI1145" s="299"/>
      <c r="EJ1145" s="299"/>
      <c r="EK1145" s="299"/>
      <c r="EL1145" s="299"/>
      <c r="EM1145" s="299"/>
      <c r="EN1145" s="299"/>
      <c r="EO1145" s="299"/>
      <c r="EP1145" s="299"/>
      <c r="EQ1145" s="299"/>
      <c r="ER1145" s="299"/>
      <c r="ES1145" s="299"/>
      <c r="ET1145" s="299"/>
      <c r="EU1145" s="299"/>
      <c r="EV1145" s="299"/>
      <c r="EW1145" s="299"/>
      <c r="EX1145" s="299"/>
      <c r="EY1145" s="299"/>
      <c r="EZ1145" s="299"/>
      <c r="FA1145" s="299"/>
      <c r="FB1145" s="299"/>
      <c r="FC1145" s="299"/>
      <c r="FD1145" s="299"/>
      <c r="FE1145" s="299"/>
      <c r="FF1145" s="299"/>
      <c r="FG1145" s="299"/>
      <c r="FH1145" s="299"/>
      <c r="FI1145" s="299"/>
      <c r="FJ1145" s="299"/>
      <c r="FK1145" s="299"/>
      <c r="FL1145" s="299"/>
      <c r="FM1145" s="299"/>
      <c r="FN1145" s="299"/>
      <c r="FO1145" s="299"/>
      <c r="FP1145" s="299"/>
      <c r="FQ1145" s="299"/>
      <c r="FR1145" s="299"/>
      <c r="FS1145" s="299"/>
      <c r="FT1145" s="299"/>
      <c r="FU1145" s="299"/>
      <c r="FV1145" s="299"/>
      <c r="FW1145" s="299"/>
      <c r="FX1145" s="299"/>
      <c r="FY1145" s="299"/>
      <c r="FZ1145" s="299"/>
      <c r="GA1145" s="299"/>
      <c r="GB1145" s="299"/>
      <c r="GC1145" s="299"/>
      <c r="GD1145" s="299"/>
      <c r="GE1145" s="299"/>
      <c r="GF1145" s="299"/>
      <c r="GG1145" s="299"/>
      <c r="GH1145" s="299"/>
      <c r="GI1145" s="299"/>
      <c r="GJ1145" s="299"/>
      <c r="GK1145" s="299"/>
      <c r="GL1145" s="299"/>
      <c r="GM1145" s="299"/>
      <c r="GN1145" s="299"/>
      <c r="GO1145" s="299"/>
      <c r="GP1145" s="299"/>
      <c r="GQ1145" s="299"/>
      <c r="GR1145" s="299"/>
      <c r="GS1145" s="299"/>
      <c r="GT1145" s="299"/>
      <c r="GU1145" s="299"/>
      <c r="GV1145" s="299"/>
      <c r="GW1145" s="299"/>
      <c r="GX1145" s="299"/>
      <c r="GY1145" s="299"/>
      <c r="GZ1145" s="299"/>
      <c r="HA1145" s="299"/>
      <c r="HB1145" s="299"/>
      <c r="HC1145" s="299"/>
      <c r="HD1145" s="299"/>
      <c r="HE1145" s="299"/>
      <c r="HF1145" s="299"/>
    </row>
    <row r="1146" spans="1:214" s="298" customFormat="1" ht="27.6">
      <c r="A1146" s="318">
        <v>720</v>
      </c>
      <c r="B1146" s="317">
        <v>200</v>
      </c>
      <c r="C1146" s="317">
        <v>200</v>
      </c>
      <c r="D1146" s="316">
        <v>100</v>
      </c>
      <c r="E1146" s="316"/>
      <c r="F1146" s="316"/>
      <c r="G1146" s="315" t="s">
        <v>498</v>
      </c>
      <c r="H1146" s="314"/>
      <c r="I1146" s="311"/>
      <c r="J1146" s="311"/>
      <c r="K1146" s="311"/>
      <c r="L1146" s="311"/>
      <c r="M1146" s="311"/>
      <c r="N1146" s="312"/>
      <c r="O1146" s="314"/>
      <c r="P1146" s="311">
        <v>0</v>
      </c>
      <c r="Q1146" s="312"/>
      <c r="R1146" s="314">
        <v>963.61</v>
      </c>
      <c r="S1146" s="311"/>
      <c r="T1146" s="616"/>
      <c r="U1146" s="311">
        <v>963.61</v>
      </c>
      <c r="V1146" s="311"/>
      <c r="W1146" s="311"/>
      <c r="X1146" s="311"/>
      <c r="Y1146" s="1356">
        <f t="shared" si="122"/>
        <v>963.61</v>
      </c>
      <c r="Z1146" s="1357">
        <f t="shared" si="123"/>
        <v>0</v>
      </c>
      <c r="AA1146" s="311">
        <f t="shared" si="124"/>
        <v>0</v>
      </c>
      <c r="AB1146" s="311">
        <f t="shared" si="125"/>
        <v>963.61</v>
      </c>
      <c r="AC1146" s="311">
        <f t="shared" si="126"/>
        <v>0</v>
      </c>
      <c r="AD1146" s="311">
        <f t="shared" si="127"/>
        <v>0</v>
      </c>
      <c r="AE1146" s="311">
        <f t="shared" si="128"/>
        <v>0</v>
      </c>
      <c r="AF1146" s="310" t="s">
        <v>499</v>
      </c>
      <c r="AG1146" s="841"/>
      <c r="AH1146" s="744"/>
      <c r="AI1146" s="292"/>
      <c r="AJ1146" s="299"/>
      <c r="AK1146" s="300"/>
      <c r="AL1146" s="299"/>
      <c r="AM1146" s="299"/>
      <c r="AN1146" s="299"/>
      <c r="AO1146" s="299"/>
      <c r="AP1146" s="299"/>
      <c r="AQ1146" s="299"/>
      <c r="AR1146" s="299"/>
      <c r="AS1146" s="452"/>
      <c r="AT1146" s="299"/>
      <c r="AU1146" s="299"/>
      <c r="AV1146" s="299"/>
      <c r="AW1146" s="299"/>
      <c r="AX1146" s="299"/>
      <c r="AY1146" s="299"/>
      <c r="AZ1146" s="299"/>
      <c r="BA1146" s="299"/>
      <c r="BB1146" s="299"/>
      <c r="BC1146" s="299"/>
      <c r="BD1146" s="299"/>
      <c r="BE1146" s="299"/>
      <c r="BF1146" s="299"/>
      <c r="BG1146" s="299"/>
      <c r="BH1146" s="299"/>
      <c r="BI1146" s="299"/>
      <c r="BJ1146" s="299"/>
      <c r="BK1146" s="299"/>
      <c r="BL1146" s="299"/>
      <c r="BM1146" s="299"/>
      <c r="BN1146" s="299"/>
      <c r="BO1146" s="299"/>
      <c r="BP1146" s="299"/>
      <c r="BQ1146" s="299"/>
      <c r="BR1146" s="299"/>
      <c r="BS1146" s="299"/>
      <c r="BT1146" s="299"/>
      <c r="BU1146" s="299"/>
      <c r="BV1146" s="299"/>
      <c r="BW1146" s="299"/>
      <c r="BX1146" s="299"/>
      <c r="BY1146" s="299"/>
      <c r="BZ1146" s="299"/>
      <c r="CA1146" s="299"/>
      <c r="CB1146" s="299"/>
      <c r="CC1146" s="299"/>
      <c r="CD1146" s="299"/>
      <c r="CE1146" s="299"/>
      <c r="CF1146" s="299"/>
      <c r="CG1146" s="299"/>
      <c r="CH1146" s="299"/>
      <c r="CI1146" s="299"/>
      <c r="CJ1146" s="299"/>
      <c r="CK1146" s="299"/>
      <c r="CL1146" s="299"/>
      <c r="CM1146" s="299"/>
      <c r="CN1146" s="299"/>
      <c r="CO1146" s="299"/>
      <c r="CP1146" s="299"/>
      <c r="CQ1146" s="299"/>
      <c r="CR1146" s="299"/>
      <c r="CS1146" s="299"/>
      <c r="CT1146" s="299"/>
      <c r="CU1146" s="299"/>
      <c r="CV1146" s="299"/>
      <c r="CW1146" s="299"/>
      <c r="CX1146" s="299"/>
      <c r="CY1146" s="299"/>
      <c r="CZ1146" s="299"/>
      <c r="DA1146" s="299"/>
      <c r="DB1146" s="299"/>
      <c r="DC1146" s="299"/>
      <c r="DD1146" s="299"/>
      <c r="DE1146" s="299"/>
      <c r="DF1146" s="299"/>
      <c r="DG1146" s="299"/>
      <c r="DH1146" s="299"/>
      <c r="DI1146" s="299"/>
      <c r="DJ1146" s="299"/>
      <c r="DK1146" s="299"/>
      <c r="DL1146" s="299"/>
      <c r="DM1146" s="299"/>
      <c r="DN1146" s="299"/>
      <c r="DO1146" s="299"/>
      <c r="DP1146" s="299"/>
      <c r="DQ1146" s="299"/>
      <c r="DR1146" s="299"/>
      <c r="DS1146" s="299"/>
      <c r="DT1146" s="299"/>
      <c r="DU1146" s="299"/>
      <c r="DV1146" s="299"/>
      <c r="DW1146" s="299"/>
      <c r="DX1146" s="299"/>
      <c r="DY1146" s="299"/>
      <c r="DZ1146" s="299"/>
      <c r="EA1146" s="299"/>
      <c r="EB1146" s="299"/>
      <c r="EC1146" s="299"/>
      <c r="ED1146" s="299"/>
      <c r="EE1146" s="299"/>
      <c r="EF1146" s="299"/>
      <c r="EG1146" s="299"/>
      <c r="EH1146" s="299"/>
      <c r="EI1146" s="299"/>
      <c r="EJ1146" s="299"/>
      <c r="EK1146" s="299"/>
      <c r="EL1146" s="299"/>
      <c r="EM1146" s="299"/>
      <c r="EN1146" s="299"/>
      <c r="EO1146" s="299"/>
      <c r="EP1146" s="299"/>
      <c r="EQ1146" s="299"/>
      <c r="ER1146" s="299"/>
      <c r="ES1146" s="299"/>
      <c r="ET1146" s="299"/>
      <c r="EU1146" s="299"/>
      <c r="EV1146" s="299"/>
      <c r="EW1146" s="299"/>
      <c r="EX1146" s="299"/>
      <c r="EY1146" s="299"/>
      <c r="EZ1146" s="299"/>
      <c r="FA1146" s="299"/>
      <c r="FB1146" s="299"/>
      <c r="FC1146" s="299"/>
      <c r="FD1146" s="299"/>
      <c r="FE1146" s="299"/>
      <c r="FF1146" s="299"/>
      <c r="FG1146" s="299"/>
      <c r="FH1146" s="299"/>
      <c r="FI1146" s="299"/>
      <c r="FJ1146" s="299"/>
      <c r="FK1146" s="299"/>
      <c r="FL1146" s="299"/>
      <c r="FM1146" s="299"/>
      <c r="FN1146" s="299"/>
      <c r="FO1146" s="299"/>
      <c r="FP1146" s="299"/>
      <c r="FQ1146" s="299"/>
      <c r="FR1146" s="299"/>
      <c r="FS1146" s="299"/>
      <c r="FT1146" s="299"/>
      <c r="FU1146" s="299"/>
      <c r="FV1146" s="299"/>
      <c r="FW1146" s="299"/>
      <c r="FX1146" s="299"/>
      <c r="FY1146" s="299"/>
      <c r="FZ1146" s="299"/>
      <c r="GA1146" s="299"/>
      <c r="GB1146" s="299"/>
      <c r="GC1146" s="299"/>
      <c r="GD1146" s="299"/>
      <c r="GE1146" s="299"/>
      <c r="GF1146" s="299"/>
      <c r="GG1146" s="299"/>
      <c r="GH1146" s="299"/>
      <c r="GI1146" s="299"/>
      <c r="GJ1146" s="299"/>
      <c r="GK1146" s="299"/>
      <c r="GL1146" s="299"/>
      <c r="GM1146" s="299"/>
      <c r="GN1146" s="299"/>
      <c r="GO1146" s="299"/>
      <c r="GP1146" s="299"/>
      <c r="GQ1146" s="299"/>
      <c r="GR1146" s="299"/>
      <c r="GS1146" s="299"/>
      <c r="GT1146" s="299"/>
      <c r="GU1146" s="299"/>
      <c r="GV1146" s="299"/>
      <c r="GW1146" s="299"/>
      <c r="GX1146" s="299"/>
      <c r="GY1146" s="299"/>
      <c r="GZ1146" s="299"/>
      <c r="HA1146" s="299"/>
      <c r="HB1146" s="299"/>
      <c r="HC1146" s="299"/>
      <c r="HD1146" s="299"/>
      <c r="HE1146" s="299"/>
      <c r="HF1146" s="299"/>
    </row>
    <row r="1147" spans="1:214" s="299" customFormat="1">
      <c r="A1147" s="318">
        <v>720</v>
      </c>
      <c r="B1147" s="317">
        <v>200</v>
      </c>
      <c r="C1147" s="317">
        <v>200</v>
      </c>
      <c r="D1147" s="317">
        <v>200</v>
      </c>
      <c r="E1147" s="317"/>
      <c r="F1147" s="317"/>
      <c r="G1147" s="323" t="s">
        <v>500</v>
      </c>
      <c r="H1147" s="322"/>
      <c r="I1147" s="320"/>
      <c r="J1147" s="320"/>
      <c r="K1147" s="320"/>
      <c r="L1147" s="320"/>
      <c r="M1147" s="320"/>
      <c r="N1147" s="321"/>
      <c r="O1147" s="322"/>
      <c r="P1147" s="320">
        <v>0</v>
      </c>
      <c r="Q1147" s="321"/>
      <c r="R1147" s="322"/>
      <c r="S1147" s="320"/>
      <c r="T1147" s="617"/>
      <c r="U1147" s="320">
        <v>0</v>
      </c>
      <c r="V1147" s="320"/>
      <c r="W1147" s="320"/>
      <c r="X1147" s="320"/>
      <c r="Y1147" s="1392">
        <f t="shared" si="122"/>
        <v>0</v>
      </c>
      <c r="Z1147" s="1389">
        <f t="shared" si="123"/>
        <v>0</v>
      </c>
      <c r="AA1147" s="320">
        <f t="shared" si="124"/>
        <v>0</v>
      </c>
      <c r="AB1147" s="320">
        <f t="shared" si="125"/>
        <v>0</v>
      </c>
      <c r="AC1147" s="320">
        <f t="shared" si="126"/>
        <v>0</v>
      </c>
      <c r="AD1147" s="320">
        <f t="shared" si="127"/>
        <v>0</v>
      </c>
      <c r="AE1147" s="320">
        <f t="shared" si="128"/>
        <v>0</v>
      </c>
      <c r="AF1147" s="310" t="s">
        <v>501</v>
      </c>
      <c r="AG1147" s="841"/>
      <c r="AH1147" s="744"/>
      <c r="AI1147" s="292"/>
      <c r="AK1147" s="300"/>
      <c r="AS1147" s="452"/>
    </row>
    <row r="1148" spans="1:214" s="298" customFormat="1" ht="27.6">
      <c r="A1148" s="318">
        <v>720</v>
      </c>
      <c r="B1148" s="317">
        <v>200</v>
      </c>
      <c r="C1148" s="317">
        <v>200</v>
      </c>
      <c r="D1148" s="317">
        <v>200</v>
      </c>
      <c r="E1148" s="316">
        <v>10</v>
      </c>
      <c r="F1148" s="325"/>
      <c r="G1148" s="315" t="s">
        <v>502</v>
      </c>
      <c r="H1148" s="314"/>
      <c r="I1148" s="311"/>
      <c r="J1148" s="311"/>
      <c r="K1148" s="311"/>
      <c r="L1148" s="311"/>
      <c r="M1148" s="311"/>
      <c r="N1148" s="312"/>
      <c r="O1148" s="314"/>
      <c r="P1148" s="311">
        <v>0</v>
      </c>
      <c r="Q1148" s="312"/>
      <c r="R1148" s="314"/>
      <c r="S1148" s="311"/>
      <c r="T1148" s="616"/>
      <c r="U1148" s="311">
        <v>0</v>
      </c>
      <c r="V1148" s="311"/>
      <c r="W1148" s="311"/>
      <c r="X1148" s="311"/>
      <c r="Y1148" s="1356">
        <f t="shared" si="122"/>
        <v>0</v>
      </c>
      <c r="Z1148" s="1357">
        <f t="shared" si="123"/>
        <v>0</v>
      </c>
      <c r="AA1148" s="311">
        <f t="shared" si="124"/>
        <v>0</v>
      </c>
      <c r="AB1148" s="311">
        <f t="shared" si="125"/>
        <v>0</v>
      </c>
      <c r="AC1148" s="311">
        <f t="shared" si="126"/>
        <v>0</v>
      </c>
      <c r="AD1148" s="311">
        <f t="shared" si="127"/>
        <v>0</v>
      </c>
      <c r="AE1148" s="311">
        <f t="shared" si="128"/>
        <v>0</v>
      </c>
      <c r="AF1148" s="310" t="s">
        <v>503</v>
      </c>
      <c r="AG1148" s="841"/>
      <c r="AH1148" s="744"/>
      <c r="AI1148" s="292"/>
      <c r="AJ1148" s="299"/>
      <c r="AK1148" s="300"/>
      <c r="AL1148" s="299"/>
      <c r="AM1148" s="299"/>
      <c r="AN1148" s="299"/>
      <c r="AO1148" s="299"/>
      <c r="AP1148" s="299"/>
      <c r="AQ1148" s="299"/>
      <c r="AR1148" s="299"/>
      <c r="AS1148" s="452"/>
      <c r="AT1148" s="299"/>
      <c r="AU1148" s="299"/>
      <c r="AV1148" s="299"/>
      <c r="AW1148" s="299"/>
      <c r="AX1148" s="299"/>
      <c r="AY1148" s="299"/>
      <c r="AZ1148" s="299"/>
      <c r="BA1148" s="299"/>
      <c r="BB1148" s="299"/>
      <c r="BC1148" s="299"/>
      <c r="BD1148" s="299"/>
      <c r="BE1148" s="299"/>
      <c r="BF1148" s="299"/>
      <c r="BG1148" s="299"/>
      <c r="BH1148" s="299"/>
      <c r="BI1148" s="299"/>
      <c r="BJ1148" s="299"/>
      <c r="BK1148" s="299"/>
      <c r="BL1148" s="299"/>
      <c r="BM1148" s="299"/>
      <c r="BN1148" s="299"/>
      <c r="BO1148" s="299"/>
      <c r="BP1148" s="299"/>
      <c r="BQ1148" s="299"/>
      <c r="BR1148" s="299"/>
      <c r="BS1148" s="299"/>
      <c r="BT1148" s="299"/>
      <c r="BU1148" s="299"/>
      <c r="BV1148" s="299"/>
      <c r="BW1148" s="299"/>
      <c r="BX1148" s="299"/>
      <c r="BY1148" s="299"/>
      <c r="BZ1148" s="299"/>
      <c r="CA1148" s="299"/>
      <c r="CB1148" s="299"/>
      <c r="CC1148" s="299"/>
      <c r="CD1148" s="299"/>
      <c r="CE1148" s="299"/>
      <c r="CF1148" s="299"/>
      <c r="CG1148" s="299"/>
      <c r="CH1148" s="299"/>
      <c r="CI1148" s="299"/>
      <c r="CJ1148" s="299"/>
      <c r="CK1148" s="299"/>
      <c r="CL1148" s="299"/>
      <c r="CM1148" s="299"/>
      <c r="CN1148" s="299"/>
      <c r="CO1148" s="299"/>
      <c r="CP1148" s="299"/>
      <c r="CQ1148" s="299"/>
      <c r="CR1148" s="299"/>
      <c r="CS1148" s="299"/>
      <c r="CT1148" s="299"/>
      <c r="CU1148" s="299"/>
      <c r="CV1148" s="299"/>
      <c r="CW1148" s="299"/>
      <c r="CX1148" s="299"/>
      <c r="CY1148" s="299"/>
      <c r="CZ1148" s="299"/>
      <c r="DA1148" s="299"/>
      <c r="DB1148" s="299"/>
      <c r="DC1148" s="299"/>
      <c r="DD1148" s="299"/>
      <c r="DE1148" s="299"/>
      <c r="DF1148" s="299"/>
      <c r="DG1148" s="299"/>
      <c r="DH1148" s="299"/>
      <c r="DI1148" s="299"/>
      <c r="DJ1148" s="299"/>
      <c r="DK1148" s="299"/>
      <c r="DL1148" s="299"/>
      <c r="DM1148" s="299"/>
      <c r="DN1148" s="299"/>
      <c r="DO1148" s="299"/>
      <c r="DP1148" s="299"/>
      <c r="DQ1148" s="299"/>
      <c r="DR1148" s="299"/>
      <c r="DS1148" s="299"/>
      <c r="DT1148" s="299"/>
      <c r="DU1148" s="299"/>
      <c r="DV1148" s="299"/>
      <c r="DW1148" s="299"/>
      <c r="DX1148" s="299"/>
      <c r="DY1148" s="299"/>
      <c r="DZ1148" s="299"/>
      <c r="EA1148" s="299"/>
      <c r="EB1148" s="299"/>
      <c r="EC1148" s="299"/>
      <c r="ED1148" s="299"/>
      <c r="EE1148" s="299"/>
      <c r="EF1148" s="299"/>
      <c r="EG1148" s="299"/>
      <c r="EH1148" s="299"/>
      <c r="EI1148" s="299"/>
      <c r="EJ1148" s="299"/>
      <c r="EK1148" s="299"/>
      <c r="EL1148" s="299"/>
      <c r="EM1148" s="299"/>
      <c r="EN1148" s="299"/>
      <c r="EO1148" s="299"/>
      <c r="EP1148" s="299"/>
      <c r="EQ1148" s="299"/>
      <c r="ER1148" s="299"/>
      <c r="ES1148" s="299"/>
      <c r="ET1148" s="299"/>
      <c r="EU1148" s="299"/>
      <c r="EV1148" s="299"/>
      <c r="EW1148" s="299"/>
      <c r="EX1148" s="299"/>
      <c r="EY1148" s="299"/>
      <c r="EZ1148" s="299"/>
      <c r="FA1148" s="299"/>
      <c r="FB1148" s="299"/>
      <c r="FC1148" s="299"/>
      <c r="FD1148" s="299"/>
      <c r="FE1148" s="299"/>
      <c r="FF1148" s="299"/>
      <c r="FG1148" s="299"/>
      <c r="FH1148" s="299"/>
      <c r="FI1148" s="299"/>
      <c r="FJ1148" s="299"/>
      <c r="FK1148" s="299"/>
      <c r="FL1148" s="299"/>
      <c r="FM1148" s="299"/>
      <c r="FN1148" s="299"/>
      <c r="FO1148" s="299"/>
      <c r="FP1148" s="299"/>
      <c r="FQ1148" s="299"/>
      <c r="FR1148" s="299"/>
      <c r="FS1148" s="299"/>
      <c r="FT1148" s="299"/>
      <c r="FU1148" s="299"/>
      <c r="FV1148" s="299"/>
      <c r="FW1148" s="299"/>
      <c r="FX1148" s="299"/>
      <c r="FY1148" s="299"/>
      <c r="FZ1148" s="299"/>
      <c r="GA1148" s="299"/>
      <c r="GB1148" s="299"/>
      <c r="GC1148" s="299"/>
      <c r="GD1148" s="299"/>
      <c r="GE1148" s="299"/>
      <c r="GF1148" s="299"/>
      <c r="GG1148" s="299"/>
      <c r="GH1148" s="299"/>
      <c r="GI1148" s="299"/>
      <c r="GJ1148" s="299"/>
      <c r="GK1148" s="299"/>
      <c r="GL1148" s="299"/>
      <c r="GM1148" s="299"/>
      <c r="GN1148" s="299"/>
      <c r="GO1148" s="299"/>
      <c r="GP1148" s="299"/>
      <c r="GQ1148" s="299"/>
      <c r="GR1148" s="299"/>
      <c r="GS1148" s="299"/>
      <c r="GT1148" s="299"/>
      <c r="GU1148" s="299"/>
      <c r="GV1148" s="299"/>
      <c r="GW1148" s="299"/>
      <c r="GX1148" s="299"/>
      <c r="GY1148" s="299"/>
      <c r="GZ1148" s="299"/>
      <c r="HA1148" s="299"/>
      <c r="HB1148" s="299"/>
      <c r="HC1148" s="299"/>
      <c r="HD1148" s="299"/>
      <c r="HE1148" s="299"/>
      <c r="HF1148" s="299"/>
    </row>
    <row r="1149" spans="1:214" s="298" customFormat="1" ht="27.6">
      <c r="A1149" s="318">
        <v>720</v>
      </c>
      <c r="B1149" s="317">
        <v>200</v>
      </c>
      <c r="C1149" s="317">
        <v>200</v>
      </c>
      <c r="D1149" s="317">
        <v>200</v>
      </c>
      <c r="E1149" s="316">
        <v>20</v>
      </c>
      <c r="F1149" s="325"/>
      <c r="G1149" s="315" t="s">
        <v>504</v>
      </c>
      <c r="H1149" s="314"/>
      <c r="I1149" s="311"/>
      <c r="J1149" s="311"/>
      <c r="K1149" s="311"/>
      <c r="L1149" s="311"/>
      <c r="M1149" s="311"/>
      <c r="N1149" s="312"/>
      <c r="O1149" s="314"/>
      <c r="P1149" s="311">
        <v>0</v>
      </c>
      <c r="Q1149" s="312"/>
      <c r="R1149" s="314">
        <v>16379.67</v>
      </c>
      <c r="S1149" s="311"/>
      <c r="T1149" s="616"/>
      <c r="U1149" s="311">
        <v>15655.87</v>
      </c>
      <c r="V1149" s="311"/>
      <c r="W1149" s="311"/>
      <c r="X1149" s="311"/>
      <c r="Y1149" s="1356">
        <f t="shared" si="122"/>
        <v>16379.67</v>
      </c>
      <c r="Z1149" s="1357">
        <f t="shared" si="123"/>
        <v>0</v>
      </c>
      <c r="AA1149" s="311">
        <f t="shared" si="124"/>
        <v>0</v>
      </c>
      <c r="AB1149" s="311">
        <f t="shared" si="125"/>
        <v>15655.87</v>
      </c>
      <c r="AC1149" s="311">
        <f t="shared" si="126"/>
        <v>0</v>
      </c>
      <c r="AD1149" s="311">
        <f t="shared" si="127"/>
        <v>0</v>
      </c>
      <c r="AE1149" s="311">
        <f t="shared" si="128"/>
        <v>0</v>
      </c>
      <c r="AF1149" s="310" t="s">
        <v>505</v>
      </c>
      <c r="AG1149" s="841"/>
      <c r="AH1149" s="744"/>
      <c r="AI1149" s="292"/>
      <c r="AJ1149" s="299"/>
      <c r="AK1149" s="300"/>
      <c r="AL1149" s="299"/>
      <c r="AM1149" s="299"/>
      <c r="AN1149" s="299"/>
      <c r="AO1149" s="299"/>
      <c r="AP1149" s="299"/>
      <c r="AQ1149" s="299"/>
      <c r="AR1149" s="299"/>
      <c r="AS1149" s="452"/>
      <c r="AT1149" s="299"/>
      <c r="AU1149" s="299"/>
      <c r="AV1149" s="299"/>
      <c r="AW1149" s="299"/>
      <c r="AX1149" s="299"/>
      <c r="AY1149" s="299"/>
      <c r="AZ1149" s="299"/>
      <c r="BA1149" s="299"/>
      <c r="BB1149" s="299"/>
      <c r="BC1149" s="299"/>
      <c r="BD1149" s="299"/>
      <c r="BE1149" s="299"/>
      <c r="BF1149" s="299"/>
      <c r="BG1149" s="299"/>
      <c r="BH1149" s="299"/>
      <c r="BI1149" s="299"/>
      <c r="BJ1149" s="299"/>
      <c r="BK1149" s="299"/>
      <c r="BL1149" s="299"/>
      <c r="BM1149" s="299"/>
      <c r="BN1149" s="299"/>
      <c r="BO1149" s="299"/>
      <c r="BP1149" s="299"/>
      <c r="BQ1149" s="299"/>
      <c r="BR1149" s="299"/>
      <c r="BS1149" s="299"/>
      <c r="BT1149" s="299"/>
      <c r="BU1149" s="299"/>
      <c r="BV1149" s="299"/>
      <c r="BW1149" s="299"/>
      <c r="BX1149" s="299"/>
      <c r="BY1149" s="299"/>
      <c r="BZ1149" s="299"/>
      <c r="CA1149" s="299"/>
      <c r="CB1149" s="299"/>
      <c r="CC1149" s="299"/>
      <c r="CD1149" s="299"/>
      <c r="CE1149" s="299"/>
      <c r="CF1149" s="299"/>
      <c r="CG1149" s="299"/>
      <c r="CH1149" s="299"/>
      <c r="CI1149" s="299"/>
      <c r="CJ1149" s="299"/>
      <c r="CK1149" s="299"/>
      <c r="CL1149" s="299"/>
      <c r="CM1149" s="299"/>
      <c r="CN1149" s="299"/>
      <c r="CO1149" s="299"/>
      <c r="CP1149" s="299"/>
      <c r="CQ1149" s="299"/>
      <c r="CR1149" s="299"/>
      <c r="CS1149" s="299"/>
      <c r="CT1149" s="299"/>
      <c r="CU1149" s="299"/>
      <c r="CV1149" s="299"/>
      <c r="CW1149" s="299"/>
      <c r="CX1149" s="299"/>
      <c r="CY1149" s="299"/>
      <c r="CZ1149" s="299"/>
      <c r="DA1149" s="299"/>
      <c r="DB1149" s="299"/>
      <c r="DC1149" s="299"/>
      <c r="DD1149" s="299"/>
      <c r="DE1149" s="299"/>
      <c r="DF1149" s="299"/>
      <c r="DG1149" s="299"/>
      <c r="DH1149" s="299"/>
      <c r="DI1149" s="299"/>
      <c r="DJ1149" s="299"/>
      <c r="DK1149" s="299"/>
      <c r="DL1149" s="299"/>
      <c r="DM1149" s="299"/>
      <c r="DN1149" s="299"/>
      <c r="DO1149" s="299"/>
      <c r="DP1149" s="299"/>
      <c r="DQ1149" s="299"/>
      <c r="DR1149" s="299"/>
      <c r="DS1149" s="299"/>
      <c r="DT1149" s="299"/>
      <c r="DU1149" s="299"/>
      <c r="DV1149" s="299"/>
      <c r="DW1149" s="299"/>
      <c r="DX1149" s="299"/>
      <c r="DY1149" s="299"/>
      <c r="DZ1149" s="299"/>
      <c r="EA1149" s="299"/>
      <c r="EB1149" s="299"/>
      <c r="EC1149" s="299"/>
      <c r="ED1149" s="299"/>
      <c r="EE1149" s="299"/>
      <c r="EF1149" s="299"/>
      <c r="EG1149" s="299"/>
      <c r="EH1149" s="299"/>
      <c r="EI1149" s="299"/>
      <c r="EJ1149" s="299"/>
      <c r="EK1149" s="299"/>
      <c r="EL1149" s="299"/>
      <c r="EM1149" s="299"/>
      <c r="EN1149" s="299"/>
      <c r="EO1149" s="299"/>
      <c r="EP1149" s="299"/>
      <c r="EQ1149" s="299"/>
      <c r="ER1149" s="299"/>
      <c r="ES1149" s="299"/>
      <c r="ET1149" s="299"/>
      <c r="EU1149" s="299"/>
      <c r="EV1149" s="299"/>
      <c r="EW1149" s="299"/>
      <c r="EX1149" s="299"/>
      <c r="EY1149" s="299"/>
      <c r="EZ1149" s="299"/>
      <c r="FA1149" s="299"/>
      <c r="FB1149" s="299"/>
      <c r="FC1149" s="299"/>
      <c r="FD1149" s="299"/>
      <c r="FE1149" s="299"/>
      <c r="FF1149" s="299"/>
      <c r="FG1149" s="299"/>
      <c r="FH1149" s="299"/>
      <c r="FI1149" s="299"/>
      <c r="FJ1149" s="299"/>
      <c r="FK1149" s="299"/>
      <c r="FL1149" s="299"/>
      <c r="FM1149" s="299"/>
      <c r="FN1149" s="299"/>
      <c r="FO1149" s="299"/>
      <c r="FP1149" s="299"/>
      <c r="FQ1149" s="299"/>
      <c r="FR1149" s="299"/>
      <c r="FS1149" s="299"/>
      <c r="FT1149" s="299"/>
      <c r="FU1149" s="299"/>
      <c r="FV1149" s="299"/>
      <c r="FW1149" s="299"/>
      <c r="FX1149" s="299"/>
      <c r="FY1149" s="299"/>
      <c r="FZ1149" s="299"/>
      <c r="GA1149" s="299"/>
      <c r="GB1149" s="299"/>
      <c r="GC1149" s="299"/>
      <c r="GD1149" s="299"/>
      <c r="GE1149" s="299"/>
      <c r="GF1149" s="299"/>
      <c r="GG1149" s="299"/>
      <c r="GH1149" s="299"/>
      <c r="GI1149" s="299"/>
      <c r="GJ1149" s="299"/>
      <c r="GK1149" s="299"/>
      <c r="GL1149" s="299"/>
      <c r="GM1149" s="299"/>
      <c r="GN1149" s="299"/>
      <c r="GO1149" s="299"/>
      <c r="GP1149" s="299"/>
      <c r="GQ1149" s="299"/>
      <c r="GR1149" s="299"/>
      <c r="GS1149" s="299"/>
      <c r="GT1149" s="299"/>
      <c r="GU1149" s="299"/>
      <c r="GV1149" s="299"/>
      <c r="GW1149" s="299"/>
      <c r="GX1149" s="299"/>
      <c r="GY1149" s="299"/>
      <c r="GZ1149" s="299"/>
      <c r="HA1149" s="299"/>
      <c r="HB1149" s="299"/>
      <c r="HC1149" s="299"/>
      <c r="HD1149" s="299"/>
      <c r="HE1149" s="299"/>
      <c r="HF1149" s="299"/>
    </row>
    <row r="1150" spans="1:214" s="298" customFormat="1" ht="41.4">
      <c r="A1150" s="318">
        <v>720</v>
      </c>
      <c r="B1150" s="317">
        <v>200</v>
      </c>
      <c r="C1150" s="317">
        <v>200</v>
      </c>
      <c r="D1150" s="317">
        <v>200</v>
      </c>
      <c r="E1150" s="316">
        <v>30</v>
      </c>
      <c r="F1150" s="325"/>
      <c r="G1150" s="315" t="s">
        <v>506</v>
      </c>
      <c r="H1150" s="314"/>
      <c r="I1150" s="311"/>
      <c r="J1150" s="311"/>
      <c r="K1150" s="311"/>
      <c r="L1150" s="311"/>
      <c r="M1150" s="311"/>
      <c r="N1150" s="312"/>
      <c r="O1150" s="314"/>
      <c r="P1150" s="311">
        <v>0</v>
      </c>
      <c r="Q1150" s="312"/>
      <c r="R1150" s="314"/>
      <c r="S1150" s="311"/>
      <c r="T1150" s="616"/>
      <c r="U1150" s="311">
        <v>0</v>
      </c>
      <c r="V1150" s="311"/>
      <c r="W1150" s="311"/>
      <c r="X1150" s="311"/>
      <c r="Y1150" s="1356">
        <f t="shared" si="122"/>
        <v>0</v>
      </c>
      <c r="Z1150" s="1357">
        <f t="shared" si="123"/>
        <v>0</v>
      </c>
      <c r="AA1150" s="311">
        <f t="shared" si="124"/>
        <v>0</v>
      </c>
      <c r="AB1150" s="311">
        <f t="shared" si="125"/>
        <v>0</v>
      </c>
      <c r="AC1150" s="311">
        <f t="shared" si="126"/>
        <v>0</v>
      </c>
      <c r="AD1150" s="311">
        <f t="shared" si="127"/>
        <v>0</v>
      </c>
      <c r="AE1150" s="311">
        <f t="shared" si="128"/>
        <v>0</v>
      </c>
      <c r="AF1150" s="310" t="s">
        <v>507</v>
      </c>
      <c r="AG1150" s="841"/>
      <c r="AH1150" s="744"/>
      <c r="AI1150" s="292"/>
      <c r="AJ1150" s="299"/>
      <c r="AK1150" s="300"/>
      <c r="AL1150" s="299"/>
      <c r="AM1150" s="299"/>
      <c r="AN1150" s="299"/>
      <c r="AO1150" s="299"/>
      <c r="AP1150" s="299"/>
      <c r="AQ1150" s="299"/>
      <c r="AR1150" s="299"/>
      <c r="AS1150" s="452"/>
      <c r="AT1150" s="299"/>
      <c r="AU1150" s="299"/>
      <c r="AV1150" s="299"/>
      <c r="AW1150" s="299"/>
      <c r="AX1150" s="299"/>
      <c r="AY1150" s="299"/>
      <c r="AZ1150" s="299"/>
      <c r="BA1150" s="299"/>
      <c r="BB1150" s="299"/>
      <c r="BC1150" s="299"/>
      <c r="BD1150" s="299"/>
      <c r="BE1150" s="299"/>
      <c r="BF1150" s="299"/>
      <c r="BG1150" s="299"/>
      <c r="BH1150" s="299"/>
      <c r="BI1150" s="299"/>
      <c r="BJ1150" s="299"/>
      <c r="BK1150" s="299"/>
      <c r="BL1150" s="299"/>
      <c r="BM1150" s="299"/>
      <c r="BN1150" s="299"/>
      <c r="BO1150" s="299"/>
      <c r="BP1150" s="299"/>
      <c r="BQ1150" s="299"/>
      <c r="BR1150" s="299"/>
      <c r="BS1150" s="299"/>
      <c r="BT1150" s="299"/>
      <c r="BU1150" s="299"/>
      <c r="BV1150" s="299"/>
      <c r="BW1150" s="299"/>
      <c r="BX1150" s="299"/>
      <c r="BY1150" s="299"/>
      <c r="BZ1150" s="299"/>
      <c r="CA1150" s="299"/>
      <c r="CB1150" s="299"/>
      <c r="CC1150" s="299"/>
      <c r="CD1150" s="299"/>
      <c r="CE1150" s="299"/>
      <c r="CF1150" s="299"/>
      <c r="CG1150" s="299"/>
      <c r="CH1150" s="299"/>
      <c r="CI1150" s="299"/>
      <c r="CJ1150" s="299"/>
      <c r="CK1150" s="299"/>
      <c r="CL1150" s="299"/>
      <c r="CM1150" s="299"/>
      <c r="CN1150" s="299"/>
      <c r="CO1150" s="299"/>
      <c r="CP1150" s="299"/>
      <c r="CQ1150" s="299"/>
      <c r="CR1150" s="299"/>
      <c r="CS1150" s="299"/>
      <c r="CT1150" s="299"/>
      <c r="CU1150" s="299"/>
      <c r="CV1150" s="299"/>
      <c r="CW1150" s="299"/>
      <c r="CX1150" s="299"/>
      <c r="CY1150" s="299"/>
      <c r="CZ1150" s="299"/>
      <c r="DA1150" s="299"/>
      <c r="DB1150" s="299"/>
      <c r="DC1150" s="299"/>
      <c r="DD1150" s="299"/>
      <c r="DE1150" s="299"/>
      <c r="DF1150" s="299"/>
      <c r="DG1150" s="299"/>
      <c r="DH1150" s="299"/>
      <c r="DI1150" s="299"/>
      <c r="DJ1150" s="299"/>
      <c r="DK1150" s="299"/>
      <c r="DL1150" s="299"/>
      <c r="DM1150" s="299"/>
      <c r="DN1150" s="299"/>
      <c r="DO1150" s="299"/>
      <c r="DP1150" s="299"/>
      <c r="DQ1150" s="299"/>
      <c r="DR1150" s="299"/>
      <c r="DS1150" s="299"/>
      <c r="DT1150" s="299"/>
      <c r="DU1150" s="299"/>
      <c r="DV1150" s="299"/>
      <c r="DW1150" s="299"/>
      <c r="DX1150" s="299"/>
      <c r="DY1150" s="299"/>
      <c r="DZ1150" s="299"/>
      <c r="EA1150" s="299"/>
      <c r="EB1150" s="299"/>
      <c r="EC1150" s="299"/>
      <c r="ED1150" s="299"/>
      <c r="EE1150" s="299"/>
      <c r="EF1150" s="299"/>
      <c r="EG1150" s="299"/>
      <c r="EH1150" s="299"/>
      <c r="EI1150" s="299"/>
      <c r="EJ1150" s="299"/>
      <c r="EK1150" s="299"/>
      <c r="EL1150" s="299"/>
      <c r="EM1150" s="299"/>
      <c r="EN1150" s="299"/>
      <c r="EO1150" s="299"/>
      <c r="EP1150" s="299"/>
      <c r="EQ1150" s="299"/>
      <c r="ER1150" s="299"/>
      <c r="ES1150" s="299"/>
      <c r="ET1150" s="299"/>
      <c r="EU1150" s="299"/>
      <c r="EV1150" s="299"/>
      <c r="EW1150" s="299"/>
      <c r="EX1150" s="299"/>
      <c r="EY1150" s="299"/>
      <c r="EZ1150" s="299"/>
      <c r="FA1150" s="299"/>
      <c r="FB1150" s="299"/>
      <c r="FC1150" s="299"/>
      <c r="FD1150" s="299"/>
      <c r="FE1150" s="299"/>
      <c r="FF1150" s="299"/>
      <c r="FG1150" s="299"/>
      <c r="FH1150" s="299"/>
      <c r="FI1150" s="299"/>
      <c r="FJ1150" s="299"/>
      <c r="FK1150" s="299"/>
      <c r="FL1150" s="299"/>
      <c r="FM1150" s="299"/>
      <c r="FN1150" s="299"/>
      <c r="FO1150" s="299"/>
      <c r="FP1150" s="299"/>
      <c r="FQ1150" s="299"/>
      <c r="FR1150" s="299"/>
      <c r="FS1150" s="299"/>
      <c r="FT1150" s="299"/>
      <c r="FU1150" s="299"/>
      <c r="FV1150" s="299"/>
      <c r="FW1150" s="299"/>
      <c r="FX1150" s="299"/>
      <c r="FY1150" s="299"/>
      <c r="FZ1150" s="299"/>
      <c r="GA1150" s="299"/>
      <c r="GB1150" s="299"/>
      <c r="GC1150" s="299"/>
      <c r="GD1150" s="299"/>
      <c r="GE1150" s="299"/>
      <c r="GF1150" s="299"/>
      <c r="GG1150" s="299"/>
      <c r="GH1150" s="299"/>
      <c r="GI1150" s="299"/>
      <c r="GJ1150" s="299"/>
      <c r="GK1150" s="299"/>
      <c r="GL1150" s="299"/>
      <c r="GM1150" s="299"/>
      <c r="GN1150" s="299"/>
      <c r="GO1150" s="299"/>
      <c r="GP1150" s="299"/>
      <c r="GQ1150" s="299"/>
      <c r="GR1150" s="299"/>
      <c r="GS1150" s="299"/>
      <c r="GT1150" s="299"/>
      <c r="GU1150" s="299"/>
      <c r="GV1150" s="299"/>
      <c r="GW1150" s="299"/>
      <c r="GX1150" s="299"/>
      <c r="GY1150" s="299"/>
      <c r="GZ1150" s="299"/>
      <c r="HA1150" s="299"/>
      <c r="HB1150" s="299"/>
      <c r="HC1150" s="299"/>
      <c r="HD1150" s="299"/>
      <c r="HE1150" s="299"/>
      <c r="HF1150" s="299"/>
    </row>
    <row r="1151" spans="1:214" s="298" customFormat="1" ht="41.4">
      <c r="A1151" s="318">
        <v>720</v>
      </c>
      <c r="B1151" s="317">
        <v>200</v>
      </c>
      <c r="C1151" s="317">
        <v>200</v>
      </c>
      <c r="D1151" s="317">
        <v>200</v>
      </c>
      <c r="E1151" s="316">
        <v>40</v>
      </c>
      <c r="F1151" s="325"/>
      <c r="G1151" s="315" t="s">
        <v>508</v>
      </c>
      <c r="H1151" s="314"/>
      <c r="I1151" s="311"/>
      <c r="J1151" s="311"/>
      <c r="K1151" s="311"/>
      <c r="L1151" s="311"/>
      <c r="M1151" s="311"/>
      <c r="N1151" s="312"/>
      <c r="O1151" s="314"/>
      <c r="P1151" s="311">
        <v>0</v>
      </c>
      <c r="Q1151" s="312"/>
      <c r="R1151" s="314"/>
      <c r="S1151" s="311"/>
      <c r="T1151" s="616"/>
      <c r="U1151" s="311">
        <v>0</v>
      </c>
      <c r="V1151" s="311"/>
      <c r="W1151" s="311"/>
      <c r="X1151" s="311"/>
      <c r="Y1151" s="1356">
        <f t="shared" si="122"/>
        <v>0</v>
      </c>
      <c r="Z1151" s="1357">
        <f t="shared" si="123"/>
        <v>0</v>
      </c>
      <c r="AA1151" s="311">
        <f t="shared" si="124"/>
        <v>0</v>
      </c>
      <c r="AB1151" s="311">
        <f t="shared" si="125"/>
        <v>0</v>
      </c>
      <c r="AC1151" s="311">
        <f t="shared" si="126"/>
        <v>0</v>
      </c>
      <c r="AD1151" s="311">
        <f t="shared" si="127"/>
        <v>0</v>
      </c>
      <c r="AE1151" s="311">
        <f t="shared" si="128"/>
        <v>0</v>
      </c>
      <c r="AF1151" s="310" t="s">
        <v>509</v>
      </c>
      <c r="AG1151" s="841"/>
      <c r="AH1151" s="744"/>
      <c r="AI1151" s="292"/>
      <c r="AJ1151" s="299"/>
      <c r="AK1151" s="300"/>
      <c r="AL1151" s="299"/>
      <c r="AM1151" s="299"/>
      <c r="AN1151" s="299"/>
      <c r="AO1151" s="299"/>
      <c r="AP1151" s="299"/>
      <c r="AQ1151" s="299"/>
      <c r="AR1151" s="299"/>
      <c r="AS1151" s="452"/>
      <c r="AT1151" s="299"/>
      <c r="AU1151" s="299"/>
      <c r="AV1151" s="299"/>
      <c r="AW1151" s="299"/>
      <c r="AX1151" s="299"/>
      <c r="AY1151" s="299"/>
      <c r="AZ1151" s="299"/>
      <c r="BA1151" s="299"/>
      <c r="BB1151" s="299"/>
      <c r="BC1151" s="299"/>
      <c r="BD1151" s="299"/>
      <c r="BE1151" s="299"/>
      <c r="BF1151" s="299"/>
      <c r="BG1151" s="299"/>
      <c r="BH1151" s="299"/>
      <c r="BI1151" s="299"/>
      <c r="BJ1151" s="299"/>
      <c r="BK1151" s="299"/>
      <c r="BL1151" s="299"/>
      <c r="BM1151" s="299"/>
      <c r="BN1151" s="299"/>
      <c r="BO1151" s="299"/>
      <c r="BP1151" s="299"/>
      <c r="BQ1151" s="299"/>
      <c r="BR1151" s="299"/>
      <c r="BS1151" s="299"/>
      <c r="BT1151" s="299"/>
      <c r="BU1151" s="299"/>
      <c r="BV1151" s="299"/>
      <c r="BW1151" s="299"/>
      <c r="BX1151" s="299"/>
      <c r="BY1151" s="299"/>
      <c r="BZ1151" s="299"/>
      <c r="CA1151" s="299"/>
      <c r="CB1151" s="299"/>
      <c r="CC1151" s="299"/>
      <c r="CD1151" s="299"/>
      <c r="CE1151" s="299"/>
      <c r="CF1151" s="299"/>
      <c r="CG1151" s="299"/>
      <c r="CH1151" s="299"/>
      <c r="CI1151" s="299"/>
      <c r="CJ1151" s="299"/>
      <c r="CK1151" s="299"/>
      <c r="CL1151" s="299"/>
      <c r="CM1151" s="299"/>
      <c r="CN1151" s="299"/>
      <c r="CO1151" s="299"/>
      <c r="CP1151" s="299"/>
      <c r="CQ1151" s="299"/>
      <c r="CR1151" s="299"/>
      <c r="CS1151" s="299"/>
      <c r="CT1151" s="299"/>
      <c r="CU1151" s="299"/>
      <c r="CV1151" s="299"/>
      <c r="CW1151" s="299"/>
      <c r="CX1151" s="299"/>
      <c r="CY1151" s="299"/>
      <c r="CZ1151" s="299"/>
      <c r="DA1151" s="299"/>
      <c r="DB1151" s="299"/>
      <c r="DC1151" s="299"/>
      <c r="DD1151" s="299"/>
      <c r="DE1151" s="299"/>
      <c r="DF1151" s="299"/>
      <c r="DG1151" s="299"/>
      <c r="DH1151" s="299"/>
      <c r="DI1151" s="299"/>
      <c r="DJ1151" s="299"/>
      <c r="DK1151" s="299"/>
      <c r="DL1151" s="299"/>
      <c r="DM1151" s="299"/>
      <c r="DN1151" s="299"/>
      <c r="DO1151" s="299"/>
      <c r="DP1151" s="299"/>
      <c r="DQ1151" s="299"/>
      <c r="DR1151" s="299"/>
      <c r="DS1151" s="299"/>
      <c r="DT1151" s="299"/>
      <c r="DU1151" s="299"/>
      <c r="DV1151" s="299"/>
      <c r="DW1151" s="299"/>
      <c r="DX1151" s="299"/>
      <c r="DY1151" s="299"/>
      <c r="DZ1151" s="299"/>
      <c r="EA1151" s="299"/>
      <c r="EB1151" s="299"/>
      <c r="EC1151" s="299"/>
      <c r="ED1151" s="299"/>
      <c r="EE1151" s="299"/>
      <c r="EF1151" s="299"/>
      <c r="EG1151" s="299"/>
      <c r="EH1151" s="299"/>
      <c r="EI1151" s="299"/>
      <c r="EJ1151" s="299"/>
      <c r="EK1151" s="299"/>
      <c r="EL1151" s="299"/>
      <c r="EM1151" s="299"/>
      <c r="EN1151" s="299"/>
      <c r="EO1151" s="299"/>
      <c r="EP1151" s="299"/>
      <c r="EQ1151" s="299"/>
      <c r="ER1151" s="299"/>
      <c r="ES1151" s="299"/>
      <c r="ET1151" s="299"/>
      <c r="EU1151" s="299"/>
      <c r="EV1151" s="299"/>
      <c r="EW1151" s="299"/>
      <c r="EX1151" s="299"/>
      <c r="EY1151" s="299"/>
      <c r="EZ1151" s="299"/>
      <c r="FA1151" s="299"/>
      <c r="FB1151" s="299"/>
      <c r="FC1151" s="299"/>
      <c r="FD1151" s="299"/>
      <c r="FE1151" s="299"/>
      <c r="FF1151" s="299"/>
      <c r="FG1151" s="299"/>
      <c r="FH1151" s="299"/>
      <c r="FI1151" s="299"/>
      <c r="FJ1151" s="299"/>
      <c r="FK1151" s="299"/>
      <c r="FL1151" s="299"/>
      <c r="FM1151" s="299"/>
      <c r="FN1151" s="299"/>
      <c r="FO1151" s="299"/>
      <c r="FP1151" s="299"/>
      <c r="FQ1151" s="299"/>
      <c r="FR1151" s="299"/>
      <c r="FS1151" s="299"/>
      <c r="FT1151" s="299"/>
      <c r="FU1151" s="299"/>
      <c r="FV1151" s="299"/>
      <c r="FW1151" s="299"/>
      <c r="FX1151" s="299"/>
      <c r="FY1151" s="299"/>
      <c r="FZ1151" s="299"/>
      <c r="GA1151" s="299"/>
      <c r="GB1151" s="299"/>
      <c r="GC1151" s="299"/>
      <c r="GD1151" s="299"/>
      <c r="GE1151" s="299"/>
      <c r="GF1151" s="299"/>
      <c r="GG1151" s="299"/>
      <c r="GH1151" s="299"/>
      <c r="GI1151" s="299"/>
      <c r="GJ1151" s="299"/>
      <c r="GK1151" s="299"/>
      <c r="GL1151" s="299"/>
      <c r="GM1151" s="299"/>
      <c r="GN1151" s="299"/>
      <c r="GO1151" s="299"/>
      <c r="GP1151" s="299"/>
      <c r="GQ1151" s="299"/>
      <c r="GR1151" s="299"/>
      <c r="GS1151" s="299"/>
      <c r="GT1151" s="299"/>
      <c r="GU1151" s="299"/>
      <c r="GV1151" s="299"/>
      <c r="GW1151" s="299"/>
      <c r="GX1151" s="299"/>
      <c r="GY1151" s="299"/>
      <c r="GZ1151" s="299"/>
      <c r="HA1151" s="299"/>
      <c r="HB1151" s="299"/>
      <c r="HC1151" s="299"/>
      <c r="HD1151" s="299"/>
      <c r="HE1151" s="299"/>
      <c r="HF1151" s="299"/>
    </row>
    <row r="1152" spans="1:214" s="298" customFormat="1" ht="41.4">
      <c r="A1152" s="318">
        <v>720</v>
      </c>
      <c r="B1152" s="317">
        <v>200</v>
      </c>
      <c r="C1152" s="317">
        <v>200</v>
      </c>
      <c r="D1152" s="317">
        <v>200</v>
      </c>
      <c r="E1152" s="316">
        <v>50</v>
      </c>
      <c r="F1152" s="325"/>
      <c r="G1152" s="315" t="s">
        <v>510</v>
      </c>
      <c r="H1152" s="314"/>
      <c r="I1152" s="311"/>
      <c r="J1152" s="311"/>
      <c r="K1152" s="311"/>
      <c r="L1152" s="311"/>
      <c r="M1152" s="311"/>
      <c r="N1152" s="312"/>
      <c r="O1152" s="314"/>
      <c r="P1152" s="311">
        <v>0</v>
      </c>
      <c r="Q1152" s="312"/>
      <c r="R1152" s="314"/>
      <c r="S1152" s="311"/>
      <c r="T1152" s="616"/>
      <c r="U1152" s="311">
        <v>0</v>
      </c>
      <c r="V1152" s="311"/>
      <c r="W1152" s="311"/>
      <c r="X1152" s="311"/>
      <c r="Y1152" s="1356">
        <f t="shared" si="122"/>
        <v>0</v>
      </c>
      <c r="Z1152" s="1357">
        <f t="shared" si="123"/>
        <v>0</v>
      </c>
      <c r="AA1152" s="311">
        <f t="shared" si="124"/>
        <v>0</v>
      </c>
      <c r="AB1152" s="311">
        <f t="shared" si="125"/>
        <v>0</v>
      </c>
      <c r="AC1152" s="311">
        <f t="shared" si="126"/>
        <v>0</v>
      </c>
      <c r="AD1152" s="311">
        <f t="shared" si="127"/>
        <v>0</v>
      </c>
      <c r="AE1152" s="311">
        <f t="shared" si="128"/>
        <v>0</v>
      </c>
      <c r="AF1152" s="310" t="s">
        <v>511</v>
      </c>
      <c r="AG1152" s="841"/>
      <c r="AH1152" s="744"/>
      <c r="AI1152" s="292"/>
      <c r="AJ1152" s="299"/>
      <c r="AK1152" s="300"/>
      <c r="AL1152" s="299"/>
      <c r="AM1152" s="299"/>
      <c r="AN1152" s="299"/>
      <c r="AO1152" s="299"/>
      <c r="AP1152" s="299"/>
      <c r="AQ1152" s="299"/>
      <c r="AR1152" s="299"/>
      <c r="AS1152" s="452"/>
      <c r="AT1152" s="299"/>
      <c r="AU1152" s="299"/>
      <c r="AV1152" s="299"/>
      <c r="AW1152" s="299"/>
      <c r="AX1152" s="299"/>
      <c r="AY1152" s="299"/>
      <c r="AZ1152" s="299"/>
      <c r="BA1152" s="299"/>
      <c r="BB1152" s="299"/>
      <c r="BC1152" s="299"/>
      <c r="BD1152" s="299"/>
      <c r="BE1152" s="299"/>
      <c r="BF1152" s="299"/>
      <c r="BG1152" s="299"/>
      <c r="BH1152" s="299"/>
      <c r="BI1152" s="299"/>
      <c r="BJ1152" s="299"/>
      <c r="BK1152" s="299"/>
      <c r="BL1152" s="299"/>
      <c r="BM1152" s="299"/>
      <c r="BN1152" s="299"/>
      <c r="BO1152" s="299"/>
      <c r="BP1152" s="299"/>
      <c r="BQ1152" s="299"/>
      <c r="BR1152" s="299"/>
      <c r="BS1152" s="299"/>
      <c r="BT1152" s="299"/>
      <c r="BU1152" s="299"/>
      <c r="BV1152" s="299"/>
      <c r="BW1152" s="299"/>
      <c r="BX1152" s="299"/>
      <c r="BY1152" s="299"/>
      <c r="BZ1152" s="299"/>
      <c r="CA1152" s="299"/>
      <c r="CB1152" s="299"/>
      <c r="CC1152" s="299"/>
      <c r="CD1152" s="299"/>
      <c r="CE1152" s="299"/>
      <c r="CF1152" s="299"/>
      <c r="CG1152" s="299"/>
      <c r="CH1152" s="299"/>
      <c r="CI1152" s="299"/>
      <c r="CJ1152" s="299"/>
      <c r="CK1152" s="299"/>
      <c r="CL1152" s="299"/>
      <c r="CM1152" s="299"/>
      <c r="CN1152" s="299"/>
      <c r="CO1152" s="299"/>
      <c r="CP1152" s="299"/>
      <c r="CQ1152" s="299"/>
      <c r="CR1152" s="299"/>
      <c r="CS1152" s="299"/>
      <c r="CT1152" s="299"/>
      <c r="CU1152" s="299"/>
      <c r="CV1152" s="299"/>
      <c r="CW1152" s="299"/>
      <c r="CX1152" s="299"/>
      <c r="CY1152" s="299"/>
      <c r="CZ1152" s="299"/>
      <c r="DA1152" s="299"/>
      <c r="DB1152" s="299"/>
      <c r="DC1152" s="299"/>
      <c r="DD1152" s="299"/>
      <c r="DE1152" s="299"/>
      <c r="DF1152" s="299"/>
      <c r="DG1152" s="299"/>
      <c r="DH1152" s="299"/>
      <c r="DI1152" s="299"/>
      <c r="DJ1152" s="299"/>
      <c r="DK1152" s="299"/>
      <c r="DL1152" s="299"/>
      <c r="DM1152" s="299"/>
      <c r="DN1152" s="299"/>
      <c r="DO1152" s="299"/>
      <c r="DP1152" s="299"/>
      <c r="DQ1152" s="299"/>
      <c r="DR1152" s="299"/>
      <c r="DS1152" s="299"/>
      <c r="DT1152" s="299"/>
      <c r="DU1152" s="299"/>
      <c r="DV1152" s="299"/>
      <c r="DW1152" s="299"/>
      <c r="DX1152" s="299"/>
      <c r="DY1152" s="299"/>
      <c r="DZ1152" s="299"/>
      <c r="EA1152" s="299"/>
      <c r="EB1152" s="299"/>
      <c r="EC1152" s="299"/>
      <c r="ED1152" s="299"/>
      <c r="EE1152" s="299"/>
      <c r="EF1152" s="299"/>
      <c r="EG1152" s="299"/>
      <c r="EH1152" s="299"/>
      <c r="EI1152" s="299"/>
      <c r="EJ1152" s="299"/>
      <c r="EK1152" s="299"/>
      <c r="EL1152" s="299"/>
      <c r="EM1152" s="299"/>
      <c r="EN1152" s="299"/>
      <c r="EO1152" s="299"/>
      <c r="EP1152" s="299"/>
      <c r="EQ1152" s="299"/>
      <c r="ER1152" s="299"/>
      <c r="ES1152" s="299"/>
      <c r="ET1152" s="299"/>
      <c r="EU1152" s="299"/>
      <c r="EV1152" s="299"/>
      <c r="EW1152" s="299"/>
      <c r="EX1152" s="299"/>
      <c r="EY1152" s="299"/>
      <c r="EZ1152" s="299"/>
      <c r="FA1152" s="299"/>
      <c r="FB1152" s="299"/>
      <c r="FC1152" s="299"/>
      <c r="FD1152" s="299"/>
      <c r="FE1152" s="299"/>
      <c r="FF1152" s="299"/>
      <c r="FG1152" s="299"/>
      <c r="FH1152" s="299"/>
      <c r="FI1152" s="299"/>
      <c r="FJ1152" s="299"/>
      <c r="FK1152" s="299"/>
      <c r="FL1152" s="299"/>
      <c r="FM1152" s="299"/>
      <c r="FN1152" s="299"/>
      <c r="FO1152" s="299"/>
      <c r="FP1152" s="299"/>
      <c r="FQ1152" s="299"/>
      <c r="FR1152" s="299"/>
      <c r="FS1152" s="299"/>
      <c r="FT1152" s="299"/>
      <c r="FU1152" s="299"/>
      <c r="FV1152" s="299"/>
      <c r="FW1152" s="299"/>
      <c r="FX1152" s="299"/>
      <c r="FY1152" s="299"/>
      <c r="FZ1152" s="299"/>
      <c r="GA1152" s="299"/>
      <c r="GB1152" s="299"/>
      <c r="GC1152" s="299"/>
      <c r="GD1152" s="299"/>
      <c r="GE1152" s="299"/>
      <c r="GF1152" s="299"/>
      <c r="GG1152" s="299"/>
      <c r="GH1152" s="299"/>
      <c r="GI1152" s="299"/>
      <c r="GJ1152" s="299"/>
      <c r="GK1152" s="299"/>
      <c r="GL1152" s="299"/>
      <c r="GM1152" s="299"/>
      <c r="GN1152" s="299"/>
      <c r="GO1152" s="299"/>
      <c r="GP1152" s="299"/>
      <c r="GQ1152" s="299"/>
      <c r="GR1152" s="299"/>
      <c r="GS1152" s="299"/>
      <c r="GT1152" s="299"/>
      <c r="GU1152" s="299"/>
      <c r="GV1152" s="299"/>
      <c r="GW1152" s="299"/>
      <c r="GX1152" s="299"/>
      <c r="GY1152" s="299"/>
      <c r="GZ1152" s="299"/>
      <c r="HA1152" s="299"/>
      <c r="HB1152" s="299"/>
      <c r="HC1152" s="299"/>
      <c r="HD1152" s="299"/>
      <c r="HE1152" s="299"/>
      <c r="HF1152" s="299"/>
    </row>
    <row r="1153" spans="1:214" s="298" customFormat="1" ht="27.6">
      <c r="A1153" s="318">
        <v>720</v>
      </c>
      <c r="B1153" s="317">
        <v>200</v>
      </c>
      <c r="C1153" s="317">
        <v>200</v>
      </c>
      <c r="D1153" s="317">
        <v>200</v>
      </c>
      <c r="E1153" s="316">
        <v>60</v>
      </c>
      <c r="F1153" s="325"/>
      <c r="G1153" s="315" t="s">
        <v>512</v>
      </c>
      <c r="H1153" s="314"/>
      <c r="I1153" s="311"/>
      <c r="J1153" s="311"/>
      <c r="K1153" s="311"/>
      <c r="L1153" s="311"/>
      <c r="M1153" s="311"/>
      <c r="N1153" s="312"/>
      <c r="O1153" s="314"/>
      <c r="P1153" s="311">
        <v>0</v>
      </c>
      <c r="Q1153" s="312"/>
      <c r="R1153" s="314">
        <v>10970.61</v>
      </c>
      <c r="S1153" s="311"/>
      <c r="T1153" s="616"/>
      <c r="U1153" s="311">
        <v>10964.03</v>
      </c>
      <c r="V1153" s="311"/>
      <c r="W1153" s="311"/>
      <c r="X1153" s="311"/>
      <c r="Y1153" s="1356">
        <f t="shared" si="122"/>
        <v>10970.61</v>
      </c>
      <c r="Z1153" s="1357">
        <f t="shared" si="123"/>
        <v>0</v>
      </c>
      <c r="AA1153" s="311">
        <f t="shared" si="124"/>
        <v>0</v>
      </c>
      <c r="AB1153" s="311">
        <f t="shared" si="125"/>
        <v>10964.03</v>
      </c>
      <c r="AC1153" s="311">
        <f t="shared" si="126"/>
        <v>0</v>
      </c>
      <c r="AD1153" s="311">
        <f t="shared" si="127"/>
        <v>0</v>
      </c>
      <c r="AE1153" s="311">
        <f t="shared" si="128"/>
        <v>0</v>
      </c>
      <c r="AF1153" s="310" t="s">
        <v>513</v>
      </c>
      <c r="AG1153" s="841"/>
      <c r="AH1153" s="744"/>
      <c r="AI1153" s="292"/>
      <c r="AJ1153" s="299"/>
      <c r="AK1153" s="300"/>
      <c r="AL1153" s="299"/>
      <c r="AM1153" s="299"/>
      <c r="AN1153" s="299"/>
      <c r="AO1153" s="299"/>
      <c r="AP1153" s="299"/>
      <c r="AQ1153" s="299"/>
      <c r="AR1153" s="299"/>
      <c r="AS1153" s="452"/>
      <c r="AT1153" s="299"/>
      <c r="AU1153" s="299"/>
      <c r="AV1153" s="299"/>
      <c r="AW1153" s="299"/>
      <c r="AX1153" s="299"/>
      <c r="AY1153" s="299"/>
      <c r="AZ1153" s="299"/>
      <c r="BA1153" s="299"/>
      <c r="BB1153" s="299"/>
      <c r="BC1153" s="299"/>
      <c r="BD1153" s="299"/>
      <c r="BE1153" s="299"/>
      <c r="BF1153" s="299"/>
      <c r="BG1153" s="299"/>
      <c r="BH1153" s="299"/>
      <c r="BI1153" s="299"/>
      <c r="BJ1153" s="299"/>
      <c r="BK1153" s="299"/>
      <c r="BL1153" s="299"/>
      <c r="BM1153" s="299"/>
      <c r="BN1153" s="299"/>
      <c r="BO1153" s="299"/>
      <c r="BP1153" s="299"/>
      <c r="BQ1153" s="299"/>
      <c r="BR1153" s="299"/>
      <c r="BS1153" s="299"/>
      <c r="BT1153" s="299"/>
      <c r="BU1153" s="299"/>
      <c r="BV1153" s="299"/>
      <c r="BW1153" s="299"/>
      <c r="BX1153" s="299"/>
      <c r="BY1153" s="299"/>
      <c r="BZ1153" s="299"/>
      <c r="CA1153" s="299"/>
      <c r="CB1153" s="299"/>
      <c r="CC1153" s="299"/>
      <c r="CD1153" s="299"/>
      <c r="CE1153" s="299"/>
      <c r="CF1153" s="299"/>
      <c r="CG1153" s="299"/>
      <c r="CH1153" s="299"/>
      <c r="CI1153" s="299"/>
      <c r="CJ1153" s="299"/>
      <c r="CK1153" s="299"/>
      <c r="CL1153" s="299"/>
      <c r="CM1153" s="299"/>
      <c r="CN1153" s="299"/>
      <c r="CO1153" s="299"/>
      <c r="CP1153" s="299"/>
      <c r="CQ1153" s="299"/>
      <c r="CR1153" s="299"/>
      <c r="CS1153" s="299"/>
      <c r="CT1153" s="299"/>
      <c r="CU1153" s="299"/>
      <c r="CV1153" s="299"/>
      <c r="CW1153" s="299"/>
      <c r="CX1153" s="299"/>
      <c r="CY1153" s="299"/>
      <c r="CZ1153" s="299"/>
      <c r="DA1153" s="299"/>
      <c r="DB1153" s="299"/>
      <c r="DC1153" s="299"/>
      <c r="DD1153" s="299"/>
      <c r="DE1153" s="299"/>
      <c r="DF1153" s="299"/>
      <c r="DG1153" s="299"/>
      <c r="DH1153" s="299"/>
      <c r="DI1153" s="299"/>
      <c r="DJ1153" s="299"/>
      <c r="DK1153" s="299"/>
      <c r="DL1153" s="299"/>
      <c r="DM1153" s="299"/>
      <c r="DN1153" s="299"/>
      <c r="DO1153" s="299"/>
      <c r="DP1153" s="299"/>
      <c r="DQ1153" s="299"/>
      <c r="DR1153" s="299"/>
      <c r="DS1153" s="299"/>
      <c r="DT1153" s="299"/>
      <c r="DU1153" s="299"/>
      <c r="DV1153" s="299"/>
      <c r="DW1153" s="299"/>
      <c r="DX1153" s="299"/>
      <c r="DY1153" s="299"/>
      <c r="DZ1153" s="299"/>
      <c r="EA1153" s="299"/>
      <c r="EB1153" s="299"/>
      <c r="EC1153" s="299"/>
      <c r="ED1153" s="299"/>
      <c r="EE1153" s="299"/>
      <c r="EF1153" s="299"/>
      <c r="EG1153" s="299"/>
      <c r="EH1153" s="299"/>
      <c r="EI1153" s="299"/>
      <c r="EJ1153" s="299"/>
      <c r="EK1153" s="299"/>
      <c r="EL1153" s="299"/>
      <c r="EM1153" s="299"/>
      <c r="EN1153" s="299"/>
      <c r="EO1153" s="299"/>
      <c r="EP1153" s="299"/>
      <c r="EQ1153" s="299"/>
      <c r="ER1153" s="299"/>
      <c r="ES1153" s="299"/>
      <c r="ET1153" s="299"/>
      <c r="EU1153" s="299"/>
      <c r="EV1153" s="299"/>
      <c r="EW1153" s="299"/>
      <c r="EX1153" s="299"/>
      <c r="EY1153" s="299"/>
      <c r="EZ1153" s="299"/>
      <c r="FA1153" s="299"/>
      <c r="FB1153" s="299"/>
      <c r="FC1153" s="299"/>
      <c r="FD1153" s="299"/>
      <c r="FE1153" s="299"/>
      <c r="FF1153" s="299"/>
      <c r="FG1153" s="299"/>
      <c r="FH1153" s="299"/>
      <c r="FI1153" s="299"/>
      <c r="FJ1153" s="299"/>
      <c r="FK1153" s="299"/>
      <c r="FL1153" s="299"/>
      <c r="FM1153" s="299"/>
      <c r="FN1153" s="299"/>
      <c r="FO1153" s="299"/>
      <c r="FP1153" s="299"/>
      <c r="FQ1153" s="299"/>
      <c r="FR1153" s="299"/>
      <c r="FS1153" s="299"/>
      <c r="FT1153" s="299"/>
      <c r="FU1153" s="299"/>
      <c r="FV1153" s="299"/>
      <c r="FW1153" s="299"/>
      <c r="FX1153" s="299"/>
      <c r="FY1153" s="299"/>
      <c r="FZ1153" s="299"/>
      <c r="GA1153" s="299"/>
      <c r="GB1153" s="299"/>
      <c r="GC1153" s="299"/>
      <c r="GD1153" s="299"/>
      <c r="GE1153" s="299"/>
      <c r="GF1153" s="299"/>
      <c r="GG1153" s="299"/>
      <c r="GH1153" s="299"/>
      <c r="GI1153" s="299"/>
      <c r="GJ1153" s="299"/>
      <c r="GK1153" s="299"/>
      <c r="GL1153" s="299"/>
      <c r="GM1153" s="299"/>
      <c r="GN1153" s="299"/>
      <c r="GO1153" s="299"/>
      <c r="GP1153" s="299"/>
      <c r="GQ1153" s="299"/>
      <c r="GR1153" s="299"/>
      <c r="GS1153" s="299"/>
      <c r="GT1153" s="299"/>
      <c r="GU1153" s="299"/>
      <c r="GV1153" s="299"/>
      <c r="GW1153" s="299"/>
      <c r="GX1153" s="299"/>
      <c r="GY1153" s="299"/>
      <c r="GZ1153" s="299"/>
      <c r="HA1153" s="299"/>
      <c r="HB1153" s="299"/>
      <c r="HC1153" s="299"/>
      <c r="HD1153" s="299"/>
      <c r="HE1153" s="299"/>
      <c r="HF1153" s="299"/>
    </row>
    <row r="1154" spans="1:214" s="298" customFormat="1">
      <c r="A1154" s="318">
        <v>720</v>
      </c>
      <c r="B1154" s="317">
        <v>200</v>
      </c>
      <c r="C1154" s="317">
        <v>200</v>
      </c>
      <c r="D1154" s="317">
        <v>200</v>
      </c>
      <c r="E1154" s="316">
        <v>90</v>
      </c>
      <c r="F1154" s="325"/>
      <c r="G1154" s="315" t="s">
        <v>514</v>
      </c>
      <c r="H1154" s="314"/>
      <c r="I1154" s="311"/>
      <c r="J1154" s="311"/>
      <c r="K1154" s="311"/>
      <c r="L1154" s="311"/>
      <c r="M1154" s="311"/>
      <c r="N1154" s="312"/>
      <c r="O1154" s="314"/>
      <c r="P1154" s="311">
        <v>0</v>
      </c>
      <c r="Q1154" s="312"/>
      <c r="R1154" s="314">
        <v>52257.84</v>
      </c>
      <c r="S1154" s="311"/>
      <c r="T1154" s="616"/>
      <c r="U1154" s="311">
        <v>36777.64</v>
      </c>
      <c r="V1154" s="311"/>
      <c r="W1154" s="311"/>
      <c r="X1154" s="311"/>
      <c r="Y1154" s="1356">
        <f t="shared" si="122"/>
        <v>52257.84</v>
      </c>
      <c r="Z1154" s="1357">
        <f t="shared" si="123"/>
        <v>0</v>
      </c>
      <c r="AA1154" s="311">
        <f t="shared" si="124"/>
        <v>0</v>
      </c>
      <c r="AB1154" s="311">
        <f t="shared" si="125"/>
        <v>36777.64</v>
      </c>
      <c r="AC1154" s="311">
        <f t="shared" si="126"/>
        <v>0</v>
      </c>
      <c r="AD1154" s="311">
        <f t="shared" si="127"/>
        <v>0</v>
      </c>
      <c r="AE1154" s="311">
        <f t="shared" si="128"/>
        <v>0</v>
      </c>
      <c r="AF1154" s="310" t="s">
        <v>515</v>
      </c>
      <c r="AG1154" s="841"/>
      <c r="AH1154" s="744"/>
      <c r="AI1154" s="292"/>
      <c r="AJ1154" s="299"/>
      <c r="AK1154" s="300"/>
      <c r="AL1154" s="299"/>
      <c r="AM1154" s="299"/>
      <c r="AN1154" s="299"/>
      <c r="AO1154" s="299"/>
      <c r="AP1154" s="299"/>
      <c r="AQ1154" s="299"/>
      <c r="AR1154" s="299"/>
      <c r="AS1154" s="452"/>
      <c r="AT1154" s="299"/>
      <c r="AU1154" s="299"/>
      <c r="AV1154" s="299"/>
      <c r="AW1154" s="299"/>
      <c r="AX1154" s="299"/>
      <c r="AY1154" s="299"/>
      <c r="AZ1154" s="299"/>
      <c r="BA1154" s="299"/>
      <c r="BB1154" s="299"/>
      <c r="BC1154" s="299"/>
      <c r="BD1154" s="299"/>
      <c r="BE1154" s="299"/>
      <c r="BF1154" s="299"/>
      <c r="BG1154" s="299"/>
      <c r="BH1154" s="299"/>
      <c r="BI1154" s="299"/>
      <c r="BJ1154" s="299"/>
      <c r="BK1154" s="299"/>
      <c r="BL1154" s="299"/>
      <c r="BM1154" s="299"/>
      <c r="BN1154" s="299"/>
      <c r="BO1154" s="299"/>
      <c r="BP1154" s="299"/>
      <c r="BQ1154" s="299"/>
      <c r="BR1154" s="299"/>
      <c r="BS1154" s="299"/>
      <c r="BT1154" s="299"/>
      <c r="BU1154" s="299"/>
      <c r="BV1154" s="299"/>
      <c r="BW1154" s="299"/>
      <c r="BX1154" s="299"/>
      <c r="BY1154" s="299"/>
      <c r="BZ1154" s="299"/>
      <c r="CA1154" s="299"/>
      <c r="CB1154" s="299"/>
      <c r="CC1154" s="299"/>
      <c r="CD1154" s="299"/>
      <c r="CE1154" s="299"/>
      <c r="CF1154" s="299"/>
      <c r="CG1154" s="299"/>
      <c r="CH1154" s="299"/>
      <c r="CI1154" s="299"/>
      <c r="CJ1154" s="299"/>
      <c r="CK1154" s="299"/>
      <c r="CL1154" s="299"/>
      <c r="CM1154" s="299"/>
      <c r="CN1154" s="299"/>
      <c r="CO1154" s="299"/>
      <c r="CP1154" s="299"/>
      <c r="CQ1154" s="299"/>
      <c r="CR1154" s="299"/>
      <c r="CS1154" s="299"/>
      <c r="CT1154" s="299"/>
      <c r="CU1154" s="299"/>
      <c r="CV1154" s="299"/>
      <c r="CW1154" s="299"/>
      <c r="CX1154" s="299"/>
      <c r="CY1154" s="299"/>
      <c r="CZ1154" s="299"/>
      <c r="DA1154" s="299"/>
      <c r="DB1154" s="299"/>
      <c r="DC1154" s="299"/>
      <c r="DD1154" s="299"/>
      <c r="DE1154" s="299"/>
      <c r="DF1154" s="299"/>
      <c r="DG1154" s="299"/>
      <c r="DH1154" s="299"/>
      <c r="DI1154" s="299"/>
      <c r="DJ1154" s="299"/>
      <c r="DK1154" s="299"/>
      <c r="DL1154" s="299"/>
      <c r="DM1154" s="299"/>
      <c r="DN1154" s="299"/>
      <c r="DO1154" s="299"/>
      <c r="DP1154" s="299"/>
      <c r="DQ1154" s="299"/>
      <c r="DR1154" s="299"/>
      <c r="DS1154" s="299"/>
      <c r="DT1154" s="299"/>
      <c r="DU1154" s="299"/>
      <c r="DV1154" s="299"/>
      <c r="DW1154" s="299"/>
      <c r="DX1154" s="299"/>
      <c r="DY1154" s="299"/>
      <c r="DZ1154" s="299"/>
      <c r="EA1154" s="299"/>
      <c r="EB1154" s="299"/>
      <c r="EC1154" s="299"/>
      <c r="ED1154" s="299"/>
      <c r="EE1154" s="299"/>
      <c r="EF1154" s="299"/>
      <c r="EG1154" s="299"/>
      <c r="EH1154" s="299"/>
      <c r="EI1154" s="299"/>
      <c r="EJ1154" s="299"/>
      <c r="EK1154" s="299"/>
      <c r="EL1154" s="299"/>
      <c r="EM1154" s="299"/>
      <c r="EN1154" s="299"/>
      <c r="EO1154" s="299"/>
      <c r="EP1154" s="299"/>
      <c r="EQ1154" s="299"/>
      <c r="ER1154" s="299"/>
      <c r="ES1154" s="299"/>
      <c r="ET1154" s="299"/>
      <c r="EU1154" s="299"/>
      <c r="EV1154" s="299"/>
      <c r="EW1154" s="299"/>
      <c r="EX1154" s="299"/>
      <c r="EY1154" s="299"/>
      <c r="EZ1154" s="299"/>
      <c r="FA1154" s="299"/>
      <c r="FB1154" s="299"/>
      <c r="FC1154" s="299"/>
      <c r="FD1154" s="299"/>
      <c r="FE1154" s="299"/>
      <c r="FF1154" s="299"/>
      <c r="FG1154" s="299"/>
      <c r="FH1154" s="299"/>
      <c r="FI1154" s="299"/>
      <c r="FJ1154" s="299"/>
      <c r="FK1154" s="299"/>
      <c r="FL1154" s="299"/>
      <c r="FM1154" s="299"/>
      <c r="FN1154" s="299"/>
      <c r="FO1154" s="299"/>
      <c r="FP1154" s="299"/>
      <c r="FQ1154" s="299"/>
      <c r="FR1154" s="299"/>
      <c r="FS1154" s="299"/>
      <c r="FT1154" s="299"/>
      <c r="FU1154" s="299"/>
      <c r="FV1154" s="299"/>
      <c r="FW1154" s="299"/>
      <c r="FX1154" s="299"/>
      <c r="FY1154" s="299"/>
      <c r="FZ1154" s="299"/>
      <c r="GA1154" s="299"/>
      <c r="GB1154" s="299"/>
      <c r="GC1154" s="299"/>
      <c r="GD1154" s="299"/>
      <c r="GE1154" s="299"/>
      <c r="GF1154" s="299"/>
      <c r="GG1154" s="299"/>
      <c r="GH1154" s="299"/>
      <c r="GI1154" s="299"/>
      <c r="GJ1154" s="299"/>
      <c r="GK1154" s="299"/>
      <c r="GL1154" s="299"/>
      <c r="GM1154" s="299"/>
      <c r="GN1154" s="299"/>
      <c r="GO1154" s="299"/>
      <c r="GP1154" s="299"/>
      <c r="GQ1154" s="299"/>
      <c r="GR1154" s="299"/>
      <c r="GS1154" s="299"/>
      <c r="GT1154" s="299"/>
      <c r="GU1154" s="299"/>
      <c r="GV1154" s="299"/>
      <c r="GW1154" s="299"/>
      <c r="GX1154" s="299"/>
      <c r="GY1154" s="299"/>
      <c r="GZ1154" s="299"/>
      <c r="HA1154" s="299"/>
      <c r="HB1154" s="299"/>
      <c r="HC1154" s="299"/>
      <c r="HD1154" s="299"/>
      <c r="HE1154" s="299"/>
      <c r="HF1154" s="299"/>
    </row>
    <row r="1155" spans="1:214" s="298" customFormat="1">
      <c r="A1155" s="318">
        <v>720</v>
      </c>
      <c r="B1155" s="317">
        <v>200</v>
      </c>
      <c r="C1155" s="317">
        <v>300</v>
      </c>
      <c r="D1155" s="317"/>
      <c r="E1155" s="317"/>
      <c r="F1155" s="324"/>
      <c r="G1155" s="323" t="s">
        <v>516</v>
      </c>
      <c r="H1155" s="322"/>
      <c r="I1155" s="320"/>
      <c r="J1155" s="320"/>
      <c r="K1155" s="320"/>
      <c r="L1155" s="320"/>
      <c r="M1155" s="320"/>
      <c r="N1155" s="321"/>
      <c r="O1155" s="322"/>
      <c r="P1155" s="320">
        <v>0</v>
      </c>
      <c r="Q1155" s="321"/>
      <c r="R1155" s="322"/>
      <c r="S1155" s="320"/>
      <c r="T1155" s="617"/>
      <c r="U1155" s="320">
        <v>0</v>
      </c>
      <c r="V1155" s="320"/>
      <c r="W1155" s="320"/>
      <c r="X1155" s="320"/>
      <c r="Y1155" s="1392">
        <f t="shared" si="122"/>
        <v>0</v>
      </c>
      <c r="Z1155" s="1389">
        <f t="shared" si="123"/>
        <v>0</v>
      </c>
      <c r="AA1155" s="320">
        <f t="shared" si="124"/>
        <v>0</v>
      </c>
      <c r="AB1155" s="320">
        <f t="shared" si="125"/>
        <v>0</v>
      </c>
      <c r="AC1155" s="320">
        <f t="shared" si="126"/>
        <v>0</v>
      </c>
      <c r="AD1155" s="320">
        <f t="shared" si="127"/>
        <v>0</v>
      </c>
      <c r="AE1155" s="320">
        <f t="shared" si="128"/>
        <v>0</v>
      </c>
      <c r="AF1155" s="310"/>
      <c r="AG1155" s="841"/>
      <c r="AH1155" s="744"/>
      <c r="AI1155" s="292"/>
      <c r="AJ1155" s="299"/>
      <c r="AK1155" s="300"/>
      <c r="AL1155" s="299"/>
      <c r="AM1155" s="299"/>
      <c r="AN1155" s="299"/>
      <c r="AO1155" s="299"/>
      <c r="AP1155" s="299"/>
      <c r="AQ1155" s="299"/>
      <c r="AR1155" s="299"/>
      <c r="AS1155" s="452"/>
      <c r="AT1155" s="299"/>
      <c r="AU1155" s="299"/>
      <c r="AV1155" s="299"/>
      <c r="AW1155" s="299"/>
      <c r="AX1155" s="299"/>
      <c r="AY1155" s="299"/>
      <c r="AZ1155" s="299"/>
      <c r="BA1155" s="299"/>
      <c r="BB1155" s="299"/>
      <c r="BC1155" s="299"/>
      <c r="BD1155" s="299"/>
      <c r="BE1155" s="299"/>
      <c r="BF1155" s="299"/>
      <c r="BG1155" s="299"/>
      <c r="BH1155" s="299"/>
      <c r="BI1155" s="299"/>
      <c r="BJ1155" s="299"/>
      <c r="BK1155" s="299"/>
      <c r="BL1155" s="299"/>
      <c r="BM1155" s="299"/>
      <c r="BN1155" s="299"/>
      <c r="BO1155" s="299"/>
      <c r="BP1155" s="299"/>
      <c r="BQ1155" s="299"/>
      <c r="BR1155" s="299"/>
      <c r="BS1155" s="299"/>
      <c r="BT1155" s="299"/>
      <c r="BU1155" s="299"/>
      <c r="BV1155" s="299"/>
      <c r="BW1155" s="299"/>
      <c r="BX1155" s="299"/>
      <c r="BY1155" s="299"/>
      <c r="BZ1155" s="299"/>
      <c r="CA1155" s="299"/>
      <c r="CB1155" s="299"/>
      <c r="CC1155" s="299"/>
      <c r="CD1155" s="299"/>
      <c r="CE1155" s="299"/>
      <c r="CF1155" s="299"/>
      <c r="CG1155" s="299"/>
      <c r="CH1155" s="299"/>
      <c r="CI1155" s="299"/>
      <c r="CJ1155" s="299"/>
      <c r="CK1155" s="299"/>
      <c r="CL1155" s="299"/>
      <c r="CM1155" s="299"/>
      <c r="CN1155" s="299"/>
      <c r="CO1155" s="299"/>
      <c r="CP1155" s="299"/>
      <c r="CQ1155" s="299"/>
      <c r="CR1155" s="299"/>
      <c r="CS1155" s="299"/>
      <c r="CT1155" s="299"/>
      <c r="CU1155" s="299"/>
      <c r="CV1155" s="299"/>
      <c r="CW1155" s="299"/>
      <c r="CX1155" s="299"/>
      <c r="CY1155" s="299"/>
      <c r="CZ1155" s="299"/>
      <c r="DA1155" s="299"/>
      <c r="DB1155" s="299"/>
      <c r="DC1155" s="299"/>
      <c r="DD1155" s="299"/>
      <c r="DE1155" s="299"/>
      <c r="DF1155" s="299"/>
      <c r="DG1155" s="299"/>
      <c r="DH1155" s="299"/>
      <c r="DI1155" s="299"/>
      <c r="DJ1155" s="299"/>
      <c r="DK1155" s="299"/>
      <c r="DL1155" s="299"/>
      <c r="DM1155" s="299"/>
      <c r="DN1155" s="299"/>
      <c r="DO1155" s="299"/>
      <c r="DP1155" s="299"/>
      <c r="DQ1155" s="299"/>
      <c r="DR1155" s="299"/>
      <c r="DS1155" s="299"/>
      <c r="DT1155" s="299"/>
      <c r="DU1155" s="299"/>
      <c r="DV1155" s="299"/>
      <c r="DW1155" s="299"/>
      <c r="DX1155" s="299"/>
      <c r="DY1155" s="299"/>
      <c r="DZ1155" s="299"/>
      <c r="EA1155" s="299"/>
      <c r="EB1155" s="299"/>
      <c r="EC1155" s="299"/>
      <c r="ED1155" s="299"/>
      <c r="EE1155" s="299"/>
      <c r="EF1155" s="299"/>
      <c r="EG1155" s="299"/>
      <c r="EH1155" s="299"/>
      <c r="EI1155" s="299"/>
      <c r="EJ1155" s="299"/>
      <c r="EK1155" s="299"/>
      <c r="EL1155" s="299"/>
      <c r="EM1155" s="299"/>
      <c r="EN1155" s="299"/>
      <c r="EO1155" s="299"/>
      <c r="EP1155" s="299"/>
      <c r="EQ1155" s="299"/>
      <c r="ER1155" s="299"/>
      <c r="ES1155" s="299"/>
      <c r="ET1155" s="299"/>
      <c r="EU1155" s="299"/>
      <c r="EV1155" s="299"/>
      <c r="EW1155" s="299"/>
      <c r="EX1155" s="299"/>
      <c r="EY1155" s="299"/>
      <c r="EZ1155" s="299"/>
      <c r="FA1155" s="299"/>
      <c r="FB1155" s="299"/>
      <c r="FC1155" s="299"/>
      <c r="FD1155" s="299"/>
      <c r="FE1155" s="299"/>
      <c r="FF1155" s="299"/>
      <c r="FG1155" s="299"/>
      <c r="FH1155" s="299"/>
      <c r="FI1155" s="299"/>
      <c r="FJ1155" s="299"/>
      <c r="FK1155" s="299"/>
      <c r="FL1155" s="299"/>
      <c r="FM1155" s="299"/>
      <c r="FN1155" s="299"/>
      <c r="FO1155" s="299"/>
      <c r="FP1155" s="299"/>
      <c r="FQ1155" s="299"/>
      <c r="FR1155" s="299"/>
      <c r="FS1155" s="299"/>
      <c r="FT1155" s="299"/>
      <c r="FU1155" s="299"/>
      <c r="FV1155" s="299"/>
      <c r="FW1155" s="299"/>
      <c r="FX1155" s="299"/>
      <c r="FY1155" s="299"/>
      <c r="FZ1155" s="299"/>
      <c r="GA1155" s="299"/>
      <c r="GB1155" s="299"/>
      <c r="GC1155" s="299"/>
      <c r="GD1155" s="299"/>
      <c r="GE1155" s="299"/>
      <c r="GF1155" s="299"/>
      <c r="GG1155" s="299"/>
      <c r="GH1155" s="299"/>
      <c r="GI1155" s="299"/>
      <c r="GJ1155" s="299"/>
      <c r="GK1155" s="299"/>
      <c r="GL1155" s="299"/>
      <c r="GM1155" s="299"/>
      <c r="GN1155" s="299"/>
      <c r="GO1155" s="299"/>
      <c r="GP1155" s="299"/>
      <c r="GQ1155" s="299"/>
      <c r="GR1155" s="299"/>
      <c r="GS1155" s="299"/>
      <c r="GT1155" s="299"/>
      <c r="GU1155" s="299"/>
      <c r="GV1155" s="299"/>
      <c r="GW1155" s="299"/>
      <c r="GX1155" s="299"/>
      <c r="GY1155" s="299"/>
      <c r="GZ1155" s="299"/>
      <c r="HA1155" s="299"/>
      <c r="HB1155" s="299"/>
      <c r="HC1155" s="299"/>
      <c r="HD1155" s="299"/>
      <c r="HE1155" s="299"/>
      <c r="HF1155" s="299"/>
    </row>
    <row r="1156" spans="1:214" s="298" customFormat="1" ht="27.6">
      <c r="A1156" s="318">
        <v>720</v>
      </c>
      <c r="B1156" s="317">
        <v>200</v>
      </c>
      <c r="C1156" s="317">
        <v>300</v>
      </c>
      <c r="D1156" s="316">
        <v>100</v>
      </c>
      <c r="E1156" s="316"/>
      <c r="F1156" s="316"/>
      <c r="G1156" s="315" t="s">
        <v>517</v>
      </c>
      <c r="H1156" s="314"/>
      <c r="I1156" s="311"/>
      <c r="J1156" s="311"/>
      <c r="K1156" s="311"/>
      <c r="L1156" s="311"/>
      <c r="M1156" s="311"/>
      <c r="N1156" s="312"/>
      <c r="O1156" s="314"/>
      <c r="P1156" s="311">
        <v>0</v>
      </c>
      <c r="Q1156" s="312"/>
      <c r="R1156" s="314"/>
      <c r="S1156" s="311"/>
      <c r="T1156" s="616"/>
      <c r="U1156" s="311">
        <v>0</v>
      </c>
      <c r="V1156" s="311"/>
      <c r="W1156" s="311"/>
      <c r="X1156" s="311"/>
      <c r="Y1156" s="1356">
        <f t="shared" si="122"/>
        <v>0</v>
      </c>
      <c r="Z1156" s="1357">
        <f t="shared" si="123"/>
        <v>0</v>
      </c>
      <c r="AA1156" s="311">
        <f t="shared" si="124"/>
        <v>0</v>
      </c>
      <c r="AB1156" s="311">
        <f t="shared" si="125"/>
        <v>0</v>
      </c>
      <c r="AC1156" s="311">
        <f t="shared" si="126"/>
        <v>0</v>
      </c>
      <c r="AD1156" s="311">
        <f t="shared" si="127"/>
        <v>0</v>
      </c>
      <c r="AE1156" s="311">
        <f t="shared" si="128"/>
        <v>0</v>
      </c>
      <c r="AF1156" s="310" t="s">
        <v>518</v>
      </c>
      <c r="AG1156" s="841"/>
      <c r="AH1156" s="744"/>
      <c r="AI1156" s="292"/>
      <c r="AJ1156" s="299"/>
      <c r="AK1156" s="300"/>
      <c r="AL1156" s="299"/>
      <c r="AM1156" s="299"/>
      <c r="AN1156" s="299"/>
      <c r="AO1156" s="299"/>
      <c r="AP1156" s="299"/>
      <c r="AQ1156" s="299"/>
      <c r="AR1156" s="299"/>
      <c r="AS1156" s="452"/>
      <c r="AT1156" s="299"/>
      <c r="AU1156" s="299"/>
      <c r="AV1156" s="299"/>
      <c r="AW1156" s="299"/>
      <c r="AX1156" s="299"/>
      <c r="AY1156" s="299"/>
      <c r="AZ1156" s="299"/>
      <c r="BA1156" s="299"/>
      <c r="BB1156" s="299"/>
      <c r="BC1156" s="299"/>
      <c r="BD1156" s="299"/>
      <c r="BE1156" s="299"/>
      <c r="BF1156" s="299"/>
      <c r="BG1156" s="299"/>
      <c r="BH1156" s="299"/>
      <c r="BI1156" s="299"/>
      <c r="BJ1156" s="299"/>
      <c r="BK1156" s="299"/>
      <c r="BL1156" s="299"/>
      <c r="BM1156" s="299"/>
      <c r="BN1156" s="299"/>
      <c r="BO1156" s="299"/>
      <c r="BP1156" s="299"/>
      <c r="BQ1156" s="299"/>
      <c r="BR1156" s="299"/>
      <c r="BS1156" s="299"/>
      <c r="BT1156" s="299"/>
      <c r="BU1156" s="299"/>
      <c r="BV1156" s="299"/>
      <c r="BW1156" s="299"/>
      <c r="BX1156" s="299"/>
      <c r="BY1156" s="299"/>
      <c r="BZ1156" s="299"/>
      <c r="CA1156" s="299"/>
      <c r="CB1156" s="299"/>
      <c r="CC1156" s="299"/>
      <c r="CD1156" s="299"/>
      <c r="CE1156" s="299"/>
      <c r="CF1156" s="299"/>
      <c r="CG1156" s="299"/>
      <c r="CH1156" s="299"/>
      <c r="CI1156" s="299"/>
      <c r="CJ1156" s="299"/>
      <c r="CK1156" s="299"/>
      <c r="CL1156" s="299"/>
      <c r="CM1156" s="299"/>
      <c r="CN1156" s="299"/>
      <c r="CO1156" s="299"/>
      <c r="CP1156" s="299"/>
      <c r="CQ1156" s="299"/>
      <c r="CR1156" s="299"/>
      <c r="CS1156" s="299"/>
      <c r="CT1156" s="299"/>
      <c r="CU1156" s="299"/>
      <c r="CV1156" s="299"/>
      <c r="CW1156" s="299"/>
      <c r="CX1156" s="299"/>
      <c r="CY1156" s="299"/>
      <c r="CZ1156" s="299"/>
      <c r="DA1156" s="299"/>
      <c r="DB1156" s="299"/>
      <c r="DC1156" s="299"/>
      <c r="DD1156" s="299"/>
      <c r="DE1156" s="299"/>
      <c r="DF1156" s="299"/>
      <c r="DG1156" s="299"/>
      <c r="DH1156" s="299"/>
      <c r="DI1156" s="299"/>
      <c r="DJ1156" s="299"/>
      <c r="DK1156" s="299"/>
      <c r="DL1156" s="299"/>
      <c r="DM1156" s="299"/>
      <c r="DN1156" s="299"/>
      <c r="DO1156" s="299"/>
      <c r="DP1156" s="299"/>
      <c r="DQ1156" s="299"/>
      <c r="DR1156" s="299"/>
      <c r="DS1156" s="299"/>
      <c r="DT1156" s="299"/>
      <c r="DU1156" s="299"/>
      <c r="DV1156" s="299"/>
      <c r="DW1156" s="299"/>
      <c r="DX1156" s="299"/>
      <c r="DY1156" s="299"/>
      <c r="DZ1156" s="299"/>
      <c r="EA1156" s="299"/>
      <c r="EB1156" s="299"/>
      <c r="EC1156" s="299"/>
      <c r="ED1156" s="299"/>
      <c r="EE1156" s="299"/>
      <c r="EF1156" s="299"/>
      <c r="EG1156" s="299"/>
      <c r="EH1156" s="299"/>
      <c r="EI1156" s="299"/>
      <c r="EJ1156" s="299"/>
      <c r="EK1156" s="299"/>
      <c r="EL1156" s="299"/>
      <c r="EM1156" s="299"/>
      <c r="EN1156" s="299"/>
      <c r="EO1156" s="299"/>
      <c r="EP1156" s="299"/>
      <c r="EQ1156" s="299"/>
      <c r="ER1156" s="299"/>
      <c r="ES1156" s="299"/>
      <c r="ET1156" s="299"/>
      <c r="EU1156" s="299"/>
      <c r="EV1156" s="299"/>
      <c r="EW1156" s="299"/>
      <c r="EX1156" s="299"/>
      <c r="EY1156" s="299"/>
      <c r="EZ1156" s="299"/>
      <c r="FA1156" s="299"/>
      <c r="FB1156" s="299"/>
      <c r="FC1156" s="299"/>
      <c r="FD1156" s="299"/>
      <c r="FE1156" s="299"/>
      <c r="FF1156" s="299"/>
      <c r="FG1156" s="299"/>
      <c r="FH1156" s="299"/>
      <c r="FI1156" s="299"/>
      <c r="FJ1156" s="299"/>
      <c r="FK1156" s="299"/>
      <c r="FL1156" s="299"/>
      <c r="FM1156" s="299"/>
      <c r="FN1156" s="299"/>
      <c r="FO1156" s="299"/>
      <c r="FP1156" s="299"/>
      <c r="FQ1156" s="299"/>
      <c r="FR1156" s="299"/>
      <c r="FS1156" s="299"/>
      <c r="FT1156" s="299"/>
      <c r="FU1156" s="299"/>
      <c r="FV1156" s="299"/>
      <c r="FW1156" s="299"/>
      <c r="FX1156" s="299"/>
      <c r="FY1156" s="299"/>
      <c r="FZ1156" s="299"/>
      <c r="GA1156" s="299"/>
      <c r="GB1156" s="299"/>
      <c r="GC1156" s="299"/>
      <c r="GD1156" s="299"/>
      <c r="GE1156" s="299"/>
      <c r="GF1156" s="299"/>
      <c r="GG1156" s="299"/>
      <c r="GH1156" s="299"/>
      <c r="GI1156" s="299"/>
      <c r="GJ1156" s="299"/>
      <c r="GK1156" s="299"/>
      <c r="GL1156" s="299"/>
      <c r="GM1156" s="299"/>
      <c r="GN1156" s="299"/>
      <c r="GO1156" s="299"/>
      <c r="GP1156" s="299"/>
      <c r="GQ1156" s="299"/>
      <c r="GR1156" s="299"/>
      <c r="GS1156" s="299"/>
      <c r="GT1156" s="299"/>
      <c r="GU1156" s="299"/>
      <c r="GV1156" s="299"/>
      <c r="GW1156" s="299"/>
      <c r="GX1156" s="299"/>
      <c r="GY1156" s="299"/>
      <c r="GZ1156" s="299"/>
      <c r="HA1156" s="299"/>
      <c r="HB1156" s="299"/>
      <c r="HC1156" s="299"/>
      <c r="HD1156" s="299"/>
      <c r="HE1156" s="299"/>
      <c r="HF1156" s="299"/>
    </row>
    <row r="1157" spans="1:214" s="299" customFormat="1">
      <c r="A1157" s="318">
        <v>720</v>
      </c>
      <c r="B1157" s="317">
        <v>200</v>
      </c>
      <c r="C1157" s="317">
        <v>300</v>
      </c>
      <c r="D1157" s="317">
        <v>200</v>
      </c>
      <c r="E1157" s="317"/>
      <c r="F1157" s="317"/>
      <c r="G1157" s="323" t="s">
        <v>519</v>
      </c>
      <c r="H1157" s="322"/>
      <c r="I1157" s="320"/>
      <c r="J1157" s="320"/>
      <c r="K1157" s="320"/>
      <c r="L1157" s="320"/>
      <c r="M1157" s="320"/>
      <c r="N1157" s="321"/>
      <c r="O1157" s="322"/>
      <c r="P1157" s="320">
        <v>0</v>
      </c>
      <c r="Q1157" s="321"/>
      <c r="R1157" s="322"/>
      <c r="S1157" s="320"/>
      <c r="T1157" s="617"/>
      <c r="U1157" s="320">
        <v>0</v>
      </c>
      <c r="V1157" s="320"/>
      <c r="W1157" s="320"/>
      <c r="X1157" s="320"/>
      <c r="Y1157" s="1392">
        <f t="shared" si="122"/>
        <v>0</v>
      </c>
      <c r="Z1157" s="1389">
        <f t="shared" si="123"/>
        <v>0</v>
      </c>
      <c r="AA1157" s="320">
        <f t="shared" si="124"/>
        <v>0</v>
      </c>
      <c r="AB1157" s="320">
        <f t="shared" si="125"/>
        <v>0</v>
      </c>
      <c r="AC1157" s="320">
        <f t="shared" si="126"/>
        <v>0</v>
      </c>
      <c r="AD1157" s="320">
        <f t="shared" si="127"/>
        <v>0</v>
      </c>
      <c r="AE1157" s="320">
        <f t="shared" si="128"/>
        <v>0</v>
      </c>
      <c r="AF1157" s="310"/>
      <c r="AG1157" s="841"/>
      <c r="AH1157" s="744"/>
      <c r="AI1157" s="292"/>
      <c r="AK1157" s="300"/>
      <c r="AS1157" s="452"/>
    </row>
    <row r="1158" spans="1:214" s="298" customFormat="1" ht="27.6">
      <c r="A1158" s="318">
        <v>720</v>
      </c>
      <c r="B1158" s="317">
        <v>200</v>
      </c>
      <c r="C1158" s="317">
        <v>300</v>
      </c>
      <c r="D1158" s="317">
        <v>200</v>
      </c>
      <c r="E1158" s="316">
        <v>10</v>
      </c>
      <c r="F1158" s="316"/>
      <c r="G1158" s="315" t="s">
        <v>520</v>
      </c>
      <c r="H1158" s="314"/>
      <c r="I1158" s="311"/>
      <c r="J1158" s="311"/>
      <c r="K1158" s="311"/>
      <c r="L1158" s="311"/>
      <c r="M1158" s="311"/>
      <c r="N1158" s="312"/>
      <c r="O1158" s="314"/>
      <c r="P1158" s="311">
        <v>0</v>
      </c>
      <c r="Q1158" s="312"/>
      <c r="R1158" s="314"/>
      <c r="S1158" s="311"/>
      <c r="T1158" s="616"/>
      <c r="U1158" s="311">
        <v>0</v>
      </c>
      <c r="V1158" s="311"/>
      <c r="W1158" s="311"/>
      <c r="X1158" s="311"/>
      <c r="Y1158" s="1356">
        <f t="shared" si="122"/>
        <v>0</v>
      </c>
      <c r="Z1158" s="1357">
        <f t="shared" si="123"/>
        <v>0</v>
      </c>
      <c r="AA1158" s="311">
        <f t="shared" si="124"/>
        <v>0</v>
      </c>
      <c r="AB1158" s="311">
        <f t="shared" si="125"/>
        <v>0</v>
      </c>
      <c r="AC1158" s="311">
        <f t="shared" si="126"/>
        <v>0</v>
      </c>
      <c r="AD1158" s="311">
        <f t="shared" si="127"/>
        <v>0</v>
      </c>
      <c r="AE1158" s="311">
        <f t="shared" si="128"/>
        <v>0</v>
      </c>
      <c r="AF1158" s="310" t="s">
        <v>521</v>
      </c>
      <c r="AG1158" s="841"/>
      <c r="AH1158" s="744"/>
      <c r="AI1158" s="292"/>
      <c r="AJ1158" s="299"/>
      <c r="AK1158" s="300"/>
      <c r="AL1158" s="299"/>
      <c r="AM1158" s="299"/>
      <c r="AN1158" s="299"/>
      <c r="AO1158" s="299"/>
      <c r="AP1158" s="299"/>
      <c r="AQ1158" s="299"/>
      <c r="AR1158" s="299"/>
      <c r="AS1158" s="452"/>
      <c r="AT1158" s="299"/>
      <c r="AU1158" s="299"/>
      <c r="AV1158" s="299"/>
      <c r="AW1158" s="299"/>
      <c r="AX1158" s="299"/>
      <c r="AY1158" s="299"/>
      <c r="AZ1158" s="299"/>
      <c r="BA1158" s="299"/>
      <c r="BB1158" s="299"/>
      <c r="BC1158" s="299"/>
      <c r="BD1158" s="299"/>
      <c r="BE1158" s="299"/>
      <c r="BF1158" s="299"/>
      <c r="BG1158" s="299"/>
      <c r="BH1158" s="299"/>
      <c r="BI1158" s="299"/>
      <c r="BJ1158" s="299"/>
      <c r="BK1158" s="299"/>
      <c r="BL1158" s="299"/>
      <c r="BM1158" s="299"/>
      <c r="BN1158" s="299"/>
      <c r="BO1158" s="299"/>
      <c r="BP1158" s="299"/>
      <c r="BQ1158" s="299"/>
      <c r="BR1158" s="299"/>
      <c r="BS1158" s="299"/>
      <c r="BT1158" s="299"/>
      <c r="BU1158" s="299"/>
      <c r="BV1158" s="299"/>
      <c r="BW1158" s="299"/>
      <c r="BX1158" s="299"/>
      <c r="BY1158" s="299"/>
      <c r="BZ1158" s="299"/>
      <c r="CA1158" s="299"/>
      <c r="CB1158" s="299"/>
      <c r="CC1158" s="299"/>
      <c r="CD1158" s="299"/>
      <c r="CE1158" s="299"/>
      <c r="CF1158" s="299"/>
      <c r="CG1158" s="299"/>
      <c r="CH1158" s="299"/>
      <c r="CI1158" s="299"/>
      <c r="CJ1158" s="299"/>
      <c r="CK1158" s="299"/>
      <c r="CL1158" s="299"/>
      <c r="CM1158" s="299"/>
      <c r="CN1158" s="299"/>
      <c r="CO1158" s="299"/>
      <c r="CP1158" s="299"/>
      <c r="CQ1158" s="299"/>
      <c r="CR1158" s="299"/>
      <c r="CS1158" s="299"/>
      <c r="CT1158" s="299"/>
      <c r="CU1158" s="299"/>
      <c r="CV1158" s="299"/>
      <c r="CW1158" s="299"/>
      <c r="CX1158" s="299"/>
      <c r="CY1158" s="299"/>
      <c r="CZ1158" s="299"/>
      <c r="DA1158" s="299"/>
      <c r="DB1158" s="299"/>
      <c r="DC1158" s="299"/>
      <c r="DD1158" s="299"/>
      <c r="DE1158" s="299"/>
      <c r="DF1158" s="299"/>
      <c r="DG1158" s="299"/>
      <c r="DH1158" s="299"/>
      <c r="DI1158" s="299"/>
      <c r="DJ1158" s="299"/>
      <c r="DK1158" s="299"/>
      <c r="DL1158" s="299"/>
      <c r="DM1158" s="299"/>
      <c r="DN1158" s="299"/>
      <c r="DO1158" s="299"/>
      <c r="DP1158" s="299"/>
      <c r="DQ1158" s="299"/>
      <c r="DR1158" s="299"/>
      <c r="DS1158" s="299"/>
      <c r="DT1158" s="299"/>
      <c r="DU1158" s="299"/>
      <c r="DV1158" s="299"/>
      <c r="DW1158" s="299"/>
      <c r="DX1158" s="299"/>
      <c r="DY1158" s="299"/>
      <c r="DZ1158" s="299"/>
      <c r="EA1158" s="299"/>
      <c r="EB1158" s="299"/>
      <c r="EC1158" s="299"/>
      <c r="ED1158" s="299"/>
      <c r="EE1158" s="299"/>
      <c r="EF1158" s="299"/>
      <c r="EG1158" s="299"/>
      <c r="EH1158" s="299"/>
      <c r="EI1158" s="299"/>
      <c r="EJ1158" s="299"/>
      <c r="EK1158" s="299"/>
      <c r="EL1158" s="299"/>
      <c r="EM1158" s="299"/>
      <c r="EN1158" s="299"/>
      <c r="EO1158" s="299"/>
      <c r="EP1158" s="299"/>
      <c r="EQ1158" s="299"/>
      <c r="ER1158" s="299"/>
      <c r="ES1158" s="299"/>
      <c r="ET1158" s="299"/>
      <c r="EU1158" s="299"/>
      <c r="EV1158" s="299"/>
      <c r="EW1158" s="299"/>
      <c r="EX1158" s="299"/>
      <c r="EY1158" s="299"/>
      <c r="EZ1158" s="299"/>
      <c r="FA1158" s="299"/>
      <c r="FB1158" s="299"/>
      <c r="FC1158" s="299"/>
      <c r="FD1158" s="299"/>
      <c r="FE1158" s="299"/>
      <c r="FF1158" s="299"/>
      <c r="FG1158" s="299"/>
      <c r="FH1158" s="299"/>
      <c r="FI1158" s="299"/>
      <c r="FJ1158" s="299"/>
      <c r="FK1158" s="299"/>
      <c r="FL1158" s="299"/>
      <c r="FM1158" s="299"/>
      <c r="FN1158" s="299"/>
      <c r="FO1158" s="299"/>
      <c r="FP1158" s="299"/>
      <c r="FQ1158" s="299"/>
      <c r="FR1158" s="299"/>
      <c r="FS1158" s="299"/>
      <c r="FT1158" s="299"/>
      <c r="FU1158" s="299"/>
      <c r="FV1158" s="299"/>
      <c r="FW1158" s="299"/>
      <c r="FX1158" s="299"/>
      <c r="FY1158" s="299"/>
      <c r="FZ1158" s="299"/>
      <c r="GA1158" s="299"/>
      <c r="GB1158" s="299"/>
      <c r="GC1158" s="299"/>
      <c r="GD1158" s="299"/>
      <c r="GE1158" s="299"/>
      <c r="GF1158" s="299"/>
      <c r="GG1158" s="299"/>
      <c r="GH1158" s="299"/>
      <c r="GI1158" s="299"/>
      <c r="GJ1158" s="299"/>
      <c r="GK1158" s="299"/>
      <c r="GL1158" s="299"/>
      <c r="GM1158" s="299"/>
      <c r="GN1158" s="299"/>
      <c r="GO1158" s="299"/>
      <c r="GP1158" s="299"/>
      <c r="GQ1158" s="299"/>
      <c r="GR1158" s="299"/>
      <c r="GS1158" s="299"/>
      <c r="GT1158" s="299"/>
      <c r="GU1158" s="299"/>
      <c r="GV1158" s="299"/>
      <c r="GW1158" s="299"/>
      <c r="GX1158" s="299"/>
      <c r="GY1158" s="299"/>
      <c r="GZ1158" s="299"/>
      <c r="HA1158" s="299"/>
      <c r="HB1158" s="299"/>
      <c r="HC1158" s="299"/>
      <c r="HD1158" s="299"/>
      <c r="HE1158" s="299"/>
      <c r="HF1158" s="299"/>
    </row>
    <row r="1159" spans="1:214" s="298" customFormat="1" ht="27.6">
      <c r="A1159" s="318">
        <v>720</v>
      </c>
      <c r="B1159" s="317">
        <v>200</v>
      </c>
      <c r="C1159" s="317">
        <v>300</v>
      </c>
      <c r="D1159" s="317">
        <v>200</v>
      </c>
      <c r="E1159" s="316">
        <v>20</v>
      </c>
      <c r="F1159" s="316"/>
      <c r="G1159" s="315" t="s">
        <v>522</v>
      </c>
      <c r="H1159" s="314"/>
      <c r="I1159" s="311"/>
      <c r="J1159" s="311"/>
      <c r="K1159" s="311"/>
      <c r="L1159" s="311"/>
      <c r="M1159" s="311"/>
      <c r="N1159" s="312"/>
      <c r="O1159" s="314"/>
      <c r="P1159" s="311">
        <v>0</v>
      </c>
      <c r="Q1159" s="312"/>
      <c r="R1159" s="314">
        <v>290247.08</v>
      </c>
      <c r="S1159" s="311"/>
      <c r="T1159" s="616"/>
      <c r="U1159" s="311">
        <v>0</v>
      </c>
      <c r="V1159" s="311"/>
      <c r="W1159" s="311"/>
      <c r="X1159" s="311"/>
      <c r="Y1159" s="1356">
        <f t="shared" ref="Y1159:Y1165" si="129">+H1159+O1159+R1159</f>
        <v>290247.08</v>
      </c>
      <c r="Z1159" s="1357">
        <f t="shared" ref="Z1159:Z1165" si="130">+I1159+S1159</f>
        <v>0</v>
      </c>
      <c r="AA1159" s="311">
        <f t="shared" ref="AA1159:AA1165" si="131">+J1159+T1159</f>
        <v>0</v>
      </c>
      <c r="AB1159" s="311">
        <f t="shared" ref="AB1159:AB1165" si="132">+K1159+P1159+U1159</f>
        <v>0</v>
      </c>
      <c r="AC1159" s="311">
        <f t="shared" ref="AC1159:AC1165" si="133">+L1159+V1159</f>
        <v>0</v>
      </c>
      <c r="AD1159" s="311">
        <f t="shared" ref="AD1159:AD1165" si="134">+M1159+W1159</f>
        <v>0</v>
      </c>
      <c r="AE1159" s="311">
        <f t="shared" ref="AE1159:AE1165" si="135">+N1159+X1159+Q1159</f>
        <v>0</v>
      </c>
      <c r="AF1159" s="310" t="s">
        <v>523</v>
      </c>
      <c r="AG1159" s="841"/>
      <c r="AH1159" s="744"/>
      <c r="AI1159" s="292"/>
      <c r="AJ1159" s="299"/>
      <c r="AK1159" s="300"/>
      <c r="AL1159" s="299"/>
      <c r="AM1159" s="299"/>
      <c r="AN1159" s="299"/>
      <c r="AO1159" s="299"/>
      <c r="AP1159" s="299"/>
      <c r="AQ1159" s="299"/>
      <c r="AR1159" s="299"/>
      <c r="AS1159" s="452"/>
      <c r="AT1159" s="299"/>
      <c r="AU1159" s="299"/>
      <c r="AV1159" s="299"/>
      <c r="AW1159" s="299"/>
      <c r="AX1159" s="299"/>
      <c r="AY1159" s="299"/>
      <c r="AZ1159" s="299"/>
      <c r="BA1159" s="299"/>
      <c r="BB1159" s="299"/>
      <c r="BC1159" s="299"/>
      <c r="BD1159" s="299"/>
      <c r="BE1159" s="299"/>
      <c r="BF1159" s="299"/>
      <c r="BG1159" s="299"/>
      <c r="BH1159" s="299"/>
      <c r="BI1159" s="299"/>
      <c r="BJ1159" s="299"/>
      <c r="BK1159" s="299"/>
      <c r="BL1159" s="299"/>
      <c r="BM1159" s="299"/>
      <c r="BN1159" s="299"/>
      <c r="BO1159" s="299"/>
      <c r="BP1159" s="299"/>
      <c r="BQ1159" s="299"/>
      <c r="BR1159" s="299"/>
      <c r="BS1159" s="299"/>
      <c r="BT1159" s="299"/>
      <c r="BU1159" s="299"/>
      <c r="BV1159" s="299"/>
      <c r="BW1159" s="299"/>
      <c r="BX1159" s="299"/>
      <c r="BY1159" s="299"/>
      <c r="BZ1159" s="299"/>
      <c r="CA1159" s="299"/>
      <c r="CB1159" s="299"/>
      <c r="CC1159" s="299"/>
      <c r="CD1159" s="299"/>
      <c r="CE1159" s="299"/>
      <c r="CF1159" s="299"/>
      <c r="CG1159" s="299"/>
      <c r="CH1159" s="299"/>
      <c r="CI1159" s="299"/>
      <c r="CJ1159" s="299"/>
      <c r="CK1159" s="299"/>
      <c r="CL1159" s="299"/>
      <c r="CM1159" s="299"/>
      <c r="CN1159" s="299"/>
      <c r="CO1159" s="299"/>
      <c r="CP1159" s="299"/>
      <c r="CQ1159" s="299"/>
      <c r="CR1159" s="299"/>
      <c r="CS1159" s="299"/>
      <c r="CT1159" s="299"/>
      <c r="CU1159" s="299"/>
      <c r="CV1159" s="299"/>
      <c r="CW1159" s="299"/>
      <c r="CX1159" s="299"/>
      <c r="CY1159" s="299"/>
      <c r="CZ1159" s="299"/>
      <c r="DA1159" s="299"/>
      <c r="DB1159" s="299"/>
      <c r="DC1159" s="299"/>
      <c r="DD1159" s="299"/>
      <c r="DE1159" s="299"/>
      <c r="DF1159" s="299"/>
      <c r="DG1159" s="299"/>
      <c r="DH1159" s="299"/>
      <c r="DI1159" s="299"/>
      <c r="DJ1159" s="299"/>
      <c r="DK1159" s="299"/>
      <c r="DL1159" s="299"/>
      <c r="DM1159" s="299"/>
      <c r="DN1159" s="299"/>
      <c r="DO1159" s="299"/>
      <c r="DP1159" s="299"/>
      <c r="DQ1159" s="299"/>
      <c r="DR1159" s="299"/>
      <c r="DS1159" s="299"/>
      <c r="DT1159" s="299"/>
      <c r="DU1159" s="299"/>
      <c r="DV1159" s="299"/>
      <c r="DW1159" s="299"/>
      <c r="DX1159" s="299"/>
      <c r="DY1159" s="299"/>
      <c r="DZ1159" s="299"/>
      <c r="EA1159" s="299"/>
      <c r="EB1159" s="299"/>
      <c r="EC1159" s="299"/>
      <c r="ED1159" s="299"/>
      <c r="EE1159" s="299"/>
      <c r="EF1159" s="299"/>
      <c r="EG1159" s="299"/>
      <c r="EH1159" s="299"/>
      <c r="EI1159" s="299"/>
      <c r="EJ1159" s="299"/>
      <c r="EK1159" s="299"/>
      <c r="EL1159" s="299"/>
      <c r="EM1159" s="299"/>
      <c r="EN1159" s="299"/>
      <c r="EO1159" s="299"/>
      <c r="EP1159" s="299"/>
      <c r="EQ1159" s="299"/>
      <c r="ER1159" s="299"/>
      <c r="ES1159" s="299"/>
      <c r="ET1159" s="299"/>
      <c r="EU1159" s="299"/>
      <c r="EV1159" s="299"/>
      <c r="EW1159" s="299"/>
      <c r="EX1159" s="299"/>
      <c r="EY1159" s="299"/>
      <c r="EZ1159" s="299"/>
      <c r="FA1159" s="299"/>
      <c r="FB1159" s="299"/>
      <c r="FC1159" s="299"/>
      <c r="FD1159" s="299"/>
      <c r="FE1159" s="299"/>
      <c r="FF1159" s="299"/>
      <c r="FG1159" s="299"/>
      <c r="FH1159" s="299"/>
      <c r="FI1159" s="299"/>
      <c r="FJ1159" s="299"/>
      <c r="FK1159" s="299"/>
      <c r="FL1159" s="299"/>
      <c r="FM1159" s="299"/>
      <c r="FN1159" s="299"/>
      <c r="FO1159" s="299"/>
      <c r="FP1159" s="299"/>
      <c r="FQ1159" s="299"/>
      <c r="FR1159" s="299"/>
      <c r="FS1159" s="299"/>
      <c r="FT1159" s="299"/>
      <c r="FU1159" s="299"/>
      <c r="FV1159" s="299"/>
      <c r="FW1159" s="299"/>
      <c r="FX1159" s="299"/>
      <c r="FY1159" s="299"/>
      <c r="FZ1159" s="299"/>
      <c r="GA1159" s="299"/>
      <c r="GB1159" s="299"/>
      <c r="GC1159" s="299"/>
      <c r="GD1159" s="299"/>
      <c r="GE1159" s="299"/>
      <c r="GF1159" s="299"/>
      <c r="GG1159" s="299"/>
      <c r="GH1159" s="299"/>
      <c r="GI1159" s="299"/>
      <c r="GJ1159" s="299"/>
      <c r="GK1159" s="299"/>
      <c r="GL1159" s="299"/>
      <c r="GM1159" s="299"/>
      <c r="GN1159" s="299"/>
      <c r="GO1159" s="299"/>
      <c r="GP1159" s="299"/>
      <c r="GQ1159" s="299"/>
      <c r="GR1159" s="299"/>
      <c r="GS1159" s="299"/>
      <c r="GT1159" s="299"/>
      <c r="GU1159" s="299"/>
      <c r="GV1159" s="299"/>
      <c r="GW1159" s="299"/>
      <c r="GX1159" s="299"/>
      <c r="GY1159" s="299"/>
      <c r="GZ1159" s="299"/>
      <c r="HA1159" s="299"/>
      <c r="HB1159" s="299"/>
      <c r="HC1159" s="299"/>
      <c r="HD1159" s="299"/>
      <c r="HE1159" s="299"/>
      <c r="HF1159" s="299"/>
    </row>
    <row r="1160" spans="1:214" s="298" customFormat="1" ht="27.6">
      <c r="A1160" s="318">
        <v>720</v>
      </c>
      <c r="B1160" s="317">
        <v>200</v>
      </c>
      <c r="C1160" s="317">
        <v>300</v>
      </c>
      <c r="D1160" s="317">
        <v>200</v>
      </c>
      <c r="E1160" s="316">
        <v>30</v>
      </c>
      <c r="F1160" s="316"/>
      <c r="G1160" s="315" t="s">
        <v>524</v>
      </c>
      <c r="H1160" s="314"/>
      <c r="I1160" s="311"/>
      <c r="J1160" s="311"/>
      <c r="K1160" s="311"/>
      <c r="L1160" s="311"/>
      <c r="M1160" s="311"/>
      <c r="N1160" s="312"/>
      <c r="O1160" s="314"/>
      <c r="P1160" s="311">
        <v>0</v>
      </c>
      <c r="Q1160" s="312"/>
      <c r="R1160" s="314"/>
      <c r="S1160" s="311"/>
      <c r="T1160" s="616"/>
      <c r="U1160" s="311">
        <v>0</v>
      </c>
      <c r="V1160" s="311"/>
      <c r="W1160" s="311"/>
      <c r="X1160" s="311"/>
      <c r="Y1160" s="1356">
        <f t="shared" si="129"/>
        <v>0</v>
      </c>
      <c r="Z1160" s="1357">
        <f t="shared" si="130"/>
        <v>0</v>
      </c>
      <c r="AA1160" s="311">
        <f t="shared" si="131"/>
        <v>0</v>
      </c>
      <c r="AB1160" s="311">
        <f t="shared" si="132"/>
        <v>0</v>
      </c>
      <c r="AC1160" s="311">
        <f t="shared" si="133"/>
        <v>0</v>
      </c>
      <c r="AD1160" s="311">
        <f t="shared" si="134"/>
        <v>0</v>
      </c>
      <c r="AE1160" s="311">
        <f t="shared" si="135"/>
        <v>0</v>
      </c>
      <c r="AF1160" s="310" t="s">
        <v>525</v>
      </c>
      <c r="AG1160" s="841"/>
      <c r="AH1160" s="744"/>
      <c r="AI1160" s="292"/>
      <c r="AJ1160" s="299"/>
      <c r="AK1160" s="300"/>
      <c r="AL1160" s="299"/>
      <c r="AM1160" s="299"/>
      <c r="AN1160" s="299"/>
      <c r="AO1160" s="299"/>
      <c r="AP1160" s="299"/>
      <c r="AQ1160" s="299"/>
      <c r="AR1160" s="299"/>
      <c r="AS1160" s="452"/>
      <c r="AT1160" s="299"/>
      <c r="AU1160" s="299"/>
      <c r="AV1160" s="299"/>
      <c r="AW1160" s="299"/>
      <c r="AX1160" s="299"/>
      <c r="AY1160" s="299"/>
      <c r="AZ1160" s="299"/>
      <c r="BA1160" s="299"/>
      <c r="BB1160" s="299"/>
      <c r="BC1160" s="299"/>
      <c r="BD1160" s="299"/>
      <c r="BE1160" s="299"/>
      <c r="BF1160" s="299"/>
      <c r="BG1160" s="299"/>
      <c r="BH1160" s="299"/>
      <c r="BI1160" s="299"/>
      <c r="BJ1160" s="299"/>
      <c r="BK1160" s="299"/>
      <c r="BL1160" s="299"/>
      <c r="BM1160" s="299"/>
      <c r="BN1160" s="299"/>
      <c r="BO1160" s="299"/>
      <c r="BP1160" s="299"/>
      <c r="BQ1160" s="299"/>
      <c r="BR1160" s="299"/>
      <c r="BS1160" s="299"/>
      <c r="BT1160" s="299"/>
      <c r="BU1160" s="299"/>
      <c r="BV1160" s="299"/>
      <c r="BW1160" s="299"/>
      <c r="BX1160" s="299"/>
      <c r="BY1160" s="299"/>
      <c r="BZ1160" s="299"/>
      <c r="CA1160" s="299"/>
      <c r="CB1160" s="299"/>
      <c r="CC1160" s="299"/>
      <c r="CD1160" s="299"/>
      <c r="CE1160" s="299"/>
      <c r="CF1160" s="299"/>
      <c r="CG1160" s="299"/>
      <c r="CH1160" s="299"/>
      <c r="CI1160" s="299"/>
      <c r="CJ1160" s="299"/>
      <c r="CK1160" s="299"/>
      <c r="CL1160" s="299"/>
      <c r="CM1160" s="299"/>
      <c r="CN1160" s="299"/>
      <c r="CO1160" s="299"/>
      <c r="CP1160" s="299"/>
      <c r="CQ1160" s="299"/>
      <c r="CR1160" s="299"/>
      <c r="CS1160" s="299"/>
      <c r="CT1160" s="299"/>
      <c r="CU1160" s="299"/>
      <c r="CV1160" s="299"/>
      <c r="CW1160" s="299"/>
      <c r="CX1160" s="299"/>
      <c r="CY1160" s="299"/>
      <c r="CZ1160" s="299"/>
      <c r="DA1160" s="299"/>
      <c r="DB1160" s="299"/>
      <c r="DC1160" s="299"/>
      <c r="DD1160" s="299"/>
      <c r="DE1160" s="299"/>
      <c r="DF1160" s="299"/>
      <c r="DG1160" s="299"/>
      <c r="DH1160" s="299"/>
      <c r="DI1160" s="299"/>
      <c r="DJ1160" s="299"/>
      <c r="DK1160" s="299"/>
      <c r="DL1160" s="299"/>
      <c r="DM1160" s="299"/>
      <c r="DN1160" s="299"/>
      <c r="DO1160" s="299"/>
      <c r="DP1160" s="299"/>
      <c r="DQ1160" s="299"/>
      <c r="DR1160" s="299"/>
      <c r="DS1160" s="299"/>
      <c r="DT1160" s="299"/>
      <c r="DU1160" s="299"/>
      <c r="DV1160" s="299"/>
      <c r="DW1160" s="299"/>
      <c r="DX1160" s="299"/>
      <c r="DY1160" s="299"/>
      <c r="DZ1160" s="299"/>
      <c r="EA1160" s="299"/>
      <c r="EB1160" s="299"/>
      <c r="EC1160" s="299"/>
      <c r="ED1160" s="299"/>
      <c r="EE1160" s="299"/>
      <c r="EF1160" s="299"/>
      <c r="EG1160" s="299"/>
      <c r="EH1160" s="299"/>
      <c r="EI1160" s="299"/>
      <c r="EJ1160" s="299"/>
      <c r="EK1160" s="299"/>
      <c r="EL1160" s="299"/>
      <c r="EM1160" s="299"/>
      <c r="EN1160" s="299"/>
      <c r="EO1160" s="299"/>
      <c r="EP1160" s="299"/>
      <c r="EQ1160" s="299"/>
      <c r="ER1160" s="299"/>
      <c r="ES1160" s="299"/>
      <c r="ET1160" s="299"/>
      <c r="EU1160" s="299"/>
      <c r="EV1160" s="299"/>
      <c r="EW1160" s="299"/>
      <c r="EX1160" s="299"/>
      <c r="EY1160" s="299"/>
      <c r="EZ1160" s="299"/>
      <c r="FA1160" s="299"/>
      <c r="FB1160" s="299"/>
      <c r="FC1160" s="299"/>
      <c r="FD1160" s="299"/>
      <c r="FE1160" s="299"/>
      <c r="FF1160" s="299"/>
      <c r="FG1160" s="299"/>
      <c r="FH1160" s="299"/>
      <c r="FI1160" s="299"/>
      <c r="FJ1160" s="299"/>
      <c r="FK1160" s="299"/>
      <c r="FL1160" s="299"/>
      <c r="FM1160" s="299"/>
      <c r="FN1160" s="299"/>
      <c r="FO1160" s="299"/>
      <c r="FP1160" s="299"/>
      <c r="FQ1160" s="299"/>
      <c r="FR1160" s="299"/>
      <c r="FS1160" s="299"/>
      <c r="FT1160" s="299"/>
      <c r="FU1160" s="299"/>
      <c r="FV1160" s="299"/>
      <c r="FW1160" s="299"/>
      <c r="FX1160" s="299"/>
      <c r="FY1160" s="299"/>
      <c r="FZ1160" s="299"/>
      <c r="GA1160" s="299"/>
      <c r="GB1160" s="299"/>
      <c r="GC1160" s="299"/>
      <c r="GD1160" s="299"/>
      <c r="GE1160" s="299"/>
      <c r="GF1160" s="299"/>
      <c r="GG1160" s="299"/>
      <c r="GH1160" s="299"/>
      <c r="GI1160" s="299"/>
      <c r="GJ1160" s="299"/>
      <c r="GK1160" s="299"/>
      <c r="GL1160" s="299"/>
      <c r="GM1160" s="299"/>
      <c r="GN1160" s="299"/>
      <c r="GO1160" s="299"/>
      <c r="GP1160" s="299"/>
      <c r="GQ1160" s="299"/>
      <c r="GR1160" s="299"/>
      <c r="GS1160" s="299"/>
      <c r="GT1160" s="299"/>
      <c r="GU1160" s="299"/>
      <c r="GV1160" s="299"/>
      <c r="GW1160" s="299"/>
      <c r="GX1160" s="299"/>
      <c r="GY1160" s="299"/>
      <c r="GZ1160" s="299"/>
      <c r="HA1160" s="299"/>
      <c r="HB1160" s="299"/>
      <c r="HC1160" s="299"/>
      <c r="HD1160" s="299"/>
      <c r="HE1160" s="299"/>
      <c r="HF1160" s="299"/>
    </row>
    <row r="1161" spans="1:214" s="298" customFormat="1" ht="27.6">
      <c r="A1161" s="318">
        <v>720</v>
      </c>
      <c r="B1161" s="317">
        <v>200</v>
      </c>
      <c r="C1161" s="317">
        <v>300</v>
      </c>
      <c r="D1161" s="317">
        <v>200</v>
      </c>
      <c r="E1161" s="316">
        <v>40</v>
      </c>
      <c r="F1161" s="316"/>
      <c r="G1161" s="315" t="s">
        <v>526</v>
      </c>
      <c r="H1161" s="314"/>
      <c r="I1161" s="311"/>
      <c r="J1161" s="311"/>
      <c r="K1161" s="311"/>
      <c r="L1161" s="311"/>
      <c r="M1161" s="311"/>
      <c r="N1161" s="312"/>
      <c r="O1161" s="314"/>
      <c r="P1161" s="311">
        <v>0</v>
      </c>
      <c r="Q1161" s="312"/>
      <c r="R1161" s="314"/>
      <c r="S1161" s="311"/>
      <c r="T1161" s="616"/>
      <c r="U1161" s="311">
        <v>0</v>
      </c>
      <c r="V1161" s="311"/>
      <c r="W1161" s="311"/>
      <c r="X1161" s="311"/>
      <c r="Y1161" s="1356">
        <f t="shared" si="129"/>
        <v>0</v>
      </c>
      <c r="Z1161" s="1357">
        <f t="shared" si="130"/>
        <v>0</v>
      </c>
      <c r="AA1161" s="311">
        <f t="shared" si="131"/>
        <v>0</v>
      </c>
      <c r="AB1161" s="311">
        <f t="shared" si="132"/>
        <v>0</v>
      </c>
      <c r="AC1161" s="311">
        <f t="shared" si="133"/>
        <v>0</v>
      </c>
      <c r="AD1161" s="311">
        <f t="shared" si="134"/>
        <v>0</v>
      </c>
      <c r="AE1161" s="311">
        <f t="shared" si="135"/>
        <v>0</v>
      </c>
      <c r="AF1161" s="310" t="s">
        <v>527</v>
      </c>
      <c r="AG1161" s="841"/>
      <c r="AH1161" s="744"/>
      <c r="AI1161" s="292"/>
      <c r="AJ1161" s="299"/>
      <c r="AK1161" s="300"/>
      <c r="AL1161" s="299"/>
      <c r="AM1161" s="299"/>
      <c r="AN1161" s="299"/>
      <c r="AO1161" s="299"/>
      <c r="AP1161" s="299"/>
      <c r="AQ1161" s="299"/>
      <c r="AR1161" s="299"/>
      <c r="AS1161" s="452"/>
      <c r="AT1161" s="299"/>
      <c r="AU1161" s="299"/>
      <c r="AV1161" s="299"/>
      <c r="AW1161" s="299"/>
      <c r="AX1161" s="299"/>
      <c r="AY1161" s="299"/>
      <c r="AZ1161" s="299"/>
      <c r="BA1161" s="299"/>
      <c r="BB1161" s="299"/>
      <c r="BC1161" s="299"/>
      <c r="BD1161" s="299"/>
      <c r="BE1161" s="299"/>
      <c r="BF1161" s="299"/>
      <c r="BG1161" s="299"/>
      <c r="BH1161" s="299"/>
      <c r="BI1161" s="299"/>
      <c r="BJ1161" s="299"/>
      <c r="BK1161" s="299"/>
      <c r="BL1161" s="299"/>
      <c r="BM1161" s="299"/>
      <c r="BN1161" s="299"/>
      <c r="BO1161" s="299"/>
      <c r="BP1161" s="299"/>
      <c r="BQ1161" s="299"/>
      <c r="BR1161" s="299"/>
      <c r="BS1161" s="299"/>
      <c r="BT1161" s="299"/>
      <c r="BU1161" s="299"/>
      <c r="BV1161" s="299"/>
      <c r="BW1161" s="299"/>
      <c r="BX1161" s="299"/>
      <c r="BY1161" s="299"/>
      <c r="BZ1161" s="299"/>
      <c r="CA1161" s="299"/>
      <c r="CB1161" s="299"/>
      <c r="CC1161" s="299"/>
      <c r="CD1161" s="299"/>
      <c r="CE1161" s="299"/>
      <c r="CF1161" s="299"/>
      <c r="CG1161" s="299"/>
      <c r="CH1161" s="299"/>
      <c r="CI1161" s="299"/>
      <c r="CJ1161" s="299"/>
      <c r="CK1161" s="299"/>
      <c r="CL1161" s="299"/>
      <c r="CM1161" s="299"/>
      <c r="CN1161" s="299"/>
      <c r="CO1161" s="299"/>
      <c r="CP1161" s="299"/>
      <c r="CQ1161" s="299"/>
      <c r="CR1161" s="299"/>
      <c r="CS1161" s="299"/>
      <c r="CT1161" s="299"/>
      <c r="CU1161" s="299"/>
      <c r="CV1161" s="299"/>
      <c r="CW1161" s="299"/>
      <c r="CX1161" s="299"/>
      <c r="CY1161" s="299"/>
      <c r="CZ1161" s="299"/>
      <c r="DA1161" s="299"/>
      <c r="DB1161" s="299"/>
      <c r="DC1161" s="299"/>
      <c r="DD1161" s="299"/>
      <c r="DE1161" s="299"/>
      <c r="DF1161" s="299"/>
      <c r="DG1161" s="299"/>
      <c r="DH1161" s="299"/>
      <c r="DI1161" s="299"/>
      <c r="DJ1161" s="299"/>
      <c r="DK1161" s="299"/>
      <c r="DL1161" s="299"/>
      <c r="DM1161" s="299"/>
      <c r="DN1161" s="299"/>
      <c r="DO1161" s="299"/>
      <c r="DP1161" s="299"/>
      <c r="DQ1161" s="299"/>
      <c r="DR1161" s="299"/>
      <c r="DS1161" s="299"/>
      <c r="DT1161" s="299"/>
      <c r="DU1161" s="299"/>
      <c r="DV1161" s="299"/>
      <c r="DW1161" s="299"/>
      <c r="DX1161" s="299"/>
      <c r="DY1161" s="299"/>
      <c r="DZ1161" s="299"/>
      <c r="EA1161" s="299"/>
      <c r="EB1161" s="299"/>
      <c r="EC1161" s="299"/>
      <c r="ED1161" s="299"/>
      <c r="EE1161" s="299"/>
      <c r="EF1161" s="299"/>
      <c r="EG1161" s="299"/>
      <c r="EH1161" s="299"/>
      <c r="EI1161" s="299"/>
      <c r="EJ1161" s="299"/>
      <c r="EK1161" s="299"/>
      <c r="EL1161" s="299"/>
      <c r="EM1161" s="299"/>
      <c r="EN1161" s="299"/>
      <c r="EO1161" s="299"/>
      <c r="EP1161" s="299"/>
      <c r="EQ1161" s="299"/>
      <c r="ER1161" s="299"/>
      <c r="ES1161" s="299"/>
      <c r="ET1161" s="299"/>
      <c r="EU1161" s="299"/>
      <c r="EV1161" s="299"/>
      <c r="EW1161" s="299"/>
      <c r="EX1161" s="299"/>
      <c r="EY1161" s="299"/>
      <c r="EZ1161" s="299"/>
      <c r="FA1161" s="299"/>
      <c r="FB1161" s="299"/>
      <c r="FC1161" s="299"/>
      <c r="FD1161" s="299"/>
      <c r="FE1161" s="299"/>
      <c r="FF1161" s="299"/>
      <c r="FG1161" s="299"/>
      <c r="FH1161" s="299"/>
      <c r="FI1161" s="299"/>
      <c r="FJ1161" s="299"/>
      <c r="FK1161" s="299"/>
      <c r="FL1161" s="299"/>
      <c r="FM1161" s="299"/>
      <c r="FN1161" s="299"/>
      <c r="FO1161" s="299"/>
      <c r="FP1161" s="299"/>
      <c r="FQ1161" s="299"/>
      <c r="FR1161" s="299"/>
      <c r="FS1161" s="299"/>
      <c r="FT1161" s="299"/>
      <c r="FU1161" s="299"/>
      <c r="FV1161" s="299"/>
      <c r="FW1161" s="299"/>
      <c r="FX1161" s="299"/>
      <c r="FY1161" s="299"/>
      <c r="FZ1161" s="299"/>
      <c r="GA1161" s="299"/>
      <c r="GB1161" s="299"/>
      <c r="GC1161" s="299"/>
      <c r="GD1161" s="299"/>
      <c r="GE1161" s="299"/>
      <c r="GF1161" s="299"/>
      <c r="GG1161" s="299"/>
      <c r="GH1161" s="299"/>
      <c r="GI1161" s="299"/>
      <c r="GJ1161" s="299"/>
      <c r="GK1161" s="299"/>
      <c r="GL1161" s="299"/>
      <c r="GM1161" s="299"/>
      <c r="GN1161" s="299"/>
      <c r="GO1161" s="299"/>
      <c r="GP1161" s="299"/>
      <c r="GQ1161" s="299"/>
      <c r="GR1161" s="299"/>
      <c r="GS1161" s="299"/>
      <c r="GT1161" s="299"/>
      <c r="GU1161" s="299"/>
      <c r="GV1161" s="299"/>
      <c r="GW1161" s="299"/>
      <c r="GX1161" s="299"/>
      <c r="GY1161" s="299"/>
      <c r="GZ1161" s="299"/>
      <c r="HA1161" s="299"/>
      <c r="HB1161" s="299"/>
      <c r="HC1161" s="299"/>
      <c r="HD1161" s="299"/>
      <c r="HE1161" s="299"/>
      <c r="HF1161" s="299"/>
    </row>
    <row r="1162" spans="1:214" s="298" customFormat="1" ht="41.4">
      <c r="A1162" s="318">
        <v>720</v>
      </c>
      <c r="B1162" s="317">
        <v>200</v>
      </c>
      <c r="C1162" s="317">
        <v>300</v>
      </c>
      <c r="D1162" s="317">
        <v>200</v>
      </c>
      <c r="E1162" s="316">
        <v>50</v>
      </c>
      <c r="F1162" s="316"/>
      <c r="G1162" s="315" t="s">
        <v>528</v>
      </c>
      <c r="H1162" s="314"/>
      <c r="I1162" s="311"/>
      <c r="J1162" s="311"/>
      <c r="K1162" s="311"/>
      <c r="L1162" s="311"/>
      <c r="M1162" s="311"/>
      <c r="N1162" s="312"/>
      <c r="O1162" s="314"/>
      <c r="P1162" s="311">
        <v>0</v>
      </c>
      <c r="Q1162" s="312"/>
      <c r="R1162" s="314"/>
      <c r="S1162" s="311"/>
      <c r="T1162" s="616"/>
      <c r="U1162" s="311">
        <v>0</v>
      </c>
      <c r="V1162" s="311"/>
      <c r="W1162" s="311"/>
      <c r="X1162" s="311"/>
      <c r="Y1162" s="1356">
        <f t="shared" si="129"/>
        <v>0</v>
      </c>
      <c r="Z1162" s="1357">
        <f t="shared" si="130"/>
        <v>0</v>
      </c>
      <c r="AA1162" s="311">
        <f t="shared" si="131"/>
        <v>0</v>
      </c>
      <c r="AB1162" s="311">
        <f t="shared" si="132"/>
        <v>0</v>
      </c>
      <c r="AC1162" s="311">
        <f t="shared" si="133"/>
        <v>0</v>
      </c>
      <c r="AD1162" s="311">
        <f t="shared" si="134"/>
        <v>0</v>
      </c>
      <c r="AE1162" s="311">
        <f t="shared" si="135"/>
        <v>0</v>
      </c>
      <c r="AF1162" s="310" t="s">
        <v>529</v>
      </c>
      <c r="AG1162" s="841"/>
      <c r="AH1162" s="744"/>
      <c r="AI1162" s="292"/>
      <c r="AJ1162" s="299"/>
      <c r="AK1162" s="300"/>
      <c r="AL1162" s="299"/>
      <c r="AM1162" s="299"/>
      <c r="AN1162" s="299"/>
      <c r="AO1162" s="299"/>
      <c r="AP1162" s="299"/>
      <c r="AQ1162" s="299"/>
      <c r="AR1162" s="299"/>
      <c r="AS1162" s="452"/>
      <c r="AT1162" s="299"/>
      <c r="AU1162" s="299"/>
      <c r="AV1162" s="299"/>
      <c r="AW1162" s="299"/>
      <c r="AX1162" s="299"/>
      <c r="AY1162" s="299"/>
      <c r="AZ1162" s="299"/>
      <c r="BA1162" s="299"/>
      <c r="BB1162" s="299"/>
      <c r="BC1162" s="299"/>
      <c r="BD1162" s="299"/>
      <c r="BE1162" s="299"/>
      <c r="BF1162" s="299"/>
      <c r="BG1162" s="299"/>
      <c r="BH1162" s="299"/>
      <c r="BI1162" s="299"/>
      <c r="BJ1162" s="299"/>
      <c r="BK1162" s="299"/>
      <c r="BL1162" s="299"/>
      <c r="BM1162" s="299"/>
      <c r="BN1162" s="299"/>
      <c r="BO1162" s="299"/>
      <c r="BP1162" s="299"/>
      <c r="BQ1162" s="299"/>
      <c r="BR1162" s="299"/>
      <c r="BS1162" s="299"/>
      <c r="BT1162" s="299"/>
      <c r="BU1162" s="299"/>
      <c r="BV1162" s="299"/>
      <c r="BW1162" s="299"/>
      <c r="BX1162" s="299"/>
      <c r="BY1162" s="299"/>
      <c r="BZ1162" s="299"/>
      <c r="CA1162" s="299"/>
      <c r="CB1162" s="299"/>
      <c r="CC1162" s="299"/>
      <c r="CD1162" s="299"/>
      <c r="CE1162" s="299"/>
      <c r="CF1162" s="299"/>
      <c r="CG1162" s="299"/>
      <c r="CH1162" s="299"/>
      <c r="CI1162" s="299"/>
      <c r="CJ1162" s="299"/>
      <c r="CK1162" s="299"/>
      <c r="CL1162" s="299"/>
      <c r="CM1162" s="299"/>
      <c r="CN1162" s="299"/>
      <c r="CO1162" s="299"/>
      <c r="CP1162" s="299"/>
      <c r="CQ1162" s="299"/>
      <c r="CR1162" s="299"/>
      <c r="CS1162" s="299"/>
      <c r="CT1162" s="299"/>
      <c r="CU1162" s="299"/>
      <c r="CV1162" s="299"/>
      <c r="CW1162" s="299"/>
      <c r="CX1162" s="299"/>
      <c r="CY1162" s="299"/>
      <c r="CZ1162" s="299"/>
      <c r="DA1162" s="299"/>
      <c r="DB1162" s="299"/>
      <c r="DC1162" s="299"/>
      <c r="DD1162" s="299"/>
      <c r="DE1162" s="299"/>
      <c r="DF1162" s="299"/>
      <c r="DG1162" s="299"/>
      <c r="DH1162" s="299"/>
      <c r="DI1162" s="299"/>
      <c r="DJ1162" s="299"/>
      <c r="DK1162" s="299"/>
      <c r="DL1162" s="299"/>
      <c r="DM1162" s="299"/>
      <c r="DN1162" s="299"/>
      <c r="DO1162" s="299"/>
      <c r="DP1162" s="299"/>
      <c r="DQ1162" s="299"/>
      <c r="DR1162" s="299"/>
      <c r="DS1162" s="299"/>
      <c r="DT1162" s="299"/>
      <c r="DU1162" s="299"/>
      <c r="DV1162" s="299"/>
      <c r="DW1162" s="299"/>
      <c r="DX1162" s="299"/>
      <c r="DY1162" s="299"/>
      <c r="DZ1162" s="299"/>
      <c r="EA1162" s="299"/>
      <c r="EB1162" s="299"/>
      <c r="EC1162" s="299"/>
      <c r="ED1162" s="299"/>
      <c r="EE1162" s="299"/>
      <c r="EF1162" s="299"/>
      <c r="EG1162" s="299"/>
      <c r="EH1162" s="299"/>
      <c r="EI1162" s="299"/>
      <c r="EJ1162" s="299"/>
      <c r="EK1162" s="299"/>
      <c r="EL1162" s="299"/>
      <c r="EM1162" s="299"/>
      <c r="EN1162" s="299"/>
      <c r="EO1162" s="299"/>
      <c r="EP1162" s="299"/>
      <c r="EQ1162" s="299"/>
      <c r="ER1162" s="299"/>
      <c r="ES1162" s="299"/>
      <c r="ET1162" s="299"/>
      <c r="EU1162" s="299"/>
      <c r="EV1162" s="299"/>
      <c r="EW1162" s="299"/>
      <c r="EX1162" s="299"/>
      <c r="EY1162" s="299"/>
      <c r="EZ1162" s="299"/>
      <c r="FA1162" s="299"/>
      <c r="FB1162" s="299"/>
      <c r="FC1162" s="299"/>
      <c r="FD1162" s="299"/>
      <c r="FE1162" s="299"/>
      <c r="FF1162" s="299"/>
      <c r="FG1162" s="299"/>
      <c r="FH1162" s="299"/>
      <c r="FI1162" s="299"/>
      <c r="FJ1162" s="299"/>
      <c r="FK1162" s="299"/>
      <c r="FL1162" s="299"/>
      <c r="FM1162" s="299"/>
      <c r="FN1162" s="299"/>
      <c r="FO1162" s="299"/>
      <c r="FP1162" s="299"/>
      <c r="FQ1162" s="299"/>
      <c r="FR1162" s="299"/>
      <c r="FS1162" s="299"/>
      <c r="FT1162" s="299"/>
      <c r="FU1162" s="299"/>
      <c r="FV1162" s="299"/>
      <c r="FW1162" s="299"/>
      <c r="FX1162" s="299"/>
      <c r="FY1162" s="299"/>
      <c r="FZ1162" s="299"/>
      <c r="GA1162" s="299"/>
      <c r="GB1162" s="299"/>
      <c r="GC1162" s="299"/>
      <c r="GD1162" s="299"/>
      <c r="GE1162" s="299"/>
      <c r="GF1162" s="299"/>
      <c r="GG1162" s="299"/>
      <c r="GH1162" s="299"/>
      <c r="GI1162" s="299"/>
      <c r="GJ1162" s="299"/>
      <c r="GK1162" s="299"/>
      <c r="GL1162" s="299"/>
      <c r="GM1162" s="299"/>
      <c r="GN1162" s="299"/>
      <c r="GO1162" s="299"/>
      <c r="GP1162" s="299"/>
      <c r="GQ1162" s="299"/>
      <c r="GR1162" s="299"/>
      <c r="GS1162" s="299"/>
      <c r="GT1162" s="299"/>
      <c r="GU1162" s="299"/>
      <c r="GV1162" s="299"/>
      <c r="GW1162" s="299"/>
      <c r="GX1162" s="299"/>
      <c r="GY1162" s="299"/>
      <c r="GZ1162" s="299"/>
      <c r="HA1162" s="299"/>
      <c r="HB1162" s="299"/>
      <c r="HC1162" s="299"/>
      <c r="HD1162" s="299"/>
      <c r="HE1162" s="299"/>
      <c r="HF1162" s="299"/>
    </row>
    <row r="1163" spans="1:214" s="298" customFormat="1" ht="27.6">
      <c r="A1163" s="318">
        <v>720</v>
      </c>
      <c r="B1163" s="317">
        <v>200</v>
      </c>
      <c r="C1163" s="317">
        <v>300</v>
      </c>
      <c r="D1163" s="317">
        <v>200</v>
      </c>
      <c r="E1163" s="316">
        <v>60</v>
      </c>
      <c r="F1163" s="316"/>
      <c r="G1163" s="315" t="s">
        <v>530</v>
      </c>
      <c r="H1163" s="314"/>
      <c r="I1163" s="311"/>
      <c r="J1163" s="311"/>
      <c r="K1163" s="311"/>
      <c r="L1163" s="311"/>
      <c r="M1163" s="311"/>
      <c r="N1163" s="312"/>
      <c r="O1163" s="314"/>
      <c r="P1163" s="311">
        <v>0</v>
      </c>
      <c r="Q1163" s="312"/>
      <c r="R1163" s="314"/>
      <c r="S1163" s="311"/>
      <c r="T1163" s="616"/>
      <c r="U1163" s="311">
        <v>105.34</v>
      </c>
      <c r="V1163" s="311"/>
      <c r="W1163" s="311"/>
      <c r="X1163" s="311"/>
      <c r="Y1163" s="1356">
        <f t="shared" si="129"/>
        <v>0</v>
      </c>
      <c r="Z1163" s="1357">
        <f t="shared" si="130"/>
        <v>0</v>
      </c>
      <c r="AA1163" s="311">
        <f t="shared" si="131"/>
        <v>0</v>
      </c>
      <c r="AB1163" s="311">
        <f t="shared" si="132"/>
        <v>105.34</v>
      </c>
      <c r="AC1163" s="311">
        <f t="shared" si="133"/>
        <v>0</v>
      </c>
      <c r="AD1163" s="311">
        <f t="shared" si="134"/>
        <v>0</v>
      </c>
      <c r="AE1163" s="311">
        <f t="shared" si="135"/>
        <v>0</v>
      </c>
      <c r="AF1163" s="310" t="s">
        <v>531</v>
      </c>
      <c r="AG1163" s="841"/>
      <c r="AH1163" s="744"/>
      <c r="AI1163" s="292"/>
      <c r="AJ1163" s="299"/>
      <c r="AK1163" s="300"/>
      <c r="AL1163" s="299"/>
      <c r="AM1163" s="299"/>
      <c r="AN1163" s="299"/>
      <c r="AO1163" s="299"/>
      <c r="AP1163" s="299"/>
      <c r="AQ1163" s="299"/>
      <c r="AR1163" s="299"/>
      <c r="AS1163" s="452"/>
      <c r="AT1163" s="299"/>
      <c r="AU1163" s="299"/>
      <c r="AV1163" s="299"/>
      <c r="AW1163" s="299"/>
      <c r="AX1163" s="299"/>
      <c r="AY1163" s="299"/>
      <c r="AZ1163" s="299"/>
      <c r="BA1163" s="299"/>
      <c r="BB1163" s="299"/>
      <c r="BC1163" s="299"/>
      <c r="BD1163" s="299"/>
      <c r="BE1163" s="299"/>
      <c r="BF1163" s="299"/>
      <c r="BG1163" s="299"/>
      <c r="BH1163" s="299"/>
      <c r="BI1163" s="299"/>
      <c r="BJ1163" s="299"/>
      <c r="BK1163" s="299"/>
      <c r="BL1163" s="299"/>
      <c r="BM1163" s="299"/>
      <c r="BN1163" s="299"/>
      <c r="BO1163" s="299"/>
      <c r="BP1163" s="299"/>
      <c r="BQ1163" s="299"/>
      <c r="BR1163" s="299"/>
      <c r="BS1163" s="299"/>
      <c r="BT1163" s="299"/>
      <c r="BU1163" s="299"/>
      <c r="BV1163" s="299"/>
      <c r="BW1163" s="299"/>
      <c r="BX1163" s="299"/>
      <c r="BY1163" s="299"/>
      <c r="BZ1163" s="299"/>
      <c r="CA1163" s="299"/>
      <c r="CB1163" s="299"/>
      <c r="CC1163" s="299"/>
      <c r="CD1163" s="299"/>
      <c r="CE1163" s="299"/>
      <c r="CF1163" s="299"/>
      <c r="CG1163" s="299"/>
      <c r="CH1163" s="299"/>
      <c r="CI1163" s="299"/>
      <c r="CJ1163" s="299"/>
      <c r="CK1163" s="299"/>
      <c r="CL1163" s="299"/>
      <c r="CM1163" s="299"/>
      <c r="CN1163" s="299"/>
      <c r="CO1163" s="299"/>
      <c r="CP1163" s="299"/>
      <c r="CQ1163" s="299"/>
      <c r="CR1163" s="299"/>
      <c r="CS1163" s="299"/>
      <c r="CT1163" s="299"/>
      <c r="CU1163" s="299"/>
      <c r="CV1163" s="299"/>
      <c r="CW1163" s="299"/>
      <c r="CX1163" s="299"/>
      <c r="CY1163" s="299"/>
      <c r="CZ1163" s="299"/>
      <c r="DA1163" s="299"/>
      <c r="DB1163" s="299"/>
      <c r="DC1163" s="299"/>
      <c r="DD1163" s="299"/>
      <c r="DE1163" s="299"/>
      <c r="DF1163" s="299"/>
      <c r="DG1163" s="299"/>
      <c r="DH1163" s="299"/>
      <c r="DI1163" s="299"/>
      <c r="DJ1163" s="299"/>
      <c r="DK1163" s="299"/>
      <c r="DL1163" s="299"/>
      <c r="DM1163" s="299"/>
      <c r="DN1163" s="299"/>
      <c r="DO1163" s="299"/>
      <c r="DP1163" s="299"/>
      <c r="DQ1163" s="299"/>
      <c r="DR1163" s="299"/>
      <c r="DS1163" s="299"/>
      <c r="DT1163" s="299"/>
      <c r="DU1163" s="299"/>
      <c r="DV1163" s="299"/>
      <c r="DW1163" s="299"/>
      <c r="DX1163" s="299"/>
      <c r="DY1163" s="299"/>
      <c r="DZ1163" s="299"/>
      <c r="EA1163" s="299"/>
      <c r="EB1163" s="299"/>
      <c r="EC1163" s="299"/>
      <c r="ED1163" s="299"/>
      <c r="EE1163" s="299"/>
      <c r="EF1163" s="299"/>
      <c r="EG1163" s="299"/>
      <c r="EH1163" s="299"/>
      <c r="EI1163" s="299"/>
      <c r="EJ1163" s="299"/>
      <c r="EK1163" s="299"/>
      <c r="EL1163" s="299"/>
      <c r="EM1163" s="299"/>
      <c r="EN1163" s="299"/>
      <c r="EO1163" s="299"/>
      <c r="EP1163" s="299"/>
      <c r="EQ1163" s="299"/>
      <c r="ER1163" s="299"/>
      <c r="ES1163" s="299"/>
      <c r="ET1163" s="299"/>
      <c r="EU1163" s="299"/>
      <c r="EV1163" s="299"/>
      <c r="EW1163" s="299"/>
      <c r="EX1163" s="299"/>
      <c r="EY1163" s="299"/>
      <c r="EZ1163" s="299"/>
      <c r="FA1163" s="299"/>
      <c r="FB1163" s="299"/>
      <c r="FC1163" s="299"/>
      <c r="FD1163" s="299"/>
      <c r="FE1163" s="299"/>
      <c r="FF1163" s="299"/>
      <c r="FG1163" s="299"/>
      <c r="FH1163" s="299"/>
      <c r="FI1163" s="299"/>
      <c r="FJ1163" s="299"/>
      <c r="FK1163" s="299"/>
      <c r="FL1163" s="299"/>
      <c r="FM1163" s="299"/>
      <c r="FN1163" s="299"/>
      <c r="FO1163" s="299"/>
      <c r="FP1163" s="299"/>
      <c r="FQ1163" s="299"/>
      <c r="FR1163" s="299"/>
      <c r="FS1163" s="299"/>
      <c r="FT1163" s="299"/>
      <c r="FU1163" s="299"/>
      <c r="FV1163" s="299"/>
      <c r="FW1163" s="299"/>
      <c r="FX1163" s="299"/>
      <c r="FY1163" s="299"/>
      <c r="FZ1163" s="299"/>
      <c r="GA1163" s="299"/>
      <c r="GB1163" s="299"/>
      <c r="GC1163" s="299"/>
      <c r="GD1163" s="299"/>
      <c r="GE1163" s="299"/>
      <c r="GF1163" s="299"/>
      <c r="GG1163" s="299"/>
      <c r="GH1163" s="299"/>
      <c r="GI1163" s="299"/>
      <c r="GJ1163" s="299"/>
      <c r="GK1163" s="299"/>
      <c r="GL1163" s="299"/>
      <c r="GM1163" s="299"/>
      <c r="GN1163" s="299"/>
      <c r="GO1163" s="299"/>
      <c r="GP1163" s="299"/>
      <c r="GQ1163" s="299"/>
      <c r="GR1163" s="299"/>
      <c r="GS1163" s="299"/>
      <c r="GT1163" s="299"/>
      <c r="GU1163" s="299"/>
      <c r="GV1163" s="299"/>
      <c r="GW1163" s="299"/>
      <c r="GX1163" s="299"/>
      <c r="GY1163" s="299"/>
      <c r="GZ1163" s="299"/>
      <c r="HA1163" s="299"/>
      <c r="HB1163" s="299"/>
      <c r="HC1163" s="299"/>
      <c r="HD1163" s="299"/>
      <c r="HE1163" s="299"/>
      <c r="HF1163" s="299"/>
    </row>
    <row r="1164" spans="1:214" s="298" customFormat="1">
      <c r="A1164" s="318">
        <v>720</v>
      </c>
      <c r="B1164" s="317">
        <v>200</v>
      </c>
      <c r="C1164" s="317">
        <v>300</v>
      </c>
      <c r="D1164" s="317">
        <v>200</v>
      </c>
      <c r="E1164" s="316">
        <v>90</v>
      </c>
      <c r="F1164" s="316"/>
      <c r="G1164" s="315" t="s">
        <v>532</v>
      </c>
      <c r="H1164" s="313"/>
      <c r="I1164" s="311"/>
      <c r="J1164" s="311"/>
      <c r="K1164" s="311"/>
      <c r="L1164" s="311"/>
      <c r="M1164" s="311"/>
      <c r="N1164" s="312"/>
      <c r="O1164" s="313"/>
      <c r="P1164" s="311">
        <v>0</v>
      </c>
      <c r="Q1164" s="312"/>
      <c r="R1164" s="314">
        <f>101377.81+51274.44</f>
        <v>152652.25</v>
      </c>
      <c r="S1164" s="311"/>
      <c r="T1164" s="616"/>
      <c r="U1164" s="311">
        <v>40451.43</v>
      </c>
      <c r="V1164" s="311"/>
      <c r="W1164" s="311"/>
      <c r="X1164" s="311"/>
      <c r="Y1164" s="1356">
        <f t="shared" si="129"/>
        <v>152652.25</v>
      </c>
      <c r="Z1164" s="1357">
        <f t="shared" si="130"/>
        <v>0</v>
      </c>
      <c r="AA1164" s="311">
        <f t="shared" si="131"/>
        <v>0</v>
      </c>
      <c r="AB1164" s="311">
        <f t="shared" si="132"/>
        <v>40451.43</v>
      </c>
      <c r="AC1164" s="311">
        <f t="shared" si="133"/>
        <v>0</v>
      </c>
      <c r="AD1164" s="311">
        <f t="shared" si="134"/>
        <v>0</v>
      </c>
      <c r="AE1164" s="311">
        <f t="shared" si="135"/>
        <v>0</v>
      </c>
      <c r="AF1164" s="310" t="s">
        <v>533</v>
      </c>
      <c r="AG1164" s="841"/>
      <c r="AH1164" s="744"/>
      <c r="AI1164" s="292"/>
      <c r="AJ1164" s="299"/>
      <c r="AK1164" s="300"/>
      <c r="AL1164" s="299"/>
      <c r="AM1164" s="299"/>
      <c r="AN1164" s="299"/>
      <c r="AO1164" s="299"/>
      <c r="AP1164" s="299"/>
      <c r="AQ1164" s="299"/>
      <c r="AR1164" s="299"/>
      <c r="AS1164" s="452"/>
      <c r="AT1164" s="299"/>
      <c r="AU1164" s="299"/>
      <c r="AV1164" s="299"/>
      <c r="AW1164" s="299"/>
      <c r="AX1164" s="299"/>
      <c r="AY1164" s="299"/>
      <c r="AZ1164" s="299"/>
      <c r="BA1164" s="299"/>
      <c r="BB1164" s="299"/>
      <c r="BC1164" s="299"/>
      <c r="BD1164" s="299"/>
      <c r="BE1164" s="299"/>
      <c r="BF1164" s="299"/>
      <c r="BG1164" s="299"/>
      <c r="BH1164" s="299"/>
      <c r="BI1164" s="299"/>
      <c r="BJ1164" s="299"/>
      <c r="BK1164" s="299"/>
      <c r="BL1164" s="299"/>
      <c r="BM1164" s="299"/>
      <c r="BN1164" s="299"/>
      <c r="BO1164" s="299"/>
      <c r="BP1164" s="299"/>
      <c r="BQ1164" s="299"/>
      <c r="BR1164" s="299"/>
      <c r="BS1164" s="299"/>
      <c r="BT1164" s="299"/>
      <c r="BU1164" s="299"/>
      <c r="BV1164" s="299"/>
      <c r="BW1164" s="299"/>
      <c r="BX1164" s="299"/>
      <c r="BY1164" s="299"/>
      <c r="BZ1164" s="299"/>
      <c r="CA1164" s="299"/>
      <c r="CB1164" s="299"/>
      <c r="CC1164" s="299"/>
      <c r="CD1164" s="299"/>
      <c r="CE1164" s="299"/>
      <c r="CF1164" s="299"/>
      <c r="CG1164" s="299"/>
      <c r="CH1164" s="299"/>
      <c r="CI1164" s="299"/>
      <c r="CJ1164" s="299"/>
      <c r="CK1164" s="299"/>
      <c r="CL1164" s="299"/>
      <c r="CM1164" s="299"/>
      <c r="CN1164" s="299"/>
      <c r="CO1164" s="299"/>
      <c r="CP1164" s="299"/>
      <c r="CQ1164" s="299"/>
      <c r="CR1164" s="299"/>
      <c r="CS1164" s="299"/>
      <c r="CT1164" s="299"/>
      <c r="CU1164" s="299"/>
      <c r="CV1164" s="299"/>
      <c r="CW1164" s="299"/>
      <c r="CX1164" s="299"/>
      <c r="CY1164" s="299"/>
      <c r="CZ1164" s="299"/>
      <c r="DA1164" s="299"/>
      <c r="DB1164" s="299"/>
      <c r="DC1164" s="299"/>
      <c r="DD1164" s="299"/>
      <c r="DE1164" s="299"/>
      <c r="DF1164" s="299"/>
      <c r="DG1164" s="299"/>
      <c r="DH1164" s="299"/>
      <c r="DI1164" s="299"/>
      <c r="DJ1164" s="299"/>
      <c r="DK1164" s="299"/>
      <c r="DL1164" s="299"/>
      <c r="DM1164" s="299"/>
      <c r="DN1164" s="299"/>
      <c r="DO1164" s="299"/>
      <c r="DP1164" s="299"/>
      <c r="DQ1164" s="299"/>
      <c r="DR1164" s="299"/>
      <c r="DS1164" s="299"/>
      <c r="DT1164" s="299"/>
      <c r="DU1164" s="299"/>
      <c r="DV1164" s="299"/>
      <c r="DW1164" s="299"/>
      <c r="DX1164" s="299"/>
      <c r="DY1164" s="299"/>
      <c r="DZ1164" s="299"/>
      <c r="EA1164" s="299"/>
      <c r="EB1164" s="299"/>
      <c r="EC1164" s="299"/>
      <c r="ED1164" s="299"/>
      <c r="EE1164" s="299"/>
      <c r="EF1164" s="299"/>
      <c r="EG1164" s="299"/>
      <c r="EH1164" s="299"/>
      <c r="EI1164" s="299"/>
      <c r="EJ1164" s="299"/>
      <c r="EK1164" s="299"/>
      <c r="EL1164" s="299"/>
      <c r="EM1164" s="299"/>
      <c r="EN1164" s="299"/>
      <c r="EO1164" s="299"/>
      <c r="EP1164" s="299"/>
      <c r="EQ1164" s="299"/>
      <c r="ER1164" s="299"/>
      <c r="ES1164" s="299"/>
      <c r="ET1164" s="299"/>
      <c r="EU1164" s="299"/>
      <c r="EV1164" s="299"/>
      <c r="EW1164" s="299"/>
      <c r="EX1164" s="299"/>
      <c r="EY1164" s="299"/>
      <c r="EZ1164" s="299"/>
      <c r="FA1164" s="299"/>
      <c r="FB1164" s="299"/>
      <c r="FC1164" s="299"/>
      <c r="FD1164" s="299"/>
      <c r="FE1164" s="299"/>
      <c r="FF1164" s="299"/>
      <c r="FG1164" s="299"/>
      <c r="FH1164" s="299"/>
      <c r="FI1164" s="299"/>
      <c r="FJ1164" s="299"/>
      <c r="FK1164" s="299"/>
      <c r="FL1164" s="299"/>
      <c r="FM1164" s="299"/>
      <c r="FN1164" s="299"/>
      <c r="FO1164" s="299"/>
      <c r="FP1164" s="299"/>
      <c r="FQ1164" s="299"/>
      <c r="FR1164" s="299"/>
      <c r="FS1164" s="299"/>
      <c r="FT1164" s="299"/>
      <c r="FU1164" s="299"/>
      <c r="FV1164" s="299"/>
      <c r="FW1164" s="299"/>
      <c r="FX1164" s="299"/>
      <c r="FY1164" s="299"/>
      <c r="FZ1164" s="299"/>
      <c r="GA1164" s="299"/>
      <c r="GB1164" s="299"/>
      <c r="GC1164" s="299"/>
      <c r="GD1164" s="299"/>
      <c r="GE1164" s="299"/>
      <c r="GF1164" s="299"/>
      <c r="GG1164" s="299"/>
      <c r="GH1164" s="299"/>
      <c r="GI1164" s="299"/>
      <c r="GJ1164" s="299"/>
      <c r="GK1164" s="299"/>
      <c r="GL1164" s="299"/>
      <c r="GM1164" s="299"/>
      <c r="GN1164" s="299"/>
      <c r="GO1164" s="299"/>
      <c r="GP1164" s="299"/>
      <c r="GQ1164" s="299"/>
      <c r="GR1164" s="299"/>
      <c r="GS1164" s="299"/>
      <c r="GT1164" s="299"/>
      <c r="GU1164" s="299"/>
      <c r="GV1164" s="299"/>
      <c r="GW1164" s="299"/>
      <c r="GX1164" s="299"/>
      <c r="GY1164" s="299"/>
      <c r="GZ1164" s="299"/>
      <c r="HA1164" s="299"/>
      <c r="HB1164" s="299"/>
      <c r="HC1164" s="299"/>
      <c r="HD1164" s="299"/>
      <c r="HE1164" s="299"/>
      <c r="HF1164" s="299"/>
    </row>
    <row r="1165" spans="1:214" s="298" customFormat="1" ht="14.4" thickBot="1">
      <c r="A1165" s="309">
        <v>720</v>
      </c>
      <c r="B1165" s="308">
        <v>200</v>
      </c>
      <c r="C1165" s="307">
        <v>400</v>
      </c>
      <c r="D1165" s="307"/>
      <c r="E1165" s="307"/>
      <c r="F1165" s="307"/>
      <c r="G1165" s="306" t="s">
        <v>490</v>
      </c>
      <c r="H1165" s="304"/>
      <c r="I1165" s="302"/>
      <c r="J1165" s="302"/>
      <c r="K1165" s="302"/>
      <c r="L1165" s="302"/>
      <c r="M1165" s="302"/>
      <c r="N1165" s="303"/>
      <c r="O1165" s="304"/>
      <c r="P1165" s="302">
        <v>0</v>
      </c>
      <c r="Q1165" s="303"/>
      <c r="R1165" s="305">
        <v>24.56</v>
      </c>
      <c r="S1165" s="302"/>
      <c r="T1165" s="619"/>
      <c r="U1165" s="302">
        <v>24.28</v>
      </c>
      <c r="V1165" s="302"/>
      <c r="W1165" s="302"/>
      <c r="X1165" s="302"/>
      <c r="Y1165" s="1397">
        <f t="shared" si="129"/>
        <v>24.56</v>
      </c>
      <c r="Z1165" s="1398">
        <f t="shared" si="130"/>
        <v>0</v>
      </c>
      <c r="AA1165" s="302">
        <f t="shared" si="131"/>
        <v>0</v>
      </c>
      <c r="AB1165" s="302">
        <f t="shared" si="132"/>
        <v>24.28</v>
      </c>
      <c r="AC1165" s="302">
        <f t="shared" si="133"/>
        <v>0</v>
      </c>
      <c r="AD1165" s="302">
        <f t="shared" si="134"/>
        <v>0</v>
      </c>
      <c r="AE1165" s="302">
        <f t="shared" si="135"/>
        <v>0</v>
      </c>
      <c r="AF1165" s="301" t="s">
        <v>534</v>
      </c>
      <c r="AG1165" s="841"/>
      <c r="AH1165" s="744"/>
      <c r="AI1165" s="292"/>
      <c r="AJ1165" s="299"/>
      <c r="AK1165" s="300"/>
      <c r="AL1165" s="299"/>
      <c r="AM1165" s="299"/>
      <c r="AN1165" s="299"/>
      <c r="AO1165" s="299"/>
      <c r="AP1165" s="299"/>
      <c r="AQ1165" s="299"/>
      <c r="AR1165" s="299"/>
      <c r="AS1165" s="452"/>
      <c r="AT1165" s="299"/>
      <c r="AU1165" s="299"/>
      <c r="AV1165" s="299"/>
      <c r="AW1165" s="299"/>
      <c r="AX1165" s="299"/>
      <c r="AY1165" s="299"/>
      <c r="AZ1165" s="299"/>
      <c r="BA1165" s="299"/>
      <c r="BB1165" s="299"/>
      <c r="BC1165" s="299"/>
      <c r="BD1165" s="299"/>
      <c r="BE1165" s="299"/>
      <c r="BF1165" s="299"/>
      <c r="BG1165" s="299"/>
      <c r="BH1165" s="299"/>
      <c r="BI1165" s="299"/>
      <c r="BJ1165" s="299"/>
      <c r="BK1165" s="299"/>
      <c r="BL1165" s="299"/>
      <c r="BM1165" s="299"/>
      <c r="BN1165" s="299"/>
      <c r="BO1165" s="299"/>
      <c r="BP1165" s="299"/>
      <c r="BQ1165" s="299"/>
      <c r="BR1165" s="299"/>
      <c r="BS1165" s="299"/>
      <c r="BT1165" s="299"/>
      <c r="BU1165" s="299"/>
      <c r="BV1165" s="299"/>
      <c r="BW1165" s="299"/>
      <c r="BX1165" s="299"/>
      <c r="BY1165" s="299"/>
      <c r="BZ1165" s="299"/>
      <c r="CA1165" s="299"/>
      <c r="CB1165" s="299"/>
      <c r="CC1165" s="299"/>
      <c r="CD1165" s="299"/>
      <c r="CE1165" s="299"/>
      <c r="CF1165" s="299"/>
      <c r="CG1165" s="299"/>
      <c r="CH1165" s="299"/>
      <c r="CI1165" s="299"/>
      <c r="CJ1165" s="299"/>
      <c r="CK1165" s="299"/>
      <c r="CL1165" s="299"/>
      <c r="CM1165" s="299"/>
      <c r="CN1165" s="299"/>
      <c r="CO1165" s="299"/>
      <c r="CP1165" s="299"/>
      <c r="CQ1165" s="299"/>
      <c r="CR1165" s="299"/>
      <c r="CS1165" s="299"/>
      <c r="CT1165" s="299"/>
      <c r="CU1165" s="299"/>
      <c r="CV1165" s="299"/>
      <c r="CW1165" s="299"/>
      <c r="CX1165" s="299"/>
      <c r="CY1165" s="299"/>
      <c r="CZ1165" s="299"/>
      <c r="DA1165" s="299"/>
      <c r="DB1165" s="299"/>
      <c r="DC1165" s="299"/>
      <c r="DD1165" s="299"/>
      <c r="DE1165" s="299"/>
      <c r="DF1165" s="299"/>
      <c r="DG1165" s="299"/>
      <c r="DH1165" s="299"/>
      <c r="DI1165" s="299"/>
      <c r="DJ1165" s="299"/>
      <c r="DK1165" s="299"/>
      <c r="DL1165" s="299"/>
      <c r="DM1165" s="299"/>
      <c r="DN1165" s="299"/>
      <c r="DO1165" s="299"/>
      <c r="DP1165" s="299"/>
      <c r="DQ1165" s="299"/>
      <c r="DR1165" s="299"/>
      <c r="DS1165" s="299"/>
      <c r="DT1165" s="299"/>
      <c r="DU1165" s="299"/>
      <c r="DV1165" s="299"/>
      <c r="DW1165" s="299"/>
      <c r="DX1165" s="299"/>
      <c r="DY1165" s="299"/>
      <c r="DZ1165" s="299"/>
      <c r="EA1165" s="299"/>
      <c r="EB1165" s="299"/>
      <c r="EC1165" s="299"/>
      <c r="ED1165" s="299"/>
      <c r="EE1165" s="299"/>
      <c r="EF1165" s="299"/>
      <c r="EG1165" s="299"/>
      <c r="EH1165" s="299"/>
      <c r="EI1165" s="299"/>
      <c r="EJ1165" s="299"/>
      <c r="EK1165" s="299"/>
      <c r="EL1165" s="299"/>
      <c r="EM1165" s="299"/>
      <c r="EN1165" s="299"/>
      <c r="EO1165" s="299"/>
      <c r="EP1165" s="299"/>
      <c r="EQ1165" s="299"/>
      <c r="ER1165" s="299"/>
      <c r="ES1165" s="299"/>
      <c r="ET1165" s="299"/>
      <c r="EU1165" s="299"/>
      <c r="EV1165" s="299"/>
      <c r="EW1165" s="299"/>
      <c r="EX1165" s="299"/>
      <c r="EY1165" s="299"/>
      <c r="EZ1165" s="299"/>
      <c r="FA1165" s="299"/>
      <c r="FB1165" s="299"/>
      <c r="FC1165" s="299"/>
      <c r="FD1165" s="299"/>
      <c r="FE1165" s="299"/>
      <c r="FF1165" s="299"/>
      <c r="FG1165" s="299"/>
      <c r="FH1165" s="299"/>
      <c r="FI1165" s="299"/>
      <c r="FJ1165" s="299"/>
      <c r="FK1165" s="299"/>
      <c r="FL1165" s="299"/>
      <c r="FM1165" s="299"/>
      <c r="FN1165" s="299"/>
      <c r="FO1165" s="299"/>
      <c r="FP1165" s="299"/>
      <c r="FQ1165" s="299"/>
      <c r="FR1165" s="299"/>
      <c r="FS1165" s="299"/>
      <c r="FT1165" s="299"/>
      <c r="FU1165" s="299"/>
      <c r="FV1165" s="299"/>
      <c r="FW1165" s="299"/>
      <c r="FX1165" s="299"/>
      <c r="FY1165" s="299"/>
      <c r="FZ1165" s="299"/>
      <c r="GA1165" s="299"/>
      <c r="GB1165" s="299"/>
      <c r="GC1165" s="299"/>
      <c r="GD1165" s="299"/>
      <c r="GE1165" s="299"/>
      <c r="GF1165" s="299"/>
      <c r="GG1165" s="299"/>
      <c r="GH1165" s="299"/>
      <c r="GI1165" s="299"/>
      <c r="GJ1165" s="299"/>
      <c r="GK1165" s="299"/>
      <c r="GL1165" s="299"/>
      <c r="GM1165" s="299"/>
      <c r="GN1165" s="299"/>
      <c r="GO1165" s="299"/>
      <c r="GP1165" s="299"/>
      <c r="GQ1165" s="299"/>
      <c r="GR1165" s="299"/>
      <c r="GS1165" s="299"/>
      <c r="GT1165" s="299"/>
      <c r="GU1165" s="299"/>
      <c r="GV1165" s="299"/>
      <c r="GW1165" s="299"/>
      <c r="GX1165" s="299"/>
      <c r="GY1165" s="299"/>
      <c r="GZ1165" s="299"/>
      <c r="HA1165" s="299"/>
      <c r="HB1165" s="299"/>
      <c r="HC1165" s="299"/>
      <c r="HD1165" s="299"/>
      <c r="HE1165" s="299"/>
      <c r="HF1165" s="299"/>
    </row>
    <row r="1166" spans="1:214" s="291" customFormat="1">
      <c r="A1166" s="294"/>
      <c r="B1166" s="294"/>
      <c r="C1166" s="294"/>
      <c r="D1166" s="294"/>
      <c r="E1166" s="294"/>
      <c r="F1166" s="294"/>
      <c r="G1166" s="296" t="s">
        <v>535</v>
      </c>
      <c r="H1166" s="295">
        <v>0</v>
      </c>
      <c r="I1166" s="295"/>
      <c r="J1166" s="295"/>
      <c r="K1166" s="295"/>
      <c r="L1166" s="295"/>
      <c r="M1166" s="295"/>
      <c r="N1166" s="295">
        <f t="shared" ref="N1166:T1166" si="136">SUM(N899:N1165)</f>
        <v>0</v>
      </c>
      <c r="O1166" s="295">
        <f t="shared" si="136"/>
        <v>10577445.789999999</v>
      </c>
      <c r="P1166" s="295">
        <f t="shared" si="136"/>
        <v>7127766.8799999999</v>
      </c>
      <c r="Q1166" s="295">
        <f t="shared" si="136"/>
        <v>7226639</v>
      </c>
      <c r="R1166" s="295">
        <f t="shared" si="136"/>
        <v>71929714.670000017</v>
      </c>
      <c r="S1166" s="295">
        <f t="shared" si="136"/>
        <v>4506087.9800000004</v>
      </c>
      <c r="T1166" s="295">
        <f t="shared" si="136"/>
        <v>0</v>
      </c>
      <c r="U1166" s="295">
        <v>66813915.43333333</v>
      </c>
      <c r="V1166" s="295"/>
      <c r="W1166" s="295"/>
      <c r="X1166" s="295">
        <f t="shared" ref="X1166:AE1166" si="137">SUM(X899:X1165)</f>
        <v>67032741</v>
      </c>
      <c r="Y1166" s="1399">
        <f t="shared" si="137"/>
        <v>82507160.460000008</v>
      </c>
      <c r="Z1166" s="1399">
        <f t="shared" si="137"/>
        <v>4506087.9800000004</v>
      </c>
      <c r="AA1166" s="295">
        <f t="shared" si="137"/>
        <v>0</v>
      </c>
      <c r="AB1166" s="295">
        <f t="shared" si="137"/>
        <v>78322973.971471488</v>
      </c>
      <c r="AC1166" s="295">
        <f t="shared" si="137"/>
        <v>4620049.4000000004</v>
      </c>
      <c r="AD1166" s="295">
        <f t="shared" si="137"/>
        <v>0</v>
      </c>
      <c r="AE1166" s="295">
        <f t="shared" si="137"/>
        <v>74259380</v>
      </c>
      <c r="AF1166" s="295"/>
      <c r="AG1166" s="295">
        <f>SUM(AG899:AG1165)</f>
        <v>-1383719.714000002</v>
      </c>
      <c r="AH1166" s="744"/>
      <c r="AI1166" s="292"/>
      <c r="AJ1166" s="292"/>
      <c r="AK1166" s="293"/>
      <c r="AL1166" s="292"/>
      <c r="AM1166" s="292"/>
      <c r="AN1166" s="292"/>
      <c r="AO1166" s="292"/>
      <c r="AP1166" s="292"/>
      <c r="AQ1166" s="292"/>
      <c r="AR1166" s="292"/>
      <c r="AS1166" s="744"/>
      <c r="AT1166" s="292"/>
      <c r="AU1166" s="292"/>
      <c r="AV1166" s="292"/>
      <c r="AW1166" s="292"/>
      <c r="AX1166" s="292"/>
      <c r="AY1166" s="292"/>
      <c r="AZ1166" s="292"/>
      <c r="BA1166" s="292"/>
      <c r="BB1166" s="292"/>
      <c r="BC1166" s="292"/>
      <c r="BD1166" s="292"/>
      <c r="BE1166" s="292"/>
      <c r="BF1166" s="292"/>
      <c r="BG1166" s="292"/>
      <c r="BH1166" s="292"/>
      <c r="BI1166" s="292"/>
      <c r="BJ1166" s="292"/>
      <c r="BK1166" s="292"/>
      <c r="BL1166" s="292"/>
      <c r="BM1166" s="292"/>
      <c r="BN1166" s="292"/>
      <c r="BO1166" s="292"/>
      <c r="BP1166" s="292"/>
      <c r="BQ1166" s="292"/>
      <c r="BR1166" s="292"/>
      <c r="BS1166" s="292"/>
      <c r="BT1166" s="292"/>
      <c r="BU1166" s="292"/>
      <c r="BV1166" s="292"/>
      <c r="BW1166" s="292"/>
      <c r="BX1166" s="292"/>
      <c r="BY1166" s="292"/>
      <c r="BZ1166" s="292"/>
      <c r="CA1166" s="292"/>
      <c r="CB1166" s="292"/>
      <c r="CC1166" s="292"/>
      <c r="CD1166" s="292"/>
      <c r="CE1166" s="292"/>
      <c r="CF1166" s="292"/>
      <c r="CG1166" s="292"/>
      <c r="CH1166" s="292"/>
      <c r="CI1166" s="292"/>
      <c r="CJ1166" s="292"/>
      <c r="CK1166" s="292"/>
      <c r="CL1166" s="292"/>
      <c r="CM1166" s="292"/>
      <c r="CN1166" s="292"/>
      <c r="CO1166" s="292"/>
      <c r="CP1166" s="292"/>
      <c r="CQ1166" s="292"/>
      <c r="CR1166" s="292"/>
      <c r="CS1166" s="292"/>
      <c r="CT1166" s="292"/>
      <c r="CU1166" s="292"/>
      <c r="CV1166" s="292"/>
      <c r="CW1166" s="292"/>
      <c r="CX1166" s="292"/>
      <c r="CY1166" s="292"/>
      <c r="CZ1166" s="292"/>
      <c r="DA1166" s="292"/>
      <c r="DB1166" s="292"/>
      <c r="DC1166" s="292"/>
      <c r="DD1166" s="292"/>
      <c r="DE1166" s="292"/>
      <c r="DF1166" s="292"/>
      <c r="DG1166" s="292"/>
      <c r="DH1166" s="292"/>
      <c r="DI1166" s="292"/>
      <c r="DJ1166" s="292"/>
      <c r="DK1166" s="292"/>
      <c r="DL1166" s="292"/>
      <c r="DM1166" s="292"/>
      <c r="DN1166" s="292"/>
      <c r="DO1166" s="292"/>
      <c r="DP1166" s="292"/>
      <c r="DQ1166" s="292"/>
      <c r="DR1166" s="292"/>
      <c r="DS1166" s="292"/>
      <c r="DT1166" s="292"/>
      <c r="DU1166" s="292"/>
      <c r="DV1166" s="292"/>
      <c r="DW1166" s="292"/>
      <c r="DX1166" s="292"/>
      <c r="DY1166" s="292"/>
      <c r="DZ1166" s="292"/>
      <c r="EA1166" s="292"/>
      <c r="EB1166" s="292"/>
      <c r="EC1166" s="292"/>
      <c r="ED1166" s="292"/>
      <c r="EE1166" s="292"/>
      <c r="EF1166" s="292"/>
      <c r="EG1166" s="292"/>
      <c r="EH1166" s="292"/>
      <c r="EI1166" s="292"/>
      <c r="EJ1166" s="292"/>
      <c r="EK1166" s="292"/>
      <c r="EL1166" s="292"/>
      <c r="EM1166" s="292"/>
      <c r="EN1166" s="292"/>
      <c r="EO1166" s="292"/>
      <c r="EP1166" s="292"/>
      <c r="EQ1166" s="292"/>
      <c r="ER1166" s="292"/>
      <c r="ES1166" s="292"/>
      <c r="ET1166" s="292"/>
      <c r="EU1166" s="292"/>
      <c r="EV1166" s="292"/>
      <c r="EW1166" s="292"/>
      <c r="EX1166" s="292"/>
      <c r="EY1166" s="292"/>
      <c r="EZ1166" s="292"/>
      <c r="FA1166" s="292"/>
      <c r="FB1166" s="292"/>
      <c r="FC1166" s="292"/>
      <c r="FD1166" s="292"/>
      <c r="FE1166" s="292"/>
      <c r="FF1166" s="292"/>
      <c r="FG1166" s="292"/>
      <c r="FH1166" s="292"/>
      <c r="FI1166" s="292"/>
      <c r="FJ1166" s="292"/>
      <c r="FK1166" s="292"/>
      <c r="FL1166" s="292"/>
      <c r="FM1166" s="292"/>
      <c r="FN1166" s="292"/>
      <c r="FO1166" s="292"/>
      <c r="FP1166" s="292"/>
      <c r="FQ1166" s="292"/>
      <c r="FR1166" s="292"/>
      <c r="FS1166" s="292"/>
      <c r="FT1166" s="292"/>
      <c r="FU1166" s="292"/>
      <c r="FV1166" s="292"/>
      <c r="FW1166" s="292"/>
      <c r="FX1166" s="292"/>
      <c r="FY1166" s="292"/>
      <c r="FZ1166" s="292"/>
      <c r="GA1166" s="292"/>
      <c r="GB1166" s="292"/>
      <c r="GC1166" s="292"/>
      <c r="GD1166" s="292"/>
      <c r="GE1166" s="292"/>
      <c r="GF1166" s="292"/>
      <c r="GG1166" s="292"/>
      <c r="GH1166" s="292"/>
      <c r="GI1166" s="292"/>
      <c r="GJ1166" s="292"/>
      <c r="GK1166" s="292"/>
      <c r="GL1166" s="292"/>
      <c r="GM1166" s="292"/>
      <c r="GN1166" s="292"/>
      <c r="GO1166" s="292"/>
      <c r="GP1166" s="292"/>
      <c r="GQ1166" s="292"/>
      <c r="GR1166" s="292"/>
      <c r="GS1166" s="292"/>
      <c r="GT1166" s="292"/>
      <c r="GU1166" s="292"/>
      <c r="GV1166" s="292"/>
      <c r="GW1166" s="292"/>
      <c r="GX1166" s="292"/>
      <c r="GY1166" s="292"/>
      <c r="GZ1166" s="292"/>
      <c r="HA1166" s="292"/>
      <c r="HB1166" s="292"/>
      <c r="HC1166" s="292"/>
      <c r="HD1166" s="292"/>
      <c r="HE1166" s="292"/>
      <c r="HF1166" s="292"/>
    </row>
    <row r="1167" spans="1:214" s="291" customFormat="1">
      <c r="A1167" s="294"/>
      <c r="B1167" s="294"/>
      <c r="C1167" s="294"/>
      <c r="D1167" s="294"/>
      <c r="E1167" s="294"/>
      <c r="F1167" s="294"/>
      <c r="G1167" s="296" t="s">
        <v>536</v>
      </c>
      <c r="H1167" s="295">
        <f>SUM(H6:H894)</f>
        <v>24447608.139999993</v>
      </c>
      <c r="I1167" s="295">
        <f>SUM(I6:I894)</f>
        <v>2447242.9999999995</v>
      </c>
      <c r="J1167" s="295"/>
      <c r="K1167" s="295">
        <f>SUM(K6:K894)</f>
        <v>22680256.100000001</v>
      </c>
      <c r="L1167" s="295"/>
      <c r="M1167" s="295"/>
      <c r="N1167" s="295">
        <f t="shared" ref="N1167:T1167" si="138">SUM(N6:N894)</f>
        <v>21228586</v>
      </c>
      <c r="O1167" s="295">
        <f t="shared" si="138"/>
        <v>3115532.1299999994</v>
      </c>
      <c r="P1167" s="295">
        <f t="shared" si="138"/>
        <v>6878579.6200000001</v>
      </c>
      <c r="Q1167" s="295">
        <f t="shared" si="138"/>
        <v>6977452</v>
      </c>
      <c r="R1167" s="295">
        <f t="shared" si="138"/>
        <v>54924143.080000013</v>
      </c>
      <c r="S1167" s="295">
        <f t="shared" si="138"/>
        <v>1975734.2</v>
      </c>
      <c r="T1167" s="295">
        <f t="shared" si="138"/>
        <v>0</v>
      </c>
      <c r="U1167" s="295">
        <v>47977434.415896319</v>
      </c>
      <c r="V1167" s="295"/>
      <c r="W1167" s="295"/>
      <c r="X1167" s="295">
        <f t="shared" ref="X1167:AE1167" si="139">SUM(X6:X894)</f>
        <v>46053342</v>
      </c>
      <c r="Y1167" s="1399">
        <f t="shared" si="139"/>
        <v>82487283.349999949</v>
      </c>
      <c r="Z1167" s="1399">
        <f t="shared" si="139"/>
        <v>4422977.2</v>
      </c>
      <c r="AA1167" s="295">
        <f t="shared" si="139"/>
        <v>0</v>
      </c>
      <c r="AB1167" s="295">
        <f t="shared" si="139"/>
        <v>78569288.117000014</v>
      </c>
      <c r="AC1167" s="295">
        <f t="shared" si="139"/>
        <v>4520292.5237999996</v>
      </c>
      <c r="AD1167" s="295">
        <f t="shared" si="139"/>
        <v>317082.15000000002</v>
      </c>
      <c r="AE1167" s="295">
        <f t="shared" si="139"/>
        <v>74259380</v>
      </c>
      <c r="AF1167" s="295"/>
      <c r="AG1167" s="295">
        <f>SUM(AG6:AG894)</f>
        <v>-214656.8</v>
      </c>
      <c r="AH1167" s="744"/>
      <c r="AI1167" s="292"/>
      <c r="AJ1167" s="292"/>
      <c r="AK1167" s="293"/>
      <c r="AL1167" s="292"/>
      <c r="AM1167" s="292"/>
      <c r="AN1167" s="292"/>
      <c r="AO1167" s="292"/>
      <c r="AP1167" s="292"/>
      <c r="AQ1167" s="292"/>
      <c r="AR1167" s="292"/>
      <c r="AS1167" s="744"/>
      <c r="AT1167" s="292"/>
      <c r="AU1167" s="292"/>
      <c r="AV1167" s="292"/>
      <c r="AW1167" s="292"/>
      <c r="AX1167" s="292"/>
      <c r="AY1167" s="292"/>
      <c r="AZ1167" s="292"/>
      <c r="BA1167" s="292"/>
      <c r="BB1167" s="292"/>
      <c r="BC1167" s="292"/>
      <c r="BD1167" s="292"/>
      <c r="BE1167" s="292"/>
      <c r="BF1167" s="292"/>
      <c r="BG1167" s="292"/>
      <c r="BH1167" s="292"/>
      <c r="BI1167" s="292"/>
      <c r="BJ1167" s="292"/>
      <c r="BK1167" s="292"/>
      <c r="BL1167" s="292"/>
      <c r="BM1167" s="292"/>
      <c r="BN1167" s="292"/>
      <c r="BO1167" s="292"/>
      <c r="BP1167" s="292"/>
      <c r="BQ1167" s="292"/>
      <c r="BR1167" s="292"/>
      <c r="BS1167" s="292"/>
      <c r="BT1167" s="292"/>
      <c r="BU1167" s="292"/>
      <c r="BV1167" s="292"/>
      <c r="BW1167" s="292"/>
      <c r="BX1167" s="292"/>
      <c r="BY1167" s="292"/>
      <c r="BZ1167" s="292"/>
      <c r="CA1167" s="292"/>
      <c r="CB1167" s="292"/>
      <c r="CC1167" s="292"/>
      <c r="CD1167" s="292"/>
      <c r="CE1167" s="292"/>
      <c r="CF1167" s="292"/>
      <c r="CG1167" s="292"/>
      <c r="CH1167" s="292"/>
      <c r="CI1167" s="292"/>
      <c r="CJ1167" s="292"/>
      <c r="CK1167" s="292"/>
      <c r="CL1167" s="292"/>
      <c r="CM1167" s="292"/>
      <c r="CN1167" s="292"/>
      <c r="CO1167" s="292"/>
      <c r="CP1167" s="292"/>
      <c r="CQ1167" s="292"/>
      <c r="CR1167" s="292"/>
      <c r="CS1167" s="292"/>
      <c r="CT1167" s="292"/>
      <c r="CU1167" s="292"/>
      <c r="CV1167" s="292"/>
      <c r="CW1167" s="292"/>
      <c r="CX1167" s="292"/>
      <c r="CY1167" s="292"/>
      <c r="CZ1167" s="292"/>
      <c r="DA1167" s="292"/>
      <c r="DB1167" s="292"/>
      <c r="DC1167" s="292"/>
      <c r="DD1167" s="292"/>
      <c r="DE1167" s="292"/>
      <c r="DF1167" s="292"/>
      <c r="DG1167" s="292"/>
      <c r="DH1167" s="292"/>
      <c r="DI1167" s="292"/>
      <c r="DJ1167" s="292"/>
      <c r="DK1167" s="292"/>
      <c r="DL1167" s="292"/>
      <c r="DM1167" s="292"/>
      <c r="DN1167" s="292"/>
      <c r="DO1167" s="292"/>
      <c r="DP1167" s="292"/>
      <c r="DQ1167" s="292"/>
      <c r="DR1167" s="292"/>
      <c r="DS1167" s="292"/>
      <c r="DT1167" s="292"/>
      <c r="DU1167" s="292"/>
      <c r="DV1167" s="292"/>
      <c r="DW1167" s="292"/>
      <c r="DX1167" s="292"/>
      <c r="DY1167" s="292"/>
      <c r="DZ1167" s="292"/>
      <c r="EA1167" s="292"/>
      <c r="EB1167" s="292"/>
      <c r="EC1167" s="292"/>
      <c r="ED1167" s="292"/>
      <c r="EE1167" s="292"/>
      <c r="EF1167" s="292"/>
      <c r="EG1167" s="292"/>
      <c r="EH1167" s="292"/>
      <c r="EI1167" s="292"/>
      <c r="EJ1167" s="292"/>
      <c r="EK1167" s="292"/>
      <c r="EL1167" s="292"/>
      <c r="EM1167" s="292"/>
      <c r="EN1167" s="292"/>
      <c r="EO1167" s="292"/>
      <c r="EP1167" s="292"/>
      <c r="EQ1167" s="292"/>
      <c r="ER1167" s="292"/>
      <c r="ES1167" s="292"/>
      <c r="ET1167" s="292"/>
      <c r="EU1167" s="292"/>
      <c r="EV1167" s="292"/>
      <c r="EW1167" s="292"/>
      <c r="EX1167" s="292"/>
      <c r="EY1167" s="292"/>
      <c r="EZ1167" s="292"/>
      <c r="FA1167" s="292"/>
      <c r="FB1167" s="292"/>
      <c r="FC1167" s="292"/>
      <c r="FD1167" s="292"/>
      <c r="FE1167" s="292"/>
      <c r="FF1167" s="292"/>
      <c r="FG1167" s="292"/>
      <c r="FH1167" s="292"/>
      <c r="FI1167" s="292"/>
      <c r="FJ1167" s="292"/>
      <c r="FK1167" s="292"/>
      <c r="FL1167" s="292"/>
      <c r="FM1167" s="292"/>
      <c r="FN1167" s="292"/>
      <c r="FO1167" s="292"/>
      <c r="FP1167" s="292"/>
      <c r="FQ1167" s="292"/>
      <c r="FR1167" s="292"/>
      <c r="FS1167" s="292"/>
      <c r="FT1167" s="292"/>
      <c r="FU1167" s="292"/>
      <c r="FV1167" s="292"/>
      <c r="FW1167" s="292"/>
      <c r="FX1167" s="292"/>
      <c r="FY1167" s="292"/>
      <c r="FZ1167" s="292"/>
      <c r="GA1167" s="292"/>
      <c r="GB1167" s="292"/>
      <c r="GC1167" s="292"/>
      <c r="GD1167" s="292"/>
      <c r="GE1167" s="292"/>
      <c r="GF1167" s="292"/>
      <c r="GG1167" s="292"/>
      <c r="GH1167" s="292"/>
      <c r="GI1167" s="292"/>
      <c r="GJ1167" s="292"/>
      <c r="GK1167" s="292"/>
      <c r="GL1167" s="292"/>
      <c r="GM1167" s="292"/>
      <c r="GN1167" s="292"/>
      <c r="GO1167" s="292"/>
      <c r="GP1167" s="292"/>
      <c r="GQ1167" s="292"/>
      <c r="GR1167" s="292"/>
      <c r="GS1167" s="292"/>
      <c r="GT1167" s="292"/>
      <c r="GU1167" s="292"/>
      <c r="GV1167" s="292"/>
      <c r="GW1167" s="292"/>
      <c r="GX1167" s="292"/>
      <c r="GY1167" s="292"/>
      <c r="GZ1167" s="292"/>
      <c r="HA1167" s="292"/>
      <c r="HB1167" s="292"/>
      <c r="HC1167" s="292"/>
      <c r="HD1167" s="292"/>
      <c r="HE1167" s="292"/>
      <c r="HF1167" s="292"/>
    </row>
    <row r="1168" spans="1:214" s="291" customFormat="1">
      <c r="A1168" s="294"/>
      <c r="B1168" s="294"/>
      <c r="C1168" s="294"/>
      <c r="D1168" s="294"/>
      <c r="E1168" s="294"/>
      <c r="F1168" s="294"/>
      <c r="G1168" s="296" t="s">
        <v>537</v>
      </c>
      <c r="H1168" s="295">
        <f>+H1166-H1167</f>
        <v>-24447608.139999993</v>
      </c>
      <c r="I1168" s="295">
        <v>2280427.8199999998</v>
      </c>
      <c r="J1168" s="295"/>
      <c r="K1168" s="295">
        <f>+K1166-K1167</f>
        <v>-22680256.100000001</v>
      </c>
      <c r="L1168" s="295"/>
      <c r="M1168" s="295"/>
      <c r="N1168" s="295">
        <f t="shared" ref="N1168:T1168" si="140">+N1166-N1167</f>
        <v>-21228586</v>
      </c>
      <c r="O1168" s="295">
        <f t="shared" si="140"/>
        <v>7461913.6600000001</v>
      </c>
      <c r="P1168" s="295">
        <f t="shared" si="140"/>
        <v>249187.25999999978</v>
      </c>
      <c r="Q1168" s="295">
        <f t="shared" si="140"/>
        <v>249187</v>
      </c>
      <c r="R1168" s="295">
        <f t="shared" si="140"/>
        <v>17005571.590000004</v>
      </c>
      <c r="S1168" s="295">
        <f t="shared" si="140"/>
        <v>2530353.7800000003</v>
      </c>
      <c r="T1168" s="295">
        <f t="shared" si="140"/>
        <v>0</v>
      </c>
      <c r="U1168" s="295">
        <v>18836481.017437011</v>
      </c>
      <c r="V1168" s="295"/>
      <c r="W1168" s="295"/>
      <c r="X1168" s="295">
        <f t="shared" ref="X1168:AE1168" si="141">+X1166-X1167</f>
        <v>20979399</v>
      </c>
      <c r="Y1168" s="1399">
        <f t="shared" si="141"/>
        <v>19877.110000059009</v>
      </c>
      <c r="Z1168" s="1399">
        <f t="shared" si="141"/>
        <v>83110.780000000261</v>
      </c>
      <c r="AA1168" s="295">
        <f t="shared" si="141"/>
        <v>0</v>
      </c>
      <c r="AB1168" s="295">
        <f t="shared" si="141"/>
        <v>-246314.14552852511</v>
      </c>
      <c r="AC1168" s="295">
        <f t="shared" si="141"/>
        <v>99756.876200000755</v>
      </c>
      <c r="AD1168" s="295">
        <f t="shared" si="141"/>
        <v>-317082.15000000002</v>
      </c>
      <c r="AE1168" s="295">
        <f t="shared" si="141"/>
        <v>0</v>
      </c>
      <c r="AF1168" s="295"/>
      <c r="AG1168" s="295">
        <f>+AG1166-AG1167</f>
        <v>-1169062.914000002</v>
      </c>
      <c r="AH1168" s="744" t="s">
        <v>2591</v>
      </c>
      <c r="AI1168" s="292"/>
      <c r="AJ1168" s="292"/>
      <c r="AK1168" s="293"/>
      <c r="AL1168" s="292"/>
      <c r="AM1168" s="292"/>
      <c r="AN1168" s="292"/>
      <c r="AO1168" s="292"/>
      <c r="AP1168" s="292"/>
      <c r="AQ1168" s="292"/>
      <c r="AR1168" s="292"/>
      <c r="AS1168" s="744"/>
      <c r="AT1168" s="292"/>
      <c r="AU1168" s="292"/>
      <c r="AV1168" s="292"/>
      <c r="AW1168" s="292"/>
      <c r="AX1168" s="292"/>
      <c r="AY1168" s="292"/>
      <c r="AZ1168" s="292"/>
      <c r="BA1168" s="292"/>
      <c r="BB1168" s="292"/>
      <c r="BC1168" s="292"/>
      <c r="BD1168" s="292"/>
      <c r="BE1168" s="292"/>
      <c r="BF1168" s="292"/>
      <c r="BG1168" s="292"/>
      <c r="BH1168" s="292"/>
      <c r="BI1168" s="292"/>
      <c r="BJ1168" s="292"/>
      <c r="BK1168" s="292"/>
      <c r="BL1168" s="292"/>
      <c r="BM1168" s="292"/>
      <c r="BN1168" s="292"/>
      <c r="BO1168" s="292"/>
      <c r="BP1168" s="292"/>
      <c r="BQ1168" s="292"/>
      <c r="BR1168" s="292"/>
      <c r="BS1168" s="292"/>
      <c r="BT1168" s="292"/>
      <c r="BU1168" s="292"/>
      <c r="BV1168" s="292"/>
      <c r="BW1168" s="292"/>
      <c r="BX1168" s="292"/>
      <c r="BY1168" s="292"/>
      <c r="BZ1168" s="292"/>
      <c r="CA1168" s="292"/>
      <c r="CB1168" s="292"/>
      <c r="CC1168" s="292"/>
      <c r="CD1168" s="292"/>
      <c r="CE1168" s="292"/>
      <c r="CF1168" s="292"/>
      <c r="CG1168" s="292"/>
      <c r="CH1168" s="292"/>
      <c r="CI1168" s="292"/>
      <c r="CJ1168" s="292"/>
      <c r="CK1168" s="292"/>
      <c r="CL1168" s="292"/>
      <c r="CM1168" s="292"/>
      <c r="CN1168" s="292"/>
      <c r="CO1168" s="292"/>
      <c r="CP1168" s="292"/>
      <c r="CQ1168" s="292"/>
      <c r="CR1168" s="292"/>
      <c r="CS1168" s="292"/>
      <c r="CT1168" s="292"/>
      <c r="CU1168" s="292"/>
      <c r="CV1168" s="292"/>
      <c r="CW1168" s="292"/>
      <c r="CX1168" s="292"/>
      <c r="CY1168" s="292"/>
      <c r="CZ1168" s="292"/>
      <c r="DA1168" s="292"/>
      <c r="DB1168" s="292"/>
      <c r="DC1168" s="292"/>
      <c r="DD1168" s="292"/>
      <c r="DE1168" s="292"/>
      <c r="DF1168" s="292"/>
      <c r="DG1168" s="292"/>
      <c r="DH1168" s="292"/>
      <c r="DI1168" s="292"/>
      <c r="DJ1168" s="292"/>
      <c r="DK1168" s="292"/>
      <c r="DL1168" s="292"/>
      <c r="DM1168" s="292"/>
      <c r="DN1168" s="292"/>
      <c r="DO1168" s="292"/>
      <c r="DP1168" s="292"/>
      <c r="DQ1168" s="292"/>
      <c r="DR1168" s="292"/>
      <c r="DS1168" s="292"/>
      <c r="DT1168" s="292"/>
      <c r="DU1168" s="292"/>
      <c r="DV1168" s="292"/>
      <c r="DW1168" s="292"/>
      <c r="DX1168" s="292"/>
      <c r="DY1168" s="292"/>
      <c r="DZ1168" s="292"/>
      <c r="EA1168" s="292"/>
      <c r="EB1168" s="292"/>
      <c r="EC1168" s="292"/>
      <c r="ED1168" s="292"/>
      <c r="EE1168" s="292"/>
      <c r="EF1168" s="292"/>
      <c r="EG1168" s="292"/>
      <c r="EH1168" s="292"/>
      <c r="EI1168" s="292"/>
      <c r="EJ1168" s="292"/>
      <c r="EK1168" s="292"/>
      <c r="EL1168" s="292"/>
      <c r="EM1168" s="292"/>
      <c r="EN1168" s="292"/>
      <c r="EO1168" s="292"/>
      <c r="EP1168" s="292"/>
      <c r="EQ1168" s="292"/>
      <c r="ER1168" s="292"/>
      <c r="ES1168" s="292"/>
      <c r="ET1168" s="292"/>
      <c r="EU1168" s="292"/>
      <c r="EV1168" s="292"/>
      <c r="EW1168" s="292"/>
      <c r="EX1168" s="292"/>
      <c r="EY1168" s="292"/>
      <c r="EZ1168" s="292"/>
      <c r="FA1168" s="292"/>
      <c r="FB1168" s="292"/>
      <c r="FC1168" s="292"/>
      <c r="FD1168" s="292"/>
      <c r="FE1168" s="292"/>
      <c r="FF1168" s="292"/>
      <c r="FG1168" s="292"/>
      <c r="FH1168" s="292"/>
      <c r="FI1168" s="292"/>
      <c r="FJ1168" s="292"/>
      <c r="FK1168" s="292"/>
      <c r="FL1168" s="292"/>
      <c r="FM1168" s="292"/>
      <c r="FN1168" s="292"/>
      <c r="FO1168" s="292"/>
      <c r="FP1168" s="292"/>
      <c r="FQ1168" s="292"/>
      <c r="FR1168" s="292"/>
      <c r="FS1168" s="292"/>
      <c r="FT1168" s="292"/>
      <c r="FU1168" s="292"/>
      <c r="FV1168" s="292"/>
      <c r="FW1168" s="292"/>
      <c r="FX1168" s="292"/>
      <c r="FY1168" s="292"/>
      <c r="FZ1168" s="292"/>
      <c r="GA1168" s="292"/>
      <c r="GB1168" s="292"/>
      <c r="GC1168" s="292"/>
      <c r="GD1168" s="292"/>
      <c r="GE1168" s="292"/>
      <c r="GF1168" s="292"/>
      <c r="GG1168" s="292"/>
      <c r="GH1168" s="292"/>
      <c r="GI1168" s="292"/>
      <c r="GJ1168" s="292"/>
      <c r="GK1168" s="292"/>
      <c r="GL1168" s="292"/>
      <c r="GM1168" s="292"/>
      <c r="GN1168" s="292"/>
      <c r="GO1168" s="292"/>
      <c r="GP1168" s="292"/>
      <c r="GQ1168" s="292"/>
      <c r="GR1168" s="292"/>
      <c r="GS1168" s="292"/>
      <c r="GT1168" s="292"/>
      <c r="GU1168" s="292"/>
      <c r="GV1168" s="292"/>
      <c r="GW1168" s="292"/>
      <c r="GX1168" s="292"/>
      <c r="GY1168" s="292"/>
      <c r="GZ1168" s="292"/>
      <c r="HA1168" s="292"/>
      <c r="HB1168" s="292"/>
      <c r="HC1168" s="292"/>
      <c r="HD1168" s="292"/>
      <c r="HE1168" s="292"/>
      <c r="HF1168" s="292"/>
    </row>
    <row r="1169" spans="8:33">
      <c r="I1169" s="289"/>
    </row>
    <row r="1170" spans="8:33">
      <c r="H1170" s="288"/>
      <c r="N1170" s="289"/>
      <c r="O1170" s="288"/>
      <c r="P1170" s="289">
        <v>387171.1642</v>
      </c>
      <c r="Q1170" s="289"/>
      <c r="R1170" s="288"/>
      <c r="Y1170" s="1401"/>
      <c r="AF1170" s="835" t="s">
        <v>2586</v>
      </c>
      <c r="AG1170" s="290">
        <v>-3155699.4678000021</v>
      </c>
    </row>
    <row r="1171" spans="8:33">
      <c r="H1171" s="288"/>
      <c r="N1171" s="289"/>
      <c r="O1171" s="288"/>
      <c r="P1171" s="289">
        <f>+P1170-P1168</f>
        <v>137983.90420000022</v>
      </c>
      <c r="Q1171" s="289"/>
      <c r="R1171" s="288"/>
      <c r="Y1171" s="1401"/>
      <c r="AF1171" s="835" t="s">
        <v>2592</v>
      </c>
      <c r="AG1171" s="290">
        <f>+AG1168</f>
        <v>-1169062.914000002</v>
      </c>
    </row>
    <row r="1172" spans="8:33">
      <c r="H1172" s="288"/>
      <c r="O1172" s="288"/>
      <c r="P1172" s="290"/>
      <c r="R1172" s="288"/>
      <c r="Y1172" s="1401"/>
      <c r="AF1172" s="835" t="s">
        <v>2589</v>
      </c>
      <c r="AG1172" s="747">
        <f>+AG1170-AG1171</f>
        <v>-1986636.5538000001</v>
      </c>
    </row>
    <row r="1173" spans="8:33">
      <c r="H1173" s="288"/>
      <c r="O1173" s="288"/>
      <c r="P1173" s="290"/>
      <c r="R1173" s="288"/>
      <c r="X1173" s="285" t="s">
        <v>3945</v>
      </c>
      <c r="Y1173" s="1405">
        <v>1062166.1100000001</v>
      </c>
      <c r="Z1173" s="1405">
        <v>162698</v>
      </c>
      <c r="AA1173" s="1405">
        <v>276913</v>
      </c>
      <c r="AB1173" s="1405">
        <v>180157.67</v>
      </c>
      <c r="AC1173" s="1405">
        <v>137093.26999999999</v>
      </c>
      <c r="AD1173" s="744">
        <f>SUM(Y1173:AC1173)</f>
        <v>1819028.05</v>
      </c>
      <c r="AF1173" s="844" t="s">
        <v>2587</v>
      </c>
      <c r="AG1173" s="290">
        <v>2276144.5299999998</v>
      </c>
    </row>
    <row r="1174" spans="8:33">
      <c r="H1174" s="288"/>
      <c r="O1174" s="288"/>
      <c r="P1174" s="290"/>
      <c r="R1174" s="288"/>
      <c r="X1174" s="285" t="s">
        <v>3946</v>
      </c>
      <c r="Y1174" s="452">
        <v>-699468.03</v>
      </c>
      <c r="Z1174" s="299"/>
      <c r="AA1174" s="452">
        <v>-30108</v>
      </c>
      <c r="AB1174" s="452">
        <v>-180157.67</v>
      </c>
      <c r="AC1174" s="452">
        <v>-137093.26999999999</v>
      </c>
      <c r="AD1174" s="299"/>
      <c r="AF1174" s="844" t="s">
        <v>2588</v>
      </c>
      <c r="AG1174" s="290">
        <v>301831</v>
      </c>
    </row>
    <row r="1175" spans="8:33">
      <c r="H1175" s="288"/>
      <c r="O1175" s="288"/>
      <c r="R1175" s="288"/>
      <c r="X1175" s="285" t="s">
        <v>3946</v>
      </c>
      <c r="Y1175" s="452">
        <v>-165354</v>
      </c>
      <c r="Z1175" s="299"/>
      <c r="AA1175" s="299"/>
      <c r="AB1175" s="299"/>
      <c r="AC1175" s="299"/>
      <c r="AD1175" s="452">
        <v>1046827</v>
      </c>
      <c r="AF1175" s="835" t="s">
        <v>2590</v>
      </c>
      <c r="AG1175" s="747">
        <f>SUM(AG1172:AG1174)</f>
        <v>591338.97619999968</v>
      </c>
    </row>
    <row r="1176" spans="8:33">
      <c r="H1176" s="288"/>
      <c r="O1176" s="288"/>
      <c r="P1176" s="289"/>
      <c r="R1176" s="288"/>
      <c r="X1176" s="285" t="s">
        <v>3947</v>
      </c>
      <c r="Y1176" s="744">
        <f>SUM(Y1173:Y1175)</f>
        <v>197344.08000000007</v>
      </c>
      <c r="Z1176" s="744">
        <f>SUM(Z1173:Z1175)</f>
        <v>162698</v>
      </c>
      <c r="AA1176" s="744">
        <f>SUM(AA1173:AA1175)</f>
        <v>246805</v>
      </c>
      <c r="AB1176" s="744">
        <f>SUM(AB1173:AB1175)</f>
        <v>0</v>
      </c>
      <c r="AC1176" s="744">
        <f>SUM(AC1173:AC1175)</f>
        <v>0</v>
      </c>
      <c r="AD1176" s="1404">
        <f>SUM(Y1176:AC1176)</f>
        <v>606847.08000000007</v>
      </c>
    </row>
    <row r="1177" spans="8:33">
      <c r="H1177" s="288"/>
      <c r="O1177" s="288"/>
      <c r="R1177" s="288"/>
      <c r="Y1177" s="1401"/>
    </row>
    <row r="1178" spans="8:33">
      <c r="Y1178" s="1406"/>
    </row>
  </sheetData>
  <mergeCells count="4">
    <mergeCell ref="O2:Q2"/>
    <mergeCell ref="Y2:AE2"/>
    <mergeCell ref="R2:X2"/>
    <mergeCell ref="H2:N2"/>
  </mergeCells>
  <phoneticPr fontId="53" type="noConversion"/>
  <pageMargins left="0.7" right="0.7" top="0.75" bottom="0.75" header="0.3" footer="0.3"/>
  <pageSetup paperSize="9" orientation="portrait" r:id="rId1"/>
  <ignoredErrors>
    <ignoredError sqref="AB6:AB383 AB896:AB1165 AB839:AB894 AB385:AB533 AB535:AB834 AB835:AB838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16</vt:i4>
      </vt:variant>
      <vt:variant>
        <vt:lpstr>Intervalli denominati</vt:lpstr>
      </vt:variant>
      <vt:variant>
        <vt:i4>15</vt:i4>
      </vt:variant>
    </vt:vector>
  </HeadingPairs>
  <TitlesOfParts>
    <vt:vector size="31" baseType="lpstr">
      <vt:lpstr>riepilogo_RF_RC_5x1000 prev2020</vt:lpstr>
      <vt:lpstr>Schema SP</vt:lpstr>
      <vt:lpstr>Alimentazione SP A</vt:lpstr>
      <vt:lpstr>Alimentazione SP P</vt:lpstr>
      <vt:lpstr>ripogrammazione_RF_RC_5x1000 </vt:lpstr>
      <vt:lpstr>Schema CE</vt:lpstr>
      <vt:lpstr>Alimentazione CE Costi</vt:lpstr>
      <vt:lpstr>Alimentazione CE Ricavi</vt:lpstr>
      <vt:lpstr>Alimentazione Rag</vt:lpstr>
      <vt:lpstr>Rendiconto finanziario</vt:lpstr>
      <vt:lpstr>CE Min</vt:lpstr>
      <vt:lpstr>SP Min</vt:lpstr>
      <vt:lpstr>1 Contr.</vt:lpstr>
      <vt:lpstr>16. VOCI CALCOLO TETTO 18 E 20</vt:lpstr>
      <vt:lpstr>16.b Assunzioni Covid</vt:lpstr>
      <vt:lpstr>ce art. 44</vt:lpstr>
      <vt:lpstr>'1 Contr.'!Area_stampa</vt:lpstr>
      <vt:lpstr>'16. VOCI CALCOLO TETTO 18 E 20'!Area_stampa</vt:lpstr>
      <vt:lpstr>'Alimentazione CE Costi'!Area_stampa</vt:lpstr>
      <vt:lpstr>'Alimentazione SP A'!Area_stampa</vt:lpstr>
      <vt:lpstr>'Alimentazione SP P'!Area_stampa</vt:lpstr>
      <vt:lpstr>'ce art. 44'!Area_stampa</vt:lpstr>
      <vt:lpstr>'CE Min'!Area_stampa</vt:lpstr>
      <vt:lpstr>'Rendiconto finanziario'!Area_stampa</vt:lpstr>
      <vt:lpstr>'riepilogo_RF_RC_5x1000 prev2020'!Area_stampa</vt:lpstr>
      <vt:lpstr>'ripogrammazione_RF_RC_5x1000 '!Area_stampa</vt:lpstr>
      <vt:lpstr>'SP Min'!Area_stampa</vt:lpstr>
      <vt:lpstr>'Alimentazione SP A'!Titoli_stampa</vt:lpstr>
      <vt:lpstr>'Alimentazione SP P'!Titoli_stampa</vt:lpstr>
      <vt:lpstr>'CE Min'!Titoli_stampa</vt:lpstr>
      <vt:lpstr>'SP Min'!Titoli_stampa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Biasutti Elisabetta</dc:creator>
  <cp:lastModifiedBy>Marina Seganti</cp:lastModifiedBy>
  <cp:lastPrinted>2021-11-05T13:55:48Z</cp:lastPrinted>
  <dcterms:created xsi:type="dcterms:W3CDTF">2019-07-05T08:06:15Z</dcterms:created>
  <dcterms:modified xsi:type="dcterms:W3CDTF">2021-11-11T10:32:47Z</dcterms:modified>
</cp:coreProperties>
</file>